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oodzafar/Documents/"/>
    </mc:Choice>
  </mc:AlternateContent>
  <xr:revisionPtr revIDLastSave="0" documentId="8_{8F3C66EF-CCCF-164C-AF1B-F655C7304D51}" xr6:coauthVersionLast="47" xr6:coauthVersionMax="47" xr10:uidLastSave="{00000000-0000-0000-0000-000000000000}"/>
  <bookViews>
    <workbookView xWindow="0" yWindow="740" windowWidth="30240" windowHeight="18900" xr2:uid="{3856283A-F92C-496F-B00B-AC85A330AD90}"/>
  </bookViews>
  <sheets>
    <sheet name="Income" sheetId="2" r:id="rId1"/>
    <sheet name="Adjustable Tax" sheetId="7" r:id="rId2"/>
    <sheet name="Income with Final Min tax" sheetId="8" r:id="rId3"/>
    <sheet name="Sheet1" sheetId="14" state="hidden" r:id="rId4"/>
    <sheet name="Tax Reduction, Credit &amp; deduct " sheetId="5" r:id="rId5"/>
    <sheet name="Capital Gain" sheetId="13" r:id="rId6"/>
    <sheet name="Tax Computation" sheetId="9" r:id="rId7"/>
    <sheet name="Detail of Expenses" sheetId="10" r:id="rId8"/>
    <sheet name="Wealth Statement" sheetId="11" r:id="rId9"/>
    <sheet name="Wealth Rec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20" i="8"/>
  <c r="D11" i="8"/>
  <c r="B5" i="7"/>
  <c r="C5" i="7"/>
  <c r="C11" i="2"/>
  <c r="C21" i="11" l="1"/>
  <c r="C15" i="11"/>
  <c r="C7" i="11"/>
  <c r="B7" i="2"/>
  <c r="B7" i="9"/>
  <c r="B17" i="9" l="1"/>
  <c r="C13" i="14"/>
  <c r="E9" i="14"/>
  <c r="E8" i="14"/>
  <c r="E7" i="14"/>
  <c r="E6" i="14"/>
  <c r="B9" i="14"/>
  <c r="B8" i="14"/>
  <c r="B7" i="14"/>
  <c r="B6" i="14"/>
  <c r="B5" i="14"/>
  <c r="D13" i="8" l="1"/>
  <c r="D6" i="5"/>
  <c r="C29" i="11"/>
  <c r="B29" i="11"/>
  <c r="C26" i="11"/>
  <c r="B26" i="11"/>
  <c r="C23" i="11"/>
  <c r="C27" i="11" s="1"/>
  <c r="C30" i="11" s="1"/>
  <c r="B5" i="12" s="1"/>
  <c r="B23" i="11"/>
  <c r="B11" i="9"/>
  <c r="C31" i="7"/>
  <c r="B26" i="9" s="1"/>
  <c r="B31" i="7"/>
  <c r="C22" i="8"/>
  <c r="D21" i="8"/>
  <c r="C21" i="8"/>
  <c r="B21" i="8"/>
  <c r="C20" i="8"/>
  <c r="B20" i="8"/>
  <c r="B22" i="9" s="1"/>
  <c r="D19" i="8"/>
  <c r="D18" i="8"/>
  <c r="B9" i="10" l="1"/>
  <c r="B23" i="10" s="1"/>
  <c r="B25" i="10" s="1"/>
  <c r="B21" i="12" s="1"/>
  <c r="B25" i="12" s="1"/>
  <c r="B28" i="9"/>
  <c r="B27" i="11"/>
  <c r="B30" i="11" s="1"/>
  <c r="B6" i="12" s="1"/>
  <c r="B7" i="12" s="1"/>
  <c r="B22" i="8"/>
  <c r="B12" i="12" s="1"/>
  <c r="D19" i="13"/>
  <c r="C19" i="13"/>
  <c r="B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14" i="8"/>
  <c r="D17" i="8"/>
  <c r="D15" i="8"/>
  <c r="D16" i="8"/>
  <c r="D12" i="8"/>
  <c r="D22" i="8"/>
  <c r="D10" i="8"/>
  <c r="D9" i="8"/>
  <c r="D8" i="8"/>
  <c r="D7" i="8"/>
  <c r="D6" i="8"/>
  <c r="D5" i="8"/>
  <c r="D4" i="8"/>
  <c r="D3" i="8"/>
  <c r="C16" i="2"/>
  <c r="B16" i="2"/>
  <c r="B11" i="12" s="1"/>
  <c r="B11" i="2"/>
  <c r="B6" i="9" s="1"/>
  <c r="B8" i="9" s="1"/>
  <c r="C19" i="5" s="1"/>
  <c r="B10" i="12" l="1"/>
  <c r="B19" i="12" s="1"/>
  <c r="B27" i="12" s="1"/>
  <c r="B29" i="12" s="1"/>
  <c r="C22" i="5" l="1"/>
  <c r="B9" i="9" s="1"/>
  <c r="B10" i="9" s="1"/>
  <c r="B12" i="9" s="1"/>
  <c r="B16" i="9" l="1"/>
  <c r="B15" i="9"/>
  <c r="D9" i="5" l="1"/>
  <c r="B19" i="9" s="1"/>
  <c r="B18" i="9"/>
  <c r="D15" i="5" l="1"/>
  <c r="D13" i="5"/>
  <c r="D14" i="5"/>
  <c r="D12" i="5"/>
  <c r="D16" i="5" l="1"/>
  <c r="B20" i="9" s="1"/>
  <c r="B21" i="9" s="1"/>
  <c r="B23" i="9" s="1"/>
  <c r="B30" i="9" l="1"/>
</calcChain>
</file>

<file path=xl/sharedStrings.xml><?xml version="1.0" encoding="utf-8"?>
<sst xmlns="http://schemas.openxmlformats.org/spreadsheetml/2006/main" count="252" uniqueCount="231">
  <si>
    <t>Annual Salary</t>
  </si>
  <si>
    <t>Tax deducted</t>
  </si>
  <si>
    <t>Employer Contribution to Approved Funds</t>
  </si>
  <si>
    <t>Monthly Salary</t>
  </si>
  <si>
    <t>Do You have more than one employer during Tax Year</t>
  </si>
  <si>
    <t>Y/N</t>
  </si>
  <si>
    <t>Medical allowance</t>
  </si>
  <si>
    <t>Taxable Payments:</t>
  </si>
  <si>
    <t xml:space="preserve">Bonus </t>
  </si>
  <si>
    <t>Tax exempt Payments:</t>
  </si>
  <si>
    <t>Taxable value of Car provided by employer</t>
  </si>
  <si>
    <t>Other taxable payments by employer</t>
  </si>
  <si>
    <t>Total Taxable Salary as per salary certificate</t>
  </si>
  <si>
    <t>Other tax exempt payments by employer</t>
  </si>
  <si>
    <t>Total tax exempt payments</t>
  </si>
  <si>
    <t>Electricity</t>
  </si>
  <si>
    <t>Description</t>
  </si>
  <si>
    <t>Remarks</t>
  </si>
  <si>
    <t>If Y please enter the aggregate value all the employer</t>
  </si>
  <si>
    <t>Payments By Employer</t>
  </si>
  <si>
    <t>Input Values in PKR</t>
  </si>
  <si>
    <t>Tax Reduction for Full Time Teacher / Researcher (Except teachers of medical professions who derive income from private medical practice)</t>
  </si>
  <si>
    <t>Tax Reduction on Tax Charged on Behbood Certificates / Pensioner's Benefit Account in excess of applicable rate</t>
  </si>
  <si>
    <t>Tax Reduction on Capital Gain on Immovable Property under clause (9A), Part III, Second Schedule for Ex-Servicemen and serving personnel of Armed Forces and ex-employees and serving personnel of Federal &amp; Provincial Government @50%</t>
  </si>
  <si>
    <t>Tax Reduction on Capital Gain on Immovable Property under clause (9A), Part III, Second Schedule for Ex-Servicemen and serving personnel of Armed Forces and ex-employees and serving personnel of Federal &amp; Provincial Government @75%</t>
  </si>
  <si>
    <t>Tax Reductions</t>
  </si>
  <si>
    <r>
      <t>Special straight deduction is available for </t>
    </r>
    <r>
      <rPr>
        <i/>
        <sz val="8"/>
        <color rgb="FF464646"/>
        <rFont val="PwC Helvetica Neue"/>
      </rPr>
      <t>Zakat</t>
    </r>
    <r>
      <rPr>
        <sz val="8"/>
        <color rgb="FF464646"/>
        <rFont val="PwC Helvetica Neue"/>
      </rPr>
      <t> paid under the Zakat and Usher Ordinance.</t>
    </r>
  </si>
  <si>
    <t>A rebate at the average rate of tax is allowed on donations made to any approved non-profit organisation on the lower of donation value and 30% of the individual’s taxable income. In case of donations made by an individual to an associate, the amount of donations qualifying for tax credit would be restricted to 15% of the individual’s taxable income.</t>
  </si>
  <si>
    <t>Donations to certain approved institutes that were earlier eligible for direct deduction from income have now been transposed into the tax credit regime. As a result, the overall upper limit for tax break for the donors, in respect of charitable donations, has been reduced.</t>
  </si>
  <si>
    <t>Deductible Allowances</t>
  </si>
  <si>
    <t>No. of Children for whom tuition fee is paid</t>
  </si>
  <si>
    <t>Deductible Allowance</t>
  </si>
  <si>
    <t>Educational expense of children (U/S 60D) available to taxpayer with taxable income not exceeding Rs 1.5m per year (5% of the amount paid OR 25% of taxable income OR Rs 60k per child whichever is lower)</t>
  </si>
  <si>
    <t>Tax Credit for Contribution to Approved Pension Fund u/s 63</t>
  </si>
  <si>
    <t>Surrender of Tax Credit on Investments in Shares disposed off before time limit</t>
  </si>
  <si>
    <t>Tax Credit for Charitable Donations u/s 61</t>
  </si>
  <si>
    <t>30% of the taxable income</t>
  </si>
  <si>
    <t>15% of the taxable income</t>
  </si>
  <si>
    <t>Tax Credit for Charitable Donations u/s 61 where donation is made to associate</t>
  </si>
  <si>
    <t>20% of the taxable income (2% per year for above 40 years if he joined at or above 41 years of age)</t>
  </si>
  <si>
    <t>Salary of Employees u/s 149</t>
  </si>
  <si>
    <t>Directorship Fee u/s 149(3)</t>
  </si>
  <si>
    <t>Profit on Debt u/s 151 @ 15%</t>
  </si>
  <si>
    <t>Profit on Debt to a Non-Resident u/s 152(2)</t>
  </si>
  <si>
    <t>Advance tax on cash withdrawal u/s 231AB</t>
  </si>
  <si>
    <t>Motor Vehicle Registration Fee u/s 231B(1)</t>
  </si>
  <si>
    <t>Motor Vehicle Transfer Fee u/s 231B(2)</t>
  </si>
  <si>
    <t>Motor Vehicle Sale u/s 231B(3)</t>
  </si>
  <si>
    <t>Motor Vehicle Leasing u/s 231B(1A) (Non-ATL) @4%</t>
  </si>
  <si>
    <t>Electricity Bill of Domestic Consumer u/s 235</t>
  </si>
  <si>
    <t>Telephone Bill u/s 236(1)(a)</t>
  </si>
  <si>
    <t>Cellphone Bill u/s 236(1)(a)</t>
  </si>
  <si>
    <t>Prepaid Telephone Card u/s 236(1)(b)</t>
  </si>
  <si>
    <t>Phone Unit u/s 236(1)(c)</t>
  </si>
  <si>
    <t>Internet Bill u/s 236(1)(d)</t>
  </si>
  <si>
    <t>Prepaid Internet Card u/s 236(1)(e)</t>
  </si>
  <si>
    <t>Sale / Transfer of Immovable Property u/s 236C</t>
  </si>
  <si>
    <t>Tax Deducted u/s 236C where Property Purchased &amp; Sold within Tax Year</t>
  </si>
  <si>
    <t>Tax Deducted u/s 236C where Property Purchased Prior to current Tax Year</t>
  </si>
  <si>
    <t>Functions / Gatherings Charges u/s 236CB (ATL @ 10% / Non-ATL @ 20%)</t>
  </si>
  <si>
    <t>Purchase / Transfer of Immovable Property u/s 236K</t>
  </si>
  <si>
    <t>Advance Tax on Withdrawal of Balance under Pension Fund u/c 23A of Part I of Second Schedule</t>
  </si>
  <si>
    <t>Persons remitting amount abroad through credit / debits / prepaid cards u/s 236Y</t>
  </si>
  <si>
    <t>Advance tax on foreign domestic workers u/s 231C</t>
  </si>
  <si>
    <t>Withholding tax on Sale Considerations u/s 37(6) @ 10% of the value of shares</t>
  </si>
  <si>
    <t>Advance tax on Motor Vehicle u/s 231B(2A)</t>
  </si>
  <si>
    <t>Tax Chargeable</t>
  </si>
  <si>
    <t>Return on Investment in Sukuks u/s 151(1A) @ 10%</t>
  </si>
  <si>
    <t>Return on Investment in Sukuks u/s 151(1A) @ 12.5%</t>
  </si>
  <si>
    <t>Return on Investment in Sukuks u/s 151(1A) @ 25%</t>
  </si>
  <si>
    <t>If return on investment is exceeding 1 million on sukukh u/s 5AA @ 12.5% u/s 151(1A), u/s 152(1DB)</t>
  </si>
  <si>
    <t>If return on investment is not exceeding 1 million on sukukh u/s 5AA @ 10% u/s 151(1A), u/s 152(1DB)</t>
  </si>
  <si>
    <t>Bonus shares issued by companies u/s 236Z</t>
  </si>
  <si>
    <t>Capital Gains on Immovable Property u/s 37(1A) where holding period does not exceed 1 year</t>
  </si>
  <si>
    <t>Capital Gains on Immovable Property u/s 37(1A) where holding period exceeds 1 year but does not exceed 2 years</t>
  </si>
  <si>
    <t>Capital Gains on Immovable Property u/s 37(1A) where holding period exceeds 2 years but does not exceed 3 years</t>
  </si>
  <si>
    <t>Capital Gains on Immovable Property u/s 37(1A) where holding period exceeds 3 years but does not exceed 4 years</t>
  </si>
  <si>
    <t>Capital Gains on Immovable Property u/s 37(1A) where holding period exceeds 4 years but does not exceed 5 years</t>
  </si>
  <si>
    <t>Capital Gains on Immovable Property u/s 37(1A) where holding period exceeds 5 years but does not exceed 6 years</t>
  </si>
  <si>
    <t>Capital Gains on Immovable Property u/s 37(1A) where holding period exceeds 6 years</t>
  </si>
  <si>
    <t>Capital Gains on Securities u/s 37A @5% (PMEX/Cash Settled Securities)</t>
  </si>
  <si>
    <t>Capital Gains on Securities u/s 37A @7.5%</t>
  </si>
  <si>
    <t>Capital Gains on Securities / Mutual Funds / Collective Schemes / REIT u/s 37A @10%</t>
  </si>
  <si>
    <t>Capital Gains on Securities / Mutual Funds / Collective Schemes / REIT (For stock funds) u/s 37A @12.5%</t>
  </si>
  <si>
    <t>Capital Gains on Securities / Mutual Funds / Collective Schemes / REIT (Other than stock funds) u/s 37A @25%</t>
  </si>
  <si>
    <t>Capital Gains on Securities u/s 37A @12.5% (securities acquired before July 01, 2022 regardless of holding period)</t>
  </si>
  <si>
    <t>Capital Gains on Securities u/s 37A @15%</t>
  </si>
  <si>
    <t>Profit on Debt on National Savings Certificates including Defence Saving pertaining to pervious years u/s 39(4A)</t>
  </si>
  <si>
    <t>Average Rate of tax for Calculation of employment termination benefits (0% To 100%)</t>
  </si>
  <si>
    <t>Employment Termination Benefits u/s 12(6) Chargeable to Tax at Average Rate</t>
  </si>
  <si>
    <t>Average Rate of tax for Calculation of salary arrears (0% To 100%)</t>
  </si>
  <si>
    <t>Salary Arrears u/s 12(7) Chargeable to Tax at Relevant Rate</t>
  </si>
  <si>
    <t>Amount</t>
  </si>
  <si>
    <t>Tax Cargeable</t>
  </si>
  <si>
    <t>Amount/Receipt</t>
  </si>
  <si>
    <t>Tax Deducted</t>
  </si>
  <si>
    <t>Dividend u/s 150 @35% share of profit from other SPV</t>
  </si>
  <si>
    <t>Dividend u/s 150 @0% share of profit from REIT SPV</t>
  </si>
  <si>
    <t>Dividend u/s 150 @7.5% IPP Shares</t>
  </si>
  <si>
    <t>Dividend u/s 150 @15% Others</t>
  </si>
  <si>
    <t>Profit on Debt u/c 5(A)/5AA/5AB of Part II, Second Schedule (ATL @10%, non-ATL @20%)</t>
  </si>
  <si>
    <t>Prize on Raffle/Lottery/Quiz/Sale promotion u/s 156</t>
  </si>
  <si>
    <t>Prize on Prize Bond/Cross workd puzzle u/s 156</t>
  </si>
  <si>
    <t>Value received is the day-end price on the first day of closure of
books in the case of listed company and the value as prescribed in case of other
companies</t>
  </si>
  <si>
    <t>Capital Gains on Securities u/s 37A @0% acquired before 1-Jul-2013</t>
  </si>
  <si>
    <t>Plot</t>
  </si>
  <si>
    <t>Constructed proporty</t>
  </si>
  <si>
    <t>Flat</t>
  </si>
  <si>
    <t>Total Amount</t>
  </si>
  <si>
    <t>Income from Salary</t>
  </si>
  <si>
    <t>Gains / (Loss) from Capital Assets</t>
  </si>
  <si>
    <t>Income / (Loss) from Other Sources</t>
  </si>
  <si>
    <t>Total Income</t>
  </si>
  <si>
    <t>Normal Income Tax</t>
  </si>
  <si>
    <t>Final / Fixed / Minimum / Average / Relevant / Reduced Income Tax</t>
  </si>
  <si>
    <t>Tax Credits</t>
  </si>
  <si>
    <t>Refund Adjustment of Other Year(s) against Demand of this Year</t>
  </si>
  <si>
    <t>Withholding Income Tax</t>
  </si>
  <si>
    <t>Rent</t>
  </si>
  <si>
    <t>Rates / Taxes / Charge / Cess</t>
  </si>
  <si>
    <t>Vehicle Running / Maintenence</t>
  </si>
  <si>
    <t>Travelling</t>
  </si>
  <si>
    <t>Water</t>
  </si>
  <si>
    <t>Gas</t>
  </si>
  <si>
    <t>Telephone</t>
  </si>
  <si>
    <t>Asset Insurance / Security</t>
  </si>
  <si>
    <t>Medical</t>
  </si>
  <si>
    <t>Educational</t>
  </si>
  <si>
    <t>Club</t>
  </si>
  <si>
    <t>Functions / Gatherings</t>
  </si>
  <si>
    <t>Donation, Zakat, Annuity, Profit on Debt, Life Insurance Premium, etc.</t>
  </si>
  <si>
    <t>Other Personal / Household Expenses</t>
  </si>
  <si>
    <t>Contribution in Expenses by Family Members</t>
  </si>
  <si>
    <t>Agricultural Property</t>
  </si>
  <si>
    <t>Commercial, Industrial, Residential Property (Non-Business)</t>
  </si>
  <si>
    <t>Equipment (Non-Business)</t>
  </si>
  <si>
    <t>Animal (Non-Business)</t>
  </si>
  <si>
    <t>Investment (Non-Business) (Account / Annuity / Bond / Certificate / Debenture / Deposit / Fund / Instrument / Policy / Share / Stock / Unit, etc.)</t>
  </si>
  <si>
    <t>Debt (Non-Business) (Advance / Debt / Deposit / Prepayment / Receivable / Security)</t>
  </si>
  <si>
    <t>Motor Vehicle (Non-Business)</t>
  </si>
  <si>
    <t>Household Effect</t>
  </si>
  <si>
    <t>Personal Item</t>
  </si>
  <si>
    <t>Cash (Non-Business)</t>
  </si>
  <si>
    <t>Any Other Asset</t>
  </si>
  <si>
    <t>Any Other Asset - -Accumulated P.F balance</t>
  </si>
  <si>
    <t>Any Other Asset - -LISTED COMPANIES SHARES</t>
  </si>
  <si>
    <t>Assets in Others' Name</t>
  </si>
  <si>
    <t>Total Assets inside Pakistan</t>
  </si>
  <si>
    <t>Assets held outside Pakistan</t>
  </si>
  <si>
    <t>Capital or voting rights in foreign company</t>
  </si>
  <si>
    <t>Total Assets</t>
  </si>
  <si>
    <t>Total Liabilities</t>
  </si>
  <si>
    <t>Net Assets Current Year</t>
  </si>
  <si>
    <t>Net Assets Previous Year</t>
  </si>
  <si>
    <t>Inflows</t>
  </si>
  <si>
    <t>Income Declared as per Return for the year subject to Normal Tax</t>
  </si>
  <si>
    <t>Income Declared as per Return for the year Exempt from Tax</t>
  </si>
  <si>
    <t>Adjustments in Inflows</t>
  </si>
  <si>
    <t>Foreign Remittance</t>
  </si>
  <si>
    <t>Inheritance</t>
  </si>
  <si>
    <t>Gift</t>
  </si>
  <si>
    <t>Others</t>
  </si>
  <si>
    <t>Outflows</t>
  </si>
  <si>
    <t>Personal Expenses</t>
  </si>
  <si>
    <t>Adjustments in Outflows</t>
  </si>
  <si>
    <t>Loss on Disposal of Assets</t>
  </si>
  <si>
    <t>Profit on debt u/s 7B</t>
  </si>
  <si>
    <t>Chargeable to tax at rate prevailing in the relevant year</t>
  </si>
  <si>
    <t>Income Subject to Final / Fixed / Minimum / Average / Relevant / Reduced Tax</t>
  </si>
  <si>
    <t>Capital Gain</t>
  </si>
  <si>
    <t>Taxable Amount/Receipt</t>
  </si>
  <si>
    <t>Total Gapital Gain</t>
  </si>
  <si>
    <t>Subtotal</t>
  </si>
  <si>
    <t>Grand Total</t>
  </si>
  <si>
    <t>Tax Collected</t>
  </si>
  <si>
    <t>Value as per Withholding Certificate</t>
  </si>
  <si>
    <t xml:space="preserve">Gross Receipt </t>
  </si>
  <si>
    <t>Adjustable Tax</t>
  </si>
  <si>
    <t>Total</t>
  </si>
  <si>
    <t>25% of tax payable on his income from salary</t>
  </si>
  <si>
    <t>Tax Reduction</t>
  </si>
  <si>
    <t>Tax shall not exceed 5% of such profit</t>
  </si>
  <si>
    <t>50% of the normal tax on capital gain</t>
  </si>
  <si>
    <t>Zakat paid under Zakat and Usher Ordinance</t>
  </si>
  <si>
    <t>Total Tax Reduction</t>
  </si>
  <si>
    <t>Total Deduction from Income</t>
  </si>
  <si>
    <t>Limits/Remarks</t>
  </si>
  <si>
    <t>Notes:</t>
  </si>
  <si>
    <t>Tax Reduction, Credit and Deductible Allowances</t>
  </si>
  <si>
    <t>Y</t>
  </si>
  <si>
    <t>Total Tax Credit</t>
  </si>
  <si>
    <t>Income Tax Demanded /(Refundable)</t>
  </si>
  <si>
    <t>Tax Computation</t>
  </si>
  <si>
    <t>Amount PKR</t>
  </si>
  <si>
    <t>Amount in PKR</t>
  </si>
  <si>
    <t>Income Tax Paid</t>
  </si>
  <si>
    <t>Investment (Non-Business) (Account / Annuity / Bond / Certificate / Debenture / Deposit / Fund / Instrument / Policy / Share / Stock / Unit, etc.) - Act Number 20610--------Habib Metropolitan Bank Limited Gulshan E Iqbal Karachi</t>
  </si>
  <si>
    <t>Closing Balance Current year 30 Jun 2025</t>
  </si>
  <si>
    <t>Closing Balance Last year 30 Jun 2024</t>
  </si>
  <si>
    <t>All assets shall be reported at acquisition/historical costs</t>
  </si>
  <si>
    <t>Note:</t>
  </si>
  <si>
    <t>Gift (Value declard in gift deed)</t>
  </si>
  <si>
    <t>Net Increase/(Decrease) in in Assets</t>
  </si>
  <si>
    <t>Unreconciled difference</t>
  </si>
  <si>
    <t>Increase / (Decrease) in Assets</t>
  </si>
  <si>
    <t>Wealth Reconciliation</t>
  </si>
  <si>
    <t>Net Assets at end of Tax Year</t>
  </si>
  <si>
    <t>Gain/(Loss) on Disposal of Assets (Excluding capital gain)</t>
  </si>
  <si>
    <t>Wealth Statement</t>
  </si>
  <si>
    <t>Commercial, Industrial, Residential Property (Non-Business) Defense/Bahria,</t>
  </si>
  <si>
    <t>Precious Possession (Jewelry etc.)</t>
  </si>
  <si>
    <t>Total Assets held outside Pakistan</t>
  </si>
  <si>
    <t>Income</t>
  </si>
  <si>
    <t>Applicable rate</t>
  </si>
  <si>
    <t>75% of the normal tax on capital gain</t>
  </si>
  <si>
    <t>Total education Expense</t>
  </si>
  <si>
    <t>Normal Income Tax after Tax Reduction/Credit</t>
  </si>
  <si>
    <t>Surcharge (10% of Income Tax where income exceed Rs 10m)</t>
  </si>
  <si>
    <t>Taxable Income including capital gains/(loss)</t>
  </si>
  <si>
    <t>Taxable Income excluding capital gains/(loss)</t>
  </si>
  <si>
    <t>Normal Income Tax including Surcharge and CGT</t>
  </si>
  <si>
    <t>Capital Gain Tax (CGT)</t>
  </si>
  <si>
    <t>Taxes Paid/Adjusted</t>
  </si>
  <si>
    <t>Totlal Tax Chargeable</t>
  </si>
  <si>
    <t>Total Taxes Paid/Adjusted</t>
  </si>
  <si>
    <t>Income from other sources</t>
  </si>
  <si>
    <t>Income Attributable to Receipts, etc. Declared as per Return for the year subject to Final / Fixed Tax and CGT</t>
  </si>
  <si>
    <t>Total Expensespaid by taxpayer</t>
  </si>
  <si>
    <t>Investment (Non-Business) (Account / Annuity / Bond / Certificate / Debenture / Deposit / Fund / Instrument / Policy / Share / Stock / Unit, etc.) - Investment in Bahbood</t>
  </si>
  <si>
    <t>Credit (Non-Business) (Advance / Borrowing / Credit / Deposit / Loan / Mortgage / Overdraft / Payable) Bank Loan</t>
  </si>
  <si>
    <t>Detail of Income Subject to Normal Taxation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</si>
</sst>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3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7"/>
      <color rgb="FF4F4F4F"/>
      <name val="Arial"/>
      <family val="2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4F4F4F"/>
      <name val="Arial"/>
      <family val="2"/>
    </font>
    <font>
      <sz val="8"/>
      <color rgb="FF464646"/>
      <name val="PwC Helvetica Neue"/>
    </font>
    <font>
      <i/>
      <sz val="8"/>
      <color rgb="FF464646"/>
      <name val="PwC Helvetica Neue"/>
    </font>
    <font>
      <b/>
      <sz val="11"/>
      <color rgb="FFFFFFFF"/>
      <name val="Aptos Narrow"/>
      <family val="2"/>
      <scheme val="minor"/>
    </font>
    <font>
      <b/>
      <sz val="10"/>
      <color rgb="FF4F4F4F"/>
      <name val="Calibri"/>
      <family val="2"/>
    </font>
    <font>
      <sz val="10"/>
      <color theme="1"/>
      <name val="Calibri"/>
      <family val="2"/>
    </font>
    <font>
      <sz val="10"/>
      <color rgb="FF4F4F4F"/>
      <name val="Calibri"/>
      <family val="2"/>
    </font>
    <font>
      <b/>
      <sz val="10"/>
      <color theme="0"/>
      <name val="Calibri"/>
      <family val="2"/>
    </font>
    <font>
      <b/>
      <sz val="16"/>
      <color rgb="FF4F4F4F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2"/>
      <color rgb="FF4F4F4F"/>
      <name val="Arial"/>
      <family val="2"/>
    </font>
    <font>
      <b/>
      <sz val="16"/>
      <color theme="1"/>
      <name val="Aptos Narrow"/>
      <family val="2"/>
      <scheme val="minor"/>
    </font>
    <font>
      <i/>
      <sz val="12"/>
      <color rgb="FF4F4F4F"/>
      <name val="Arial"/>
      <family val="2"/>
    </font>
    <font>
      <b/>
      <sz val="12"/>
      <color rgb="FF4F4F4F"/>
      <name val="Arial"/>
      <family val="2"/>
    </font>
    <font>
      <b/>
      <sz val="14"/>
      <color theme="1"/>
      <name val="Arial"/>
      <family val="2"/>
    </font>
    <font>
      <sz val="11"/>
      <color rgb="FF4F4F4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64" fontId="0" fillId="2" borderId="1" xfId="1" applyNumberFormat="1" applyFont="1" applyFill="1" applyBorder="1"/>
    <xf numFmtId="0" fontId="0" fillId="2" borderId="1" xfId="0" applyFill="1" applyBorder="1"/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0" fillId="3" borderId="1" xfId="0" applyFill="1" applyBorder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wrapText="1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4" fillId="4" borderId="1" xfId="0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3" fillId="0" borderId="1" xfId="0" applyFont="1" applyBorder="1"/>
    <xf numFmtId="164" fontId="13" fillId="0" borderId="1" xfId="0" applyNumberFormat="1" applyFont="1" applyBorder="1"/>
    <xf numFmtId="0" fontId="15" fillId="5" borderId="1" xfId="0" applyFont="1" applyFill="1" applyBorder="1"/>
    <xf numFmtId="0" fontId="14" fillId="6" borderId="1" xfId="0" applyFont="1" applyFill="1" applyBorder="1" applyAlignment="1">
      <alignment horizontal="left" vertical="center" wrapText="1" indent="1"/>
    </xf>
    <xf numFmtId="0" fontId="14" fillId="7" borderId="1" xfId="0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/>
    <xf numFmtId="164" fontId="17" fillId="8" borderId="1" xfId="1" applyNumberFormat="1" applyFont="1" applyFill="1" applyBorder="1"/>
    <xf numFmtId="0" fontId="13" fillId="8" borderId="1" xfId="0" applyFont="1" applyFill="1" applyBorder="1"/>
    <xf numFmtId="164" fontId="13" fillId="8" borderId="1" xfId="1" applyNumberFormat="1" applyFont="1" applyFill="1" applyBorder="1"/>
    <xf numFmtId="0" fontId="13" fillId="9" borderId="1" xfId="0" applyFont="1" applyFill="1" applyBorder="1"/>
    <xf numFmtId="0" fontId="2" fillId="0" borderId="0" xfId="0" applyFont="1"/>
    <xf numFmtId="0" fontId="12" fillId="3" borderId="1" xfId="0" applyFont="1" applyFill="1" applyBorder="1" applyAlignment="1">
      <alignment horizontal="left" vertical="center" wrapText="1" indent="1"/>
    </xf>
    <xf numFmtId="0" fontId="18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vertical="center" wrapText="1"/>
    </xf>
    <xf numFmtId="0" fontId="3" fillId="10" borderId="1" xfId="0" applyFont="1" applyFill="1" applyBorder="1" applyAlignment="1">
      <alignment horizontal="left" vertical="center" wrapText="1" indent="1"/>
    </xf>
    <xf numFmtId="0" fontId="2" fillId="11" borderId="1" xfId="0" applyFont="1" applyFill="1" applyBorder="1"/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0" fillId="0" borderId="0" xfId="0" applyFont="1"/>
    <xf numFmtId="9" fontId="0" fillId="0" borderId="0" xfId="0" applyNumberFormat="1"/>
    <xf numFmtId="164" fontId="5" fillId="9" borderId="1" xfId="1" applyNumberFormat="1" applyFont="1" applyFill="1" applyBorder="1" applyAlignment="1">
      <alignment horizontal="left" vertical="center" wrapText="1" indent="1"/>
    </xf>
    <xf numFmtId="9" fontId="0" fillId="9" borderId="1" xfId="2" applyFont="1" applyFill="1" applyBorder="1"/>
    <xf numFmtId="0" fontId="2" fillId="0" borderId="0" xfId="0" applyFont="1" applyAlignment="1">
      <alignment vertical="center"/>
    </xf>
    <xf numFmtId="164" fontId="0" fillId="0" borderId="0" xfId="1" applyNumberFormat="1" applyFont="1" applyFill="1" applyBorder="1"/>
    <xf numFmtId="0" fontId="2" fillId="0" borderId="9" xfId="0" applyFont="1" applyBorder="1" applyAlignment="1">
      <alignment vertical="center"/>
    </xf>
    <xf numFmtId="164" fontId="0" fillId="0" borderId="10" xfId="1" applyNumberFormat="1" applyFont="1" applyBorder="1"/>
    <xf numFmtId="0" fontId="2" fillId="0" borderId="11" xfId="0" applyFont="1" applyBorder="1" applyAlignment="1">
      <alignment vertical="center"/>
    </xf>
    <xf numFmtId="164" fontId="0" fillId="0" borderId="12" xfId="1" applyNumberFormat="1" applyFont="1" applyBorder="1"/>
    <xf numFmtId="0" fontId="2" fillId="10" borderId="11" xfId="0" applyFont="1" applyFill="1" applyBorder="1" applyAlignment="1">
      <alignment vertical="center"/>
    </xf>
    <xf numFmtId="164" fontId="0" fillId="10" borderId="12" xfId="1" applyNumberFormat="1" applyFont="1" applyFill="1" applyBorder="1"/>
    <xf numFmtId="0" fontId="2" fillId="10" borderId="13" xfId="0" applyFont="1" applyFill="1" applyBorder="1" applyAlignment="1">
      <alignment vertical="center"/>
    </xf>
    <xf numFmtId="164" fontId="0" fillId="10" borderId="14" xfId="1" applyNumberFormat="1" applyFont="1" applyFill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0" fontId="2" fillId="0" borderId="13" xfId="0" applyFont="1" applyBorder="1" applyAlignment="1">
      <alignment vertical="center"/>
    </xf>
    <xf numFmtId="164" fontId="0" fillId="0" borderId="0" xfId="1" applyNumberFormat="1" applyFont="1" applyBorder="1"/>
    <xf numFmtId="0" fontId="19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18" fillId="11" borderId="17" xfId="0" applyFont="1" applyFill="1" applyBorder="1" applyAlignment="1">
      <alignment vertical="center"/>
    </xf>
    <xf numFmtId="164" fontId="23" fillId="11" borderId="18" xfId="1" applyNumberFormat="1" applyFont="1" applyFill="1" applyBorder="1"/>
    <xf numFmtId="0" fontId="24" fillId="0" borderId="0" xfId="0" applyFont="1" applyAlignment="1">
      <alignment vertical="center"/>
    </xf>
    <xf numFmtId="9" fontId="0" fillId="13" borderId="0" xfId="0" applyNumberFormat="1" applyFill="1"/>
    <xf numFmtId="0" fontId="7" fillId="13" borderId="1" xfId="0" applyFont="1" applyFill="1" applyBorder="1" applyAlignment="1">
      <alignment horizontal="left" vertical="center" wrapText="1" indent="1"/>
    </xf>
    <xf numFmtId="0" fontId="8" fillId="13" borderId="1" xfId="0" applyFont="1" applyFill="1" applyBorder="1" applyAlignment="1">
      <alignment horizontal="left" vertical="center" wrapText="1" indent="1"/>
    </xf>
    <xf numFmtId="164" fontId="2" fillId="10" borderId="1" xfId="1" applyNumberFormat="1" applyFont="1" applyFill="1" applyBorder="1"/>
    <xf numFmtId="164" fontId="0" fillId="3" borderId="1" xfId="1" applyNumberFormat="1" applyFont="1" applyFill="1" applyBorder="1"/>
    <xf numFmtId="164" fontId="0" fillId="0" borderId="1" xfId="1" applyNumberFormat="1" applyFont="1" applyFill="1" applyBorder="1"/>
    <xf numFmtId="164" fontId="0" fillId="13" borderId="1" xfId="1" applyNumberFormat="1" applyFont="1" applyFill="1" applyBorder="1"/>
    <xf numFmtId="164" fontId="0" fillId="12" borderId="1" xfId="1" applyNumberFormat="1" applyFont="1" applyFill="1" applyBorder="1"/>
    <xf numFmtId="164" fontId="2" fillId="3" borderId="1" xfId="1" applyNumberFormat="1" applyFont="1" applyFill="1" applyBorder="1"/>
    <xf numFmtId="0" fontId="22" fillId="0" borderId="0" xfId="0" applyFont="1"/>
    <xf numFmtId="0" fontId="22" fillId="0" borderId="1" xfId="0" applyFont="1" applyBorder="1"/>
    <xf numFmtId="164" fontId="22" fillId="0" borderId="1" xfId="1" applyNumberFormat="1" applyFont="1" applyBorder="1"/>
    <xf numFmtId="0" fontId="22" fillId="0" borderId="1" xfId="0" applyFont="1" applyBorder="1" applyAlignment="1">
      <alignment horizontal="left" vertical="center" indent="1"/>
    </xf>
    <xf numFmtId="164" fontId="22" fillId="13" borderId="1" xfId="1" applyNumberFormat="1" applyFont="1" applyFill="1" applyBorder="1"/>
    <xf numFmtId="0" fontId="25" fillId="0" borderId="1" xfId="0" applyFont="1" applyBorder="1" applyAlignment="1">
      <alignment horizontal="left" vertical="center" wrapText="1" indent="1"/>
    </xf>
    <xf numFmtId="0" fontId="26" fillId="0" borderId="0" xfId="0" applyFont="1" applyAlignment="1">
      <alignment vertical="center"/>
    </xf>
    <xf numFmtId="0" fontId="21" fillId="14" borderId="1" xfId="0" applyFont="1" applyFill="1" applyBorder="1"/>
    <xf numFmtId="164" fontId="21" fillId="10" borderId="1" xfId="1" applyNumberFormat="1" applyFont="1" applyFill="1" applyBorder="1"/>
    <xf numFmtId="0" fontId="21" fillId="10" borderId="1" xfId="0" applyFont="1" applyFill="1" applyBorder="1" applyAlignment="1">
      <alignment horizontal="left" vertical="center" indent="1"/>
    </xf>
    <xf numFmtId="0" fontId="27" fillId="0" borderId="1" xfId="0" applyFont="1" applyBorder="1" applyAlignment="1">
      <alignment horizontal="left" vertical="center" wrapText="1" indent="3"/>
    </xf>
    <xf numFmtId="0" fontId="28" fillId="0" borderId="1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 wrapText="1" indent="1"/>
    </xf>
    <xf numFmtId="0" fontId="29" fillId="2" borderId="1" xfId="0" applyFont="1" applyFill="1" applyBorder="1"/>
    <xf numFmtId="164" fontId="22" fillId="0" borderId="0" xfId="1" applyNumberFormat="1" applyFont="1"/>
    <xf numFmtId="164" fontId="21" fillId="6" borderId="8" xfId="1" applyNumberFormat="1" applyFont="1" applyFill="1" applyBorder="1"/>
    <xf numFmtId="164" fontId="22" fillId="0" borderId="5" xfId="1" applyNumberFormat="1" applyFont="1" applyBorder="1"/>
    <xf numFmtId="164" fontId="22" fillId="0" borderId="6" xfId="1" applyNumberFormat="1" applyFont="1" applyBorder="1"/>
    <xf numFmtId="164" fontId="22" fillId="6" borderId="8" xfId="1" applyNumberFormat="1" applyFont="1" applyFill="1" applyBorder="1"/>
    <xf numFmtId="164" fontId="22" fillId="0" borderId="8" xfId="1" applyNumberFormat="1" applyFont="1" applyBorder="1"/>
    <xf numFmtId="164" fontId="22" fillId="2" borderId="6" xfId="1" applyNumberFormat="1" applyFont="1" applyFill="1" applyBorder="1"/>
    <xf numFmtId="164" fontId="22" fillId="2" borderId="7" xfId="1" applyNumberFormat="1" applyFont="1" applyFill="1" applyBorder="1"/>
    <xf numFmtId="0" fontId="18" fillId="0" borderId="0" xfId="0" applyFont="1"/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0" fontId="30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indent="1"/>
    </xf>
    <xf numFmtId="0" fontId="21" fillId="3" borderId="1" xfId="0" applyFont="1" applyFill="1" applyBorder="1" applyAlignment="1">
      <alignment horizontal="center" vertical="center"/>
    </xf>
    <xf numFmtId="164" fontId="13" fillId="9" borderId="1" xfId="1" applyNumberFormat="1" applyFont="1" applyFill="1" applyBorder="1"/>
    <xf numFmtId="164" fontId="13" fillId="4" borderId="1" xfId="1" applyNumberFormat="1" applyFont="1" applyFill="1" applyBorder="1"/>
    <xf numFmtId="164" fontId="13" fillId="6" borderId="1" xfId="1" applyNumberFormat="1" applyFont="1" applyFill="1" applyBorder="1"/>
    <xf numFmtId="164" fontId="13" fillId="9" borderId="1" xfId="1" applyNumberFormat="1" applyFont="1" applyFill="1" applyBorder="1" applyAlignment="1">
      <alignment wrapText="1"/>
    </xf>
    <xf numFmtId="164" fontId="13" fillId="7" borderId="1" xfId="1" applyNumberFormat="1" applyFont="1" applyFill="1" applyBorder="1"/>
    <xf numFmtId="164" fontId="13" fillId="0" borderId="1" xfId="1" applyNumberFormat="1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1" defaultTableStyle="TableStyleMedium2" defaultPivotStyle="PivotStyleLight16">
    <tableStyle name="Table Style 1" pivot="0" count="0" xr9:uid="{5F9EE4CC-70C7-4009-BA84-6FF7561B7C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4</xdr:row>
      <xdr:rowOff>176923</xdr:rowOff>
    </xdr:from>
    <xdr:to>
      <xdr:col>17</xdr:col>
      <xdr:colOff>438689</xdr:colOff>
      <xdr:row>16</xdr:row>
      <xdr:rowOff>178011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6C881C-AF13-4351-933E-B37794693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8900" y="913523"/>
          <a:ext cx="5632989" cy="2210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846E-41E4-4080-BBEB-711BE0A95205}">
  <dimension ref="A1:D18"/>
  <sheetViews>
    <sheetView tabSelected="1" zoomScale="150" workbookViewId="0">
      <selection activeCell="A16" sqref="A16"/>
    </sheetView>
  </sheetViews>
  <sheetFormatPr baseColWidth="10" defaultColWidth="8.83203125" defaultRowHeight="15"/>
  <cols>
    <col min="1" max="1" width="56" bestFit="1" customWidth="1"/>
    <col min="2" max="2" width="12.6640625" bestFit="1" customWidth="1"/>
    <col min="3" max="3" width="12.5" bestFit="1" customWidth="1"/>
    <col min="4" max="4" width="74.33203125" bestFit="1" customWidth="1"/>
  </cols>
  <sheetData>
    <row r="1" spans="1:4" ht="19">
      <c r="A1" s="103" t="s">
        <v>230</v>
      </c>
    </row>
    <row r="2" spans="1:4">
      <c r="A2" s="116" t="s">
        <v>16</v>
      </c>
      <c r="B2" s="115" t="s">
        <v>20</v>
      </c>
      <c r="C2" s="115"/>
      <c r="D2" s="116" t="s">
        <v>17</v>
      </c>
    </row>
    <row r="3" spans="1:4">
      <c r="A3" s="117"/>
      <c r="B3" s="11" t="s">
        <v>0</v>
      </c>
      <c r="C3" s="11" t="s">
        <v>1</v>
      </c>
      <c r="D3" s="117"/>
    </row>
    <row r="4" spans="1:4">
      <c r="A4" s="2" t="s">
        <v>4</v>
      </c>
      <c r="B4" s="9" t="s">
        <v>5</v>
      </c>
      <c r="C4" s="2"/>
      <c r="D4" s="2" t="s">
        <v>18</v>
      </c>
    </row>
    <row r="5" spans="1:4">
      <c r="A5" s="4" t="s">
        <v>19</v>
      </c>
      <c r="B5" s="3"/>
      <c r="C5" s="3"/>
      <c r="D5" s="2"/>
    </row>
    <row r="6" spans="1:4">
      <c r="A6" s="5" t="s">
        <v>7</v>
      </c>
      <c r="B6" s="3"/>
      <c r="C6" s="3"/>
      <c r="D6" s="2"/>
    </row>
    <row r="7" spans="1:4">
      <c r="A7" s="6" t="s">
        <v>3</v>
      </c>
      <c r="B7" s="8">
        <f>600000*12</f>
        <v>7200000</v>
      </c>
      <c r="C7" s="8">
        <v>2200000</v>
      </c>
      <c r="D7" s="2"/>
    </row>
    <row r="8" spans="1:4">
      <c r="A8" s="7" t="s">
        <v>8</v>
      </c>
      <c r="B8" s="8">
        <v>1500000</v>
      </c>
      <c r="C8" s="8"/>
      <c r="D8" s="2"/>
    </row>
    <row r="9" spans="1:4">
      <c r="A9" s="6" t="s">
        <v>10</v>
      </c>
      <c r="B9" s="8">
        <v>50000</v>
      </c>
      <c r="C9" s="8"/>
      <c r="D9" s="2"/>
    </row>
    <row r="10" spans="1:4">
      <c r="A10" s="6" t="s">
        <v>11</v>
      </c>
      <c r="B10" s="8"/>
      <c r="C10" s="8"/>
      <c r="D10" s="2"/>
    </row>
    <row r="11" spans="1:4">
      <c r="A11" s="6" t="s">
        <v>12</v>
      </c>
      <c r="B11" s="3">
        <f>SUM(B7:B10)</f>
        <v>8750000</v>
      </c>
      <c r="C11" s="3">
        <f>SUM(C7:C10)</f>
        <v>2200000</v>
      </c>
      <c r="D11" s="2"/>
    </row>
    <row r="12" spans="1:4">
      <c r="A12" s="104" t="s">
        <v>9</v>
      </c>
      <c r="B12" s="3"/>
      <c r="C12" s="3"/>
      <c r="D12" s="2"/>
    </row>
    <row r="13" spans="1:4">
      <c r="A13" s="7" t="s">
        <v>6</v>
      </c>
      <c r="B13" s="8">
        <v>400000</v>
      </c>
      <c r="C13" s="8"/>
      <c r="D13" s="2"/>
    </row>
    <row r="14" spans="1:4">
      <c r="A14" s="7" t="s">
        <v>2</v>
      </c>
      <c r="B14" s="8">
        <v>100000</v>
      </c>
      <c r="C14" s="8"/>
      <c r="D14" s="2"/>
    </row>
    <row r="15" spans="1:4">
      <c r="A15" s="7" t="s">
        <v>13</v>
      </c>
      <c r="B15" s="8"/>
      <c r="C15" s="8"/>
      <c r="D15" s="2"/>
    </row>
    <row r="16" spans="1:4">
      <c r="A16" s="7" t="s">
        <v>14</v>
      </c>
      <c r="B16" s="4">
        <f>SUM(B13:B15)</f>
        <v>500000</v>
      </c>
      <c r="C16" s="4">
        <f>SUM(C13:C15)</f>
        <v>0</v>
      </c>
      <c r="D16" s="2"/>
    </row>
    <row r="17" spans="1:4">
      <c r="A17" s="2"/>
      <c r="B17" s="3"/>
      <c r="C17" s="3"/>
      <c r="D17" s="2"/>
    </row>
    <row r="18" spans="1:4">
      <c r="A18" s="7" t="s">
        <v>225</v>
      </c>
      <c r="B18" s="77">
        <v>0</v>
      </c>
      <c r="C18" s="77"/>
      <c r="D18" s="2"/>
    </row>
  </sheetData>
  <mergeCells count="3">
    <mergeCell ref="B2:C2"/>
    <mergeCell ref="D2:D3"/>
    <mergeCell ref="A2:A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4F16-EA01-4B80-A60C-476D218C9521}">
  <dimension ref="A2:B30"/>
  <sheetViews>
    <sheetView workbookViewId="0">
      <selection activeCell="B18" sqref="B18"/>
    </sheetView>
  </sheetViews>
  <sheetFormatPr baseColWidth="10" defaultColWidth="8.83203125" defaultRowHeight="15"/>
  <cols>
    <col min="1" max="1" width="76.83203125" customWidth="1"/>
    <col min="2" max="2" width="19.6640625" bestFit="1" customWidth="1"/>
  </cols>
  <sheetData>
    <row r="2" spans="1:2" ht="24">
      <c r="A2" s="47" t="s">
        <v>205</v>
      </c>
    </row>
    <row r="4" spans="1:2" ht="18">
      <c r="A4" s="94" t="s">
        <v>16</v>
      </c>
      <c r="B4" s="94" t="s">
        <v>194</v>
      </c>
    </row>
    <row r="5" spans="1:2" ht="17">
      <c r="A5" s="92" t="s">
        <v>152</v>
      </c>
      <c r="B5" s="95">
        <f>'Wealth Statement'!C30</f>
        <v>14040000</v>
      </c>
    </row>
    <row r="6" spans="1:2" ht="17">
      <c r="A6" s="92" t="s">
        <v>153</v>
      </c>
      <c r="B6" s="95">
        <f>'Wealth Statement'!B30</f>
        <v>14200000</v>
      </c>
    </row>
    <row r="7" spans="1:2" ht="18" thickBot="1">
      <c r="A7" s="92" t="s">
        <v>204</v>
      </c>
      <c r="B7" s="96">
        <f>B5-B6</f>
        <v>-160000</v>
      </c>
    </row>
    <row r="8" spans="1:2" ht="17" thickTop="1">
      <c r="A8" s="92"/>
      <c r="B8" s="95"/>
    </row>
    <row r="9" spans="1:2" ht="18" thickBot="1">
      <c r="A9" s="92" t="s">
        <v>154</v>
      </c>
      <c r="B9" s="95"/>
    </row>
    <row r="10" spans="1:2" ht="17">
      <c r="A10" s="93" t="s">
        <v>155</v>
      </c>
      <c r="B10" s="97">
        <f>'Tax Computation'!B8</f>
        <v>8750000</v>
      </c>
    </row>
    <row r="11" spans="1:2" ht="17">
      <c r="A11" s="93" t="s">
        <v>156</v>
      </c>
      <c r="B11" s="98">
        <f>Income!B16</f>
        <v>500000</v>
      </c>
    </row>
    <row r="12" spans="1:2" ht="34">
      <c r="A12" s="93" t="s">
        <v>226</v>
      </c>
      <c r="B12" s="98">
        <f>'Income with Final Min tax'!B22</f>
        <v>600000</v>
      </c>
    </row>
    <row r="13" spans="1:2" ht="17">
      <c r="A13" s="93" t="s">
        <v>157</v>
      </c>
      <c r="B13" s="101"/>
    </row>
    <row r="14" spans="1:2" ht="17">
      <c r="A14" s="93" t="s">
        <v>158</v>
      </c>
      <c r="B14" s="101"/>
    </row>
    <row r="15" spans="1:2" ht="17">
      <c r="A15" s="93" t="s">
        <v>159</v>
      </c>
      <c r="B15" s="101"/>
    </row>
    <row r="16" spans="1:2" ht="17">
      <c r="A16" s="93" t="s">
        <v>201</v>
      </c>
      <c r="B16" s="101"/>
    </row>
    <row r="17" spans="1:2" ht="17">
      <c r="A17" s="93" t="s">
        <v>207</v>
      </c>
      <c r="B17" s="101"/>
    </row>
    <row r="18" spans="1:2" ht="18" thickBot="1">
      <c r="A18" s="93" t="s">
        <v>161</v>
      </c>
      <c r="B18" s="102"/>
    </row>
    <row r="19" spans="1:2" ht="16">
      <c r="A19" s="93"/>
      <c r="B19" s="95">
        <f>SUM(B10:B18)</f>
        <v>9850000</v>
      </c>
    </row>
    <row r="20" spans="1:2" ht="18" thickBot="1">
      <c r="A20" s="92" t="s">
        <v>162</v>
      </c>
      <c r="B20" s="95"/>
    </row>
    <row r="21" spans="1:2" ht="17">
      <c r="A21" s="93" t="s">
        <v>163</v>
      </c>
      <c r="B21" s="97">
        <f>'Detail of Expenses'!B25</f>
        <v>10010000</v>
      </c>
    </row>
    <row r="22" spans="1:2" ht="17">
      <c r="A22" s="93" t="s">
        <v>164</v>
      </c>
      <c r="B22" s="101"/>
    </row>
    <row r="23" spans="1:2" ht="17">
      <c r="A23" s="93" t="s">
        <v>160</v>
      </c>
      <c r="B23" s="101"/>
    </row>
    <row r="24" spans="1:2" ht="18" thickBot="1">
      <c r="A24" s="93" t="s">
        <v>165</v>
      </c>
      <c r="B24" s="102"/>
    </row>
    <row r="25" spans="1:2" ht="16">
      <c r="A25" s="80"/>
      <c r="B25" s="95">
        <f>SUM(B21:B24)</f>
        <v>10010000</v>
      </c>
    </row>
    <row r="26" spans="1:2" ht="16">
      <c r="A26" s="80"/>
      <c r="B26" s="95"/>
    </row>
    <row r="27" spans="1:2" ht="18" thickBot="1">
      <c r="A27" s="93" t="s">
        <v>202</v>
      </c>
      <c r="B27" s="99">
        <f>B19-B25</f>
        <v>-160000</v>
      </c>
    </row>
    <row r="28" spans="1:2" ht="17" thickTop="1">
      <c r="A28" s="80"/>
      <c r="B28" s="95"/>
    </row>
    <row r="29" spans="1:2" ht="17" thickBot="1">
      <c r="A29" s="80" t="s">
        <v>203</v>
      </c>
      <c r="B29" s="100">
        <f>B7-B27</f>
        <v>0</v>
      </c>
    </row>
    <row r="30" spans="1:2" ht="17" thickTop="1">
      <c r="A30" s="80"/>
      <c r="B30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08B8-9FB8-4AE8-832B-961112666B73}">
  <dimension ref="A2:C31"/>
  <sheetViews>
    <sheetView workbookViewId="0">
      <selection activeCell="B5" sqref="B5"/>
    </sheetView>
  </sheetViews>
  <sheetFormatPr baseColWidth="10" defaultColWidth="8.83203125" defaultRowHeight="15"/>
  <cols>
    <col min="1" max="1" width="79.33203125" bestFit="1" customWidth="1"/>
    <col min="2" max="2" width="17.5" customWidth="1"/>
    <col min="3" max="3" width="23.5" customWidth="1"/>
  </cols>
  <sheetData>
    <row r="2" spans="1:3" ht="19">
      <c r="A2" s="37" t="s">
        <v>177</v>
      </c>
    </row>
    <row r="3" spans="1:3" ht="16">
      <c r="A3" s="118" t="s">
        <v>16</v>
      </c>
      <c r="B3" s="118" t="s">
        <v>175</v>
      </c>
      <c r="C3" s="118"/>
    </row>
    <row r="4" spans="1:3" ht="16">
      <c r="A4" s="118"/>
      <c r="B4" s="108" t="s">
        <v>176</v>
      </c>
      <c r="C4" s="108" t="s">
        <v>174</v>
      </c>
    </row>
    <row r="5" spans="1:3">
      <c r="A5" s="105" t="s">
        <v>40</v>
      </c>
      <c r="B5" s="76">
        <f>Income!B11</f>
        <v>8750000</v>
      </c>
      <c r="C5" s="76">
        <f>Income!C11</f>
        <v>2200000</v>
      </c>
    </row>
    <row r="6" spans="1:3">
      <c r="A6" s="105" t="s">
        <v>41</v>
      </c>
      <c r="B6" s="8"/>
      <c r="C6" s="8"/>
    </row>
    <row r="7" spans="1:3">
      <c r="A7" s="105" t="s">
        <v>42</v>
      </c>
      <c r="B7" s="8"/>
      <c r="C7" s="8"/>
    </row>
    <row r="8" spans="1:3">
      <c r="A8" s="105" t="s">
        <v>43</v>
      </c>
      <c r="B8" s="8"/>
      <c r="C8" s="8"/>
    </row>
    <row r="9" spans="1:3">
      <c r="A9" s="105" t="s">
        <v>44</v>
      </c>
      <c r="B9" s="8"/>
      <c r="C9" s="8"/>
    </row>
    <row r="10" spans="1:3">
      <c r="A10" s="105" t="s">
        <v>45</v>
      </c>
      <c r="B10" s="8"/>
      <c r="C10" s="8"/>
    </row>
    <row r="11" spans="1:3">
      <c r="A11" s="105" t="s">
        <v>46</v>
      </c>
      <c r="B11" s="8"/>
      <c r="C11" s="8"/>
    </row>
    <row r="12" spans="1:3">
      <c r="A12" s="105" t="s">
        <v>47</v>
      </c>
      <c r="B12" s="8"/>
      <c r="C12" s="8"/>
    </row>
    <row r="13" spans="1:3">
      <c r="A13" s="105" t="s">
        <v>48</v>
      </c>
      <c r="B13" s="8"/>
      <c r="C13" s="8"/>
    </row>
    <row r="14" spans="1:3">
      <c r="A14" s="105" t="s">
        <v>49</v>
      </c>
      <c r="B14" s="8"/>
      <c r="C14" s="8"/>
    </row>
    <row r="15" spans="1:3">
      <c r="A15" s="105" t="s">
        <v>50</v>
      </c>
      <c r="B15" s="8"/>
      <c r="C15" s="8"/>
    </row>
    <row r="16" spans="1:3">
      <c r="A16" s="105" t="s">
        <v>51</v>
      </c>
      <c r="B16" s="8"/>
      <c r="C16" s="8"/>
    </row>
    <row r="17" spans="1:3">
      <c r="A17" s="105" t="s">
        <v>52</v>
      </c>
      <c r="B17" s="8"/>
      <c r="C17" s="8"/>
    </row>
    <row r="18" spans="1:3">
      <c r="A18" s="105" t="s">
        <v>53</v>
      </c>
      <c r="B18" s="8"/>
      <c r="C18" s="8"/>
    </row>
    <row r="19" spans="1:3">
      <c r="A19" s="105" t="s">
        <v>54</v>
      </c>
      <c r="B19" s="8"/>
      <c r="C19" s="8"/>
    </row>
    <row r="20" spans="1:3">
      <c r="A20" s="105" t="s">
        <v>55</v>
      </c>
      <c r="B20" s="8"/>
      <c r="C20" s="8"/>
    </row>
    <row r="21" spans="1:3">
      <c r="A21" s="105" t="s">
        <v>56</v>
      </c>
      <c r="B21" s="8"/>
      <c r="C21" s="8"/>
    </row>
    <row r="22" spans="1:3">
      <c r="A22" s="105" t="s">
        <v>57</v>
      </c>
      <c r="B22" s="8"/>
      <c r="C22" s="8"/>
    </row>
    <row r="23" spans="1:3">
      <c r="A23" s="105" t="s">
        <v>58</v>
      </c>
      <c r="B23" s="8"/>
      <c r="C23" s="8"/>
    </row>
    <row r="24" spans="1:3">
      <c r="A24" s="105" t="s">
        <v>59</v>
      </c>
      <c r="B24" s="8"/>
      <c r="C24" s="8"/>
    </row>
    <row r="25" spans="1:3">
      <c r="A25" s="105" t="s">
        <v>64</v>
      </c>
      <c r="B25" s="8"/>
      <c r="C25" s="8"/>
    </row>
    <row r="26" spans="1:3">
      <c r="A26" s="105" t="s">
        <v>60</v>
      </c>
      <c r="B26" s="8"/>
      <c r="C26" s="8"/>
    </row>
    <row r="27" spans="1:3">
      <c r="A27" s="105" t="s">
        <v>61</v>
      </c>
      <c r="B27" s="8"/>
      <c r="C27" s="8"/>
    </row>
    <row r="28" spans="1:3">
      <c r="A28" s="105" t="s">
        <v>65</v>
      </c>
      <c r="B28" s="8"/>
      <c r="C28" s="8"/>
    </row>
    <row r="29" spans="1:3">
      <c r="A29" s="105" t="s">
        <v>62</v>
      </c>
      <c r="B29" s="8"/>
      <c r="C29" s="8"/>
    </row>
    <row r="30" spans="1:3">
      <c r="A30" s="106" t="s">
        <v>63</v>
      </c>
      <c r="B30" s="8"/>
      <c r="C30" s="8"/>
    </row>
    <row r="31" spans="1:3">
      <c r="A31" s="107" t="s">
        <v>178</v>
      </c>
      <c r="B31" s="4">
        <f>SUM(B5:B30)</f>
        <v>8750000</v>
      </c>
      <c r="C31" s="4">
        <f>SUM(C5:C30)</f>
        <v>2200000</v>
      </c>
    </row>
  </sheetData>
  <mergeCells count="2">
    <mergeCell ref="B3:C3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6307-2166-4234-B6F7-861A899A2AD8}">
  <dimension ref="A1:F29"/>
  <sheetViews>
    <sheetView zoomScale="130" zoomScaleNormal="130" workbookViewId="0">
      <selection activeCell="E11" sqref="E11"/>
    </sheetView>
  </sheetViews>
  <sheetFormatPr baseColWidth="10" defaultColWidth="8.83203125" defaultRowHeight="15"/>
  <cols>
    <col min="1" max="1" width="62" customWidth="1"/>
    <col min="2" max="2" width="14" bestFit="1" customWidth="1"/>
    <col min="3" max="3" width="12.83203125" bestFit="1" customWidth="1"/>
    <col min="4" max="4" width="12.1640625" bestFit="1" customWidth="1"/>
    <col min="5" max="5" width="59.33203125" customWidth="1"/>
  </cols>
  <sheetData>
    <row r="1" spans="1:6">
      <c r="A1" s="19" t="s">
        <v>168</v>
      </c>
      <c r="B1" s="20"/>
      <c r="C1" s="20"/>
      <c r="D1" s="20"/>
    </row>
    <row r="2" spans="1:6">
      <c r="A2" s="25" t="s">
        <v>16</v>
      </c>
      <c r="B2" s="25" t="s">
        <v>94</v>
      </c>
      <c r="C2" s="25" t="s">
        <v>95</v>
      </c>
      <c r="D2" s="25" t="s">
        <v>93</v>
      </c>
    </row>
    <row r="3" spans="1:6">
      <c r="A3" s="21" t="s">
        <v>97</v>
      </c>
      <c r="B3" s="109"/>
      <c r="C3" s="109"/>
      <c r="D3" s="110">
        <f>B3*0%</f>
        <v>0</v>
      </c>
    </row>
    <row r="4" spans="1:6">
      <c r="A4" s="21" t="s">
        <v>96</v>
      </c>
      <c r="B4" s="109"/>
      <c r="C4" s="109"/>
      <c r="D4" s="110">
        <f>B4*35%</f>
        <v>0</v>
      </c>
    </row>
    <row r="5" spans="1:6">
      <c r="A5" s="21" t="s">
        <v>98</v>
      </c>
      <c r="B5" s="109"/>
      <c r="C5" s="109"/>
      <c r="D5" s="110">
        <f>B5*7.5%</f>
        <v>0</v>
      </c>
    </row>
    <row r="6" spans="1:6">
      <c r="A6" s="21" t="s">
        <v>99</v>
      </c>
      <c r="B6" s="109"/>
      <c r="C6" s="109"/>
      <c r="D6" s="110">
        <f>B6*15%</f>
        <v>0</v>
      </c>
    </row>
    <row r="7" spans="1:6">
      <c r="A7" s="26" t="s">
        <v>67</v>
      </c>
      <c r="B7" s="109"/>
      <c r="C7" s="109"/>
      <c r="D7" s="111">
        <f>B7*10%</f>
        <v>0</v>
      </c>
    </row>
    <row r="8" spans="1:6">
      <c r="A8" s="26" t="s">
        <v>68</v>
      </c>
      <c r="B8" s="109"/>
      <c r="C8" s="109"/>
      <c r="D8" s="111">
        <f>B8*12.5%</f>
        <v>0</v>
      </c>
    </row>
    <row r="9" spans="1:6">
      <c r="A9" s="26" t="s">
        <v>69</v>
      </c>
      <c r="B9" s="109"/>
      <c r="C9" s="109"/>
      <c r="D9" s="111">
        <f>B9*25%</f>
        <v>0</v>
      </c>
    </row>
    <row r="10" spans="1:6" ht="30">
      <c r="A10" s="26" t="s">
        <v>70</v>
      </c>
      <c r="B10" s="109"/>
      <c r="C10" s="109"/>
      <c r="D10" s="111">
        <f>B10*12.5%</f>
        <v>0</v>
      </c>
    </row>
    <row r="11" spans="1:6" ht="30">
      <c r="A11" s="26" t="s">
        <v>71</v>
      </c>
      <c r="B11" s="109">
        <v>500000</v>
      </c>
      <c r="C11" s="109"/>
      <c r="D11" s="111">
        <f>B11*10%</f>
        <v>50000</v>
      </c>
    </row>
    <row r="12" spans="1:6" ht="30">
      <c r="A12" s="26" t="s">
        <v>100</v>
      </c>
      <c r="B12" s="109"/>
      <c r="C12" s="109"/>
      <c r="D12" s="111">
        <f>B12*0.1</f>
        <v>0</v>
      </c>
    </row>
    <row r="13" spans="1:6" ht="30">
      <c r="A13" s="26" t="s">
        <v>87</v>
      </c>
      <c r="B13" s="109"/>
      <c r="C13" s="109"/>
      <c r="D13" s="111">
        <f>B13*F13</f>
        <v>0</v>
      </c>
      <c r="E13" t="s">
        <v>167</v>
      </c>
      <c r="F13" s="50"/>
    </row>
    <row r="14" spans="1:6" ht="15" customHeight="1">
      <c r="A14" s="26" t="s">
        <v>166</v>
      </c>
      <c r="B14" s="109">
        <v>100000</v>
      </c>
      <c r="C14" s="109"/>
      <c r="D14" s="111">
        <f>B14*15%</f>
        <v>15000</v>
      </c>
    </row>
    <row r="15" spans="1:6">
      <c r="A15" s="27" t="s">
        <v>102</v>
      </c>
      <c r="B15" s="112"/>
      <c r="C15" s="109"/>
      <c r="D15" s="113">
        <f>B15*15%</f>
        <v>0</v>
      </c>
    </row>
    <row r="16" spans="1:6">
      <c r="A16" s="27" t="s">
        <v>101</v>
      </c>
      <c r="B16" s="112"/>
      <c r="C16" s="109"/>
      <c r="D16" s="113">
        <f>B16*20%</f>
        <v>0</v>
      </c>
    </row>
    <row r="17" spans="1:6">
      <c r="A17" s="22" t="s">
        <v>72</v>
      </c>
      <c r="B17" s="109"/>
      <c r="C17" s="109"/>
      <c r="D17" s="114">
        <f>B1492%</f>
        <v>0</v>
      </c>
      <c r="E17" s="15" t="s">
        <v>103</v>
      </c>
    </row>
    <row r="18" spans="1:6" ht="30">
      <c r="A18" s="22" t="s">
        <v>89</v>
      </c>
      <c r="B18" s="109"/>
      <c r="C18" s="109"/>
      <c r="D18" s="114">
        <f>B18*F18</f>
        <v>0</v>
      </c>
      <c r="E18" s="22" t="s">
        <v>88</v>
      </c>
      <c r="F18" s="50"/>
    </row>
    <row r="19" spans="1:6">
      <c r="A19" s="22" t="s">
        <v>91</v>
      </c>
      <c r="B19" s="109"/>
      <c r="C19" s="109"/>
      <c r="D19" s="114">
        <f>B19*F19</f>
        <v>0</v>
      </c>
      <c r="E19" s="22" t="s">
        <v>90</v>
      </c>
      <c r="F19" s="50"/>
    </row>
    <row r="20" spans="1:6">
      <c r="A20" s="30" t="s">
        <v>172</v>
      </c>
      <c r="B20" s="31">
        <f>SUM(B3:B19)</f>
        <v>600000</v>
      </c>
      <c r="C20" s="31">
        <f t="shared" ref="C20:D20" si="0">SUM(C3:C19)</f>
        <v>0</v>
      </c>
      <c r="D20" s="31">
        <f>SUM(D3:D19)</f>
        <v>65000</v>
      </c>
    </row>
    <row r="21" spans="1:6">
      <c r="A21" s="32" t="s">
        <v>169</v>
      </c>
      <c r="B21" s="33">
        <f>'Capital Gain'!B19</f>
        <v>0</v>
      </c>
      <c r="C21" s="33">
        <f>'Capital Gain'!C19</f>
        <v>0</v>
      </c>
      <c r="D21" s="33">
        <f>'Capital Gain'!D19</f>
        <v>0</v>
      </c>
    </row>
    <row r="22" spans="1:6">
      <c r="A22" s="32" t="s">
        <v>173</v>
      </c>
      <c r="B22" s="33">
        <f>B20+B21</f>
        <v>600000</v>
      </c>
      <c r="C22" s="33">
        <f t="shared" ref="C22:D22" si="1">C20+C21</f>
        <v>0</v>
      </c>
      <c r="D22" s="33">
        <f t="shared" si="1"/>
        <v>65000</v>
      </c>
    </row>
    <row r="23" spans="1:6">
      <c r="B23" s="1"/>
      <c r="C23" s="1"/>
      <c r="D23" s="1"/>
    </row>
    <row r="24" spans="1:6">
      <c r="B24" s="1"/>
      <c r="C24" s="1"/>
      <c r="D24" s="1"/>
    </row>
    <row r="25" spans="1:6">
      <c r="B25" s="1"/>
      <c r="C25" s="1"/>
      <c r="D25" s="1"/>
    </row>
    <row r="26" spans="1:6">
      <c r="B26" s="1"/>
      <c r="C26" s="1"/>
      <c r="D26" s="1"/>
    </row>
    <row r="27" spans="1:6">
      <c r="B27" s="1"/>
      <c r="C27" s="1"/>
      <c r="D27" s="1"/>
    </row>
    <row r="28" spans="1:6">
      <c r="B28" s="1"/>
      <c r="C28" s="1"/>
      <c r="D28" s="1"/>
    </row>
    <row r="29" spans="1:6">
      <c r="B29" s="1"/>
      <c r="C29" s="1"/>
      <c r="D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6079-EA03-4508-A623-9BFFD985A00A}">
  <dimension ref="B4:F13"/>
  <sheetViews>
    <sheetView workbookViewId="0">
      <selection activeCell="C13" sqref="C13"/>
    </sheetView>
  </sheetViews>
  <sheetFormatPr baseColWidth="10" defaultColWidth="8.83203125" defaultRowHeight="15"/>
  <cols>
    <col min="2" max="3" width="12.6640625" bestFit="1" customWidth="1"/>
    <col min="5" max="5" width="11.1640625" bestFit="1" customWidth="1"/>
  </cols>
  <sheetData>
    <row r="4" spans="2:6">
      <c r="B4" s="1">
        <v>0</v>
      </c>
      <c r="C4" s="1">
        <v>600000</v>
      </c>
      <c r="E4" s="1">
        <v>0</v>
      </c>
      <c r="F4">
        <v>0</v>
      </c>
    </row>
    <row r="5" spans="2:6">
      <c r="B5" s="1">
        <f>C4+1</f>
        <v>600001</v>
      </c>
      <c r="C5" s="1">
        <v>1200000</v>
      </c>
      <c r="E5" s="1">
        <v>0</v>
      </c>
      <c r="F5" s="48">
        <v>0.05</v>
      </c>
    </row>
    <row r="6" spans="2:6">
      <c r="B6" s="1">
        <f t="shared" ref="B6:B9" si="0">C5+1</f>
        <v>1200001</v>
      </c>
      <c r="C6" s="1">
        <v>2200000</v>
      </c>
      <c r="E6" s="1">
        <f>((C5-B5)*F5)+E5</f>
        <v>29999.95</v>
      </c>
      <c r="F6" s="48">
        <v>0.15</v>
      </c>
    </row>
    <row r="7" spans="2:6">
      <c r="B7" s="1">
        <f t="shared" si="0"/>
        <v>2200001</v>
      </c>
      <c r="C7" s="1">
        <v>3200000</v>
      </c>
      <c r="E7" s="1">
        <f t="shared" ref="E7:E8" si="1">((C6-B6)*F6)+E6</f>
        <v>179999.80000000002</v>
      </c>
      <c r="F7" s="48">
        <v>0.25</v>
      </c>
    </row>
    <row r="8" spans="2:6">
      <c r="B8" s="1">
        <f t="shared" si="0"/>
        <v>3200001</v>
      </c>
      <c r="C8" s="1">
        <v>4100000</v>
      </c>
      <c r="E8" s="1">
        <f t="shared" si="1"/>
        <v>429999.55000000005</v>
      </c>
      <c r="F8" s="48">
        <v>0.3</v>
      </c>
    </row>
    <row r="9" spans="2:6">
      <c r="B9" s="1">
        <f t="shared" si="0"/>
        <v>4100001</v>
      </c>
      <c r="C9" s="1"/>
      <c r="E9" s="1">
        <f>((C8-B8)*F8)+E8+1</f>
        <v>700000.25</v>
      </c>
      <c r="F9" s="48">
        <v>0.35</v>
      </c>
    </row>
    <row r="12" spans="2:6">
      <c r="C12" s="1">
        <v>4500000</v>
      </c>
    </row>
    <row r="13" spans="2:6">
      <c r="C13">
        <f>(IF((AND(C12&gt;600000,C12&lt;1200001)),((C12-600000))*5%,0))+(IF((AND(C12&gt;1200000,C12&lt;2200001)),((C12-1200000)*15%)+30000,0))+(IF((AND(C12&gt;2200000,C12&lt;3200001)),((C12-2200000)*25%)+180000,0))+(IF((AND(C12&gt;3200000,C12&lt;4100001)),((C12-3200000)*30%)+430000,0))+(IF(C12&gt;4100000,((C12-4100000)*35%)+700000,0))</f>
        <v>840000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9AB2-AD0A-4CF8-9C24-5022ECEDE9A5}">
  <dimension ref="A1:G28"/>
  <sheetViews>
    <sheetView topLeftCell="A8" zoomScale="135" workbookViewId="0">
      <selection activeCell="E7" sqref="E7"/>
    </sheetView>
  </sheetViews>
  <sheetFormatPr baseColWidth="10" defaultColWidth="8.83203125" defaultRowHeight="15"/>
  <cols>
    <col min="1" max="1" width="53.1640625" customWidth="1"/>
    <col min="2" max="2" width="6.6640625" customWidth="1"/>
    <col min="3" max="3" width="10.6640625" bestFit="1" customWidth="1"/>
    <col min="4" max="4" width="13.83203125" bestFit="1" customWidth="1"/>
    <col min="5" max="5" width="49.6640625" customWidth="1"/>
  </cols>
  <sheetData>
    <row r="1" spans="1:7">
      <c r="A1" s="35" t="s">
        <v>188</v>
      </c>
      <c r="B1" s="35"/>
    </row>
    <row r="3" spans="1:7">
      <c r="A3" s="42" t="s">
        <v>16</v>
      </c>
      <c r="B3" s="42" t="s">
        <v>5</v>
      </c>
      <c r="C3" s="42" t="s">
        <v>92</v>
      </c>
      <c r="D3" s="42" t="s">
        <v>180</v>
      </c>
      <c r="E3" s="42" t="s">
        <v>186</v>
      </c>
    </row>
    <row r="4" spans="1:7">
      <c r="A4" s="10" t="s">
        <v>25</v>
      </c>
      <c r="B4" s="10"/>
      <c r="C4" s="2"/>
      <c r="D4" s="2"/>
      <c r="E4" s="2"/>
    </row>
    <row r="5" spans="1:7" ht="30">
      <c r="A5" s="38" t="s">
        <v>21</v>
      </c>
      <c r="B5" s="72" t="s">
        <v>189</v>
      </c>
      <c r="C5" s="9"/>
      <c r="D5" s="78">
        <f>IF((ISERROR(IF(B5="Y",(('Tax Computation'!B6*('Tax Computation'!B15+'Tax Computation'!B16)/'Tax Computation'!B8)*25%),0))),0,IF(B5="Y",(('Tax Computation'!B6*('Tax Computation'!B15+'Tax Computation'!B16)/'Tax Computation'!B8)*25%),0))</f>
        <v>581000</v>
      </c>
      <c r="E5" s="2" t="s">
        <v>179</v>
      </c>
    </row>
    <row r="6" spans="1:7" ht="30">
      <c r="A6" s="38" t="s">
        <v>22</v>
      </c>
      <c r="B6" s="72" t="s">
        <v>189</v>
      </c>
      <c r="C6" s="9">
        <v>50000</v>
      </c>
      <c r="D6" s="78">
        <f>(G6-5%)*C6</f>
        <v>5000</v>
      </c>
      <c r="E6" s="18" t="s">
        <v>181</v>
      </c>
      <c r="F6" t="s">
        <v>213</v>
      </c>
      <c r="G6" s="71">
        <v>0.15</v>
      </c>
    </row>
    <row r="7" spans="1:7" ht="60">
      <c r="A7" s="38" t="s">
        <v>23</v>
      </c>
      <c r="B7" s="72"/>
      <c r="C7" s="9"/>
      <c r="D7" s="8"/>
      <c r="E7" s="2" t="s">
        <v>182</v>
      </c>
    </row>
    <row r="8" spans="1:7" ht="56">
      <c r="A8" s="39" t="s">
        <v>24</v>
      </c>
      <c r="B8" s="73"/>
      <c r="C8" s="9"/>
      <c r="D8" s="8"/>
      <c r="E8" s="2" t="s">
        <v>214</v>
      </c>
    </row>
    <row r="9" spans="1:7">
      <c r="A9" s="41" t="s">
        <v>184</v>
      </c>
      <c r="B9" s="39"/>
      <c r="C9" s="13"/>
      <c r="D9" s="75">
        <f>SUM(D5:D8)</f>
        <v>586000</v>
      </c>
      <c r="E9" s="2"/>
    </row>
    <row r="10" spans="1:7">
      <c r="A10" s="44"/>
      <c r="B10" s="44"/>
    </row>
    <row r="11" spans="1:7">
      <c r="A11" s="10" t="s">
        <v>115</v>
      </c>
      <c r="B11" s="10"/>
      <c r="C11" s="10"/>
      <c r="D11" s="10"/>
      <c r="E11" s="2"/>
    </row>
    <row r="12" spans="1:7">
      <c r="A12" s="38" t="s">
        <v>35</v>
      </c>
      <c r="B12" s="72" t="s">
        <v>189</v>
      </c>
      <c r="C12" s="8">
        <v>50000</v>
      </c>
      <c r="D12" s="76">
        <f>IF(ISERROR((MIN(C12,'Tax Computation'!B12*30%))*'Tax Computation'!B18/'Tax Computation'!B12),0,(MIN(C12,'Tax Computation'!B12*30%))*'Tax Computation'!B18/'Tax Computation'!B12)</f>
        <v>13295.194508009154</v>
      </c>
      <c r="E12" s="2" t="s">
        <v>36</v>
      </c>
    </row>
    <row r="13" spans="1:7" ht="30">
      <c r="A13" s="38" t="s">
        <v>38</v>
      </c>
      <c r="B13" s="72"/>
      <c r="C13" s="8">
        <v>0</v>
      </c>
      <c r="D13" s="76">
        <f>IF(ISERROR((MIN(C13,'Tax Computation'!B12*15%))*'Tax Computation'!B18/'Tax Computation'!B12),0,(MIN(C13,'Tax Computation'!B12*15%))*'Tax Computation'!B18/'Tax Computation'!B12)</f>
        <v>0</v>
      </c>
      <c r="E13" s="2" t="s">
        <v>37</v>
      </c>
    </row>
    <row r="14" spans="1:7" ht="32">
      <c r="A14" s="38" t="s">
        <v>33</v>
      </c>
      <c r="B14" s="72" t="s">
        <v>189</v>
      </c>
      <c r="C14" s="8">
        <v>500000</v>
      </c>
      <c r="D14" s="76">
        <f>IF(ISERROR((MIN(C14,'Tax Computation'!B12*15%))*'Tax Computation'!B18/'Tax Computation'!B12),0,((MIN(C14,'Tax Computation'!B12*15%))*'Tax Computation'!B18/'Tax Computation'!B12))</f>
        <v>132951.94508009154</v>
      </c>
      <c r="E14" s="18" t="s">
        <v>39</v>
      </c>
    </row>
    <row r="15" spans="1:7" ht="30">
      <c r="A15" s="38" t="s">
        <v>34</v>
      </c>
      <c r="B15" s="72"/>
      <c r="C15" s="8">
        <v>0</v>
      </c>
      <c r="D15" s="76">
        <f>IF(ISERROR((C15*'Tax Computation'!B18/'Tax Computation'!B12)),0,((C15*'Tax Computation'!B18/'Tax Computation'!B12)))</f>
        <v>0</v>
      </c>
      <c r="E15" s="40"/>
    </row>
    <row r="16" spans="1:7">
      <c r="A16" s="41" t="s">
        <v>190</v>
      </c>
      <c r="B16" s="41"/>
      <c r="C16" s="74"/>
      <c r="D16" s="74">
        <f>SUM(D12:D15)</f>
        <v>146247.13958810069</v>
      </c>
      <c r="E16" s="17"/>
    </row>
    <row r="17" spans="1:6">
      <c r="A17" s="38"/>
      <c r="B17" s="43"/>
    </row>
    <row r="18" spans="1:6">
      <c r="A18" s="10" t="s">
        <v>31</v>
      </c>
      <c r="B18" s="10"/>
      <c r="C18" s="2"/>
      <c r="D18" s="2"/>
      <c r="E18" s="2"/>
    </row>
    <row r="19" spans="1:6">
      <c r="A19" s="120" t="s">
        <v>32</v>
      </c>
      <c r="B19" s="124"/>
      <c r="C19" s="122">
        <f>IF(ISERROR(MIN((F19*5%),('Tax Computation'!B8*25%),( 60000*'Tax Reduction, Credit &amp; deduct '!F20))),0,(MIN((F19*5%),('Tax Computation'!B8*25%),( 60000*'Tax Reduction, Credit &amp; deduct '!F20))))</f>
        <v>0</v>
      </c>
      <c r="D19" s="126"/>
      <c r="E19" s="2" t="s">
        <v>215</v>
      </c>
      <c r="F19" s="9">
        <v>0</v>
      </c>
    </row>
    <row r="20" spans="1:6">
      <c r="A20" s="121"/>
      <c r="B20" s="125"/>
      <c r="C20" s="123"/>
      <c r="D20" s="127"/>
      <c r="E20" s="38" t="s">
        <v>30</v>
      </c>
      <c r="F20" s="9">
        <v>1</v>
      </c>
    </row>
    <row r="21" spans="1:6">
      <c r="A21" s="38" t="s">
        <v>183</v>
      </c>
      <c r="B21" s="72" t="s">
        <v>189</v>
      </c>
      <c r="C21" s="8">
        <v>10000</v>
      </c>
      <c r="E21" s="2"/>
    </row>
    <row r="22" spans="1:6">
      <c r="A22" s="5" t="s">
        <v>185</v>
      </c>
      <c r="B22" s="5"/>
      <c r="C22" s="79">
        <f>SUM(C19:C21)</f>
        <v>10000</v>
      </c>
      <c r="D22" s="12"/>
      <c r="E22" s="2"/>
    </row>
    <row r="25" spans="1:6">
      <c r="A25" t="s">
        <v>187</v>
      </c>
    </row>
    <row r="26" spans="1:6" ht="20" customHeight="1">
      <c r="A26" s="119" t="s">
        <v>26</v>
      </c>
      <c r="B26" s="119"/>
      <c r="C26" s="119"/>
      <c r="D26" s="119"/>
      <c r="E26" s="119"/>
    </row>
    <row r="27" spans="1:6" ht="50" customHeight="1">
      <c r="A27" s="119" t="s">
        <v>27</v>
      </c>
      <c r="B27" s="119"/>
      <c r="C27" s="119"/>
      <c r="D27" s="119"/>
      <c r="E27" s="119"/>
    </row>
    <row r="28" spans="1:6" ht="40" customHeight="1">
      <c r="A28" s="119" t="s">
        <v>28</v>
      </c>
      <c r="B28" s="119"/>
      <c r="C28" s="119"/>
      <c r="D28" s="119"/>
      <c r="E28" s="119"/>
    </row>
  </sheetData>
  <mergeCells count="7">
    <mergeCell ref="A26:E26"/>
    <mergeCell ref="A27:E27"/>
    <mergeCell ref="A28:E28"/>
    <mergeCell ref="A19:A20"/>
    <mergeCell ref="C19:C20"/>
    <mergeCell ref="B19:B20"/>
    <mergeCell ref="D19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310F-EC80-466B-A866-7D4348E28C30}">
  <dimension ref="A1:H19"/>
  <sheetViews>
    <sheetView zoomScale="150" workbookViewId="0">
      <selection activeCell="A18" sqref="A18"/>
    </sheetView>
  </sheetViews>
  <sheetFormatPr baseColWidth="10" defaultColWidth="8.83203125" defaultRowHeight="15"/>
  <cols>
    <col min="1" max="1" width="98.33203125" customWidth="1"/>
    <col min="2" max="2" width="20.6640625" customWidth="1"/>
    <col min="4" max="4" width="11.5" bestFit="1" customWidth="1"/>
    <col min="7" max="7" width="13" customWidth="1"/>
  </cols>
  <sheetData>
    <row r="1" spans="1:8" ht="22">
      <c r="A1" s="28" t="s">
        <v>169</v>
      </c>
    </row>
    <row r="3" spans="1:8">
      <c r="A3" s="25" t="s">
        <v>16</v>
      </c>
      <c r="B3" s="25" t="s">
        <v>170</v>
      </c>
      <c r="C3" s="25" t="s">
        <v>95</v>
      </c>
      <c r="D3" s="25" t="s">
        <v>93</v>
      </c>
      <c r="F3" s="29" t="s">
        <v>105</v>
      </c>
      <c r="G3" s="29" t="s">
        <v>106</v>
      </c>
      <c r="H3" s="29" t="s">
        <v>107</v>
      </c>
    </row>
    <row r="4" spans="1:8">
      <c r="A4" s="22" t="s">
        <v>73</v>
      </c>
      <c r="B4" s="34"/>
      <c r="C4" s="34"/>
      <c r="D4" s="24">
        <f>(F4+G4+H4)*15%</f>
        <v>0</v>
      </c>
      <c r="F4" s="49">
        <v>0</v>
      </c>
      <c r="G4" s="49"/>
      <c r="H4" s="49"/>
    </row>
    <row r="5" spans="1:8">
      <c r="A5" s="22" t="s">
        <v>74</v>
      </c>
      <c r="B5" s="34"/>
      <c r="C5" s="34"/>
      <c r="D5" s="23">
        <f>(F5*12.5%)+(G5*10%)+(H5*7.5%)</f>
        <v>0</v>
      </c>
      <c r="F5" s="49"/>
      <c r="G5" s="49"/>
      <c r="H5" s="49"/>
    </row>
    <row r="6" spans="1:8">
      <c r="A6" s="22" t="s">
        <v>75</v>
      </c>
      <c r="B6" s="34"/>
      <c r="C6" s="34"/>
      <c r="D6" s="23">
        <f>(F6*10%)+(G6*7.5%)+(H6*0%)</f>
        <v>0</v>
      </c>
      <c r="F6" s="49"/>
      <c r="G6" s="49"/>
      <c r="H6" s="49"/>
    </row>
    <row r="7" spans="1:8">
      <c r="A7" s="22" t="s">
        <v>76</v>
      </c>
      <c r="B7" s="34"/>
      <c r="C7" s="34"/>
      <c r="D7" s="23">
        <f>(F7*7.5%)+(G7*5%)+(H7*0%)</f>
        <v>0</v>
      </c>
      <c r="F7" s="49"/>
      <c r="G7" s="49"/>
      <c r="H7" s="49"/>
    </row>
    <row r="8" spans="1:8">
      <c r="A8" s="22" t="s">
        <v>77</v>
      </c>
      <c r="B8" s="34"/>
      <c r="C8" s="34"/>
      <c r="D8" s="23">
        <f>(F8*5%)+(G8*0%)+(H8*0%)</f>
        <v>0</v>
      </c>
      <c r="F8" s="49"/>
      <c r="G8" s="49"/>
      <c r="H8" s="49"/>
    </row>
    <row r="9" spans="1:8">
      <c r="A9" s="22" t="s">
        <v>78</v>
      </c>
      <c r="B9" s="34"/>
      <c r="C9" s="34"/>
      <c r="D9" s="23">
        <f>(F9*2.5%)+(G9*0%)+(H9*0%)</f>
        <v>0</v>
      </c>
      <c r="F9" s="49"/>
      <c r="G9" s="49"/>
      <c r="H9" s="49"/>
    </row>
    <row r="10" spans="1:8">
      <c r="A10" s="22" t="s">
        <v>79</v>
      </c>
      <c r="B10" s="34"/>
      <c r="C10" s="34"/>
      <c r="D10" s="23">
        <f>B10*0%</f>
        <v>0</v>
      </c>
      <c r="F10" s="14"/>
      <c r="G10" s="14"/>
      <c r="H10" s="14"/>
    </row>
    <row r="11" spans="1:8">
      <c r="A11" s="22" t="s">
        <v>104</v>
      </c>
      <c r="B11" s="34"/>
      <c r="C11" s="34"/>
      <c r="D11" s="23">
        <f>B11*0%</f>
        <v>0</v>
      </c>
    </row>
    <row r="12" spans="1:8">
      <c r="A12" s="22" t="s">
        <v>80</v>
      </c>
      <c r="B12" s="34"/>
      <c r="C12" s="34"/>
      <c r="D12" s="23">
        <f>B12*5%</f>
        <v>0</v>
      </c>
    </row>
    <row r="13" spans="1:8">
      <c r="A13" s="22" t="s">
        <v>81</v>
      </c>
      <c r="B13" s="34"/>
      <c r="C13" s="34"/>
      <c r="D13" s="23">
        <f>B13*7.5%</f>
        <v>0</v>
      </c>
    </row>
    <row r="14" spans="1:8">
      <c r="A14" s="22" t="s">
        <v>82</v>
      </c>
      <c r="B14" s="34"/>
      <c r="C14" s="34"/>
      <c r="D14" s="23">
        <f>B14*10%</f>
        <v>0</v>
      </c>
    </row>
    <row r="15" spans="1:8">
      <c r="A15" s="22" t="s">
        <v>83</v>
      </c>
      <c r="B15" s="34"/>
      <c r="C15" s="34"/>
      <c r="D15" s="23">
        <f>B15*12.5%</f>
        <v>0</v>
      </c>
    </row>
    <row r="16" spans="1:8">
      <c r="A16" s="22" t="s">
        <v>84</v>
      </c>
      <c r="B16" s="34"/>
      <c r="C16" s="34"/>
      <c r="D16" s="23">
        <f>B16*25%</f>
        <v>0</v>
      </c>
    </row>
    <row r="17" spans="1:4">
      <c r="A17" s="22" t="s">
        <v>85</v>
      </c>
      <c r="B17" s="34"/>
      <c r="C17" s="34"/>
      <c r="D17" s="23">
        <f>B17*12.5%</f>
        <v>0</v>
      </c>
    </row>
    <row r="18" spans="1:4">
      <c r="A18" s="22" t="s">
        <v>86</v>
      </c>
      <c r="B18" s="34"/>
      <c r="C18" s="34"/>
      <c r="D18" s="23">
        <f>B18*15%</f>
        <v>0</v>
      </c>
    </row>
    <row r="19" spans="1:4">
      <c r="A19" s="36" t="s">
        <v>171</v>
      </c>
      <c r="B19" s="12">
        <f>SUM(B4:B18)</f>
        <v>0</v>
      </c>
      <c r="C19" s="12">
        <f>SUM(C4:C18)</f>
        <v>0</v>
      </c>
      <c r="D19" s="12">
        <f>SUM(D4:D18)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EAD9-8BEF-43F5-9EE4-7D73115F5725}">
  <dimension ref="A2:B32"/>
  <sheetViews>
    <sheetView workbookViewId="0">
      <selection activeCell="E29" sqref="E29"/>
    </sheetView>
  </sheetViews>
  <sheetFormatPr baseColWidth="10" defaultColWidth="8.83203125" defaultRowHeight="15"/>
  <cols>
    <col min="1" max="1" width="59" bestFit="1" customWidth="1"/>
    <col min="2" max="2" width="12.6640625" bestFit="1" customWidth="1"/>
  </cols>
  <sheetData>
    <row r="2" spans="1:2" ht="22">
      <c r="A2" s="70" t="s">
        <v>192</v>
      </c>
    </row>
    <row r="3" spans="1:2">
      <c r="A3" s="16" t="s">
        <v>108</v>
      </c>
    </row>
    <row r="4" spans="1:2">
      <c r="A4" s="65" t="s">
        <v>16</v>
      </c>
      <c r="B4" s="66" t="s">
        <v>193</v>
      </c>
    </row>
    <row r="5" spans="1:2" ht="16" thickBot="1">
      <c r="A5" s="67" t="s">
        <v>212</v>
      </c>
    </row>
    <row r="6" spans="1:2">
      <c r="A6" s="53" t="s">
        <v>109</v>
      </c>
      <c r="B6" s="54">
        <f>Income!B11</f>
        <v>8750000</v>
      </c>
    </row>
    <row r="7" spans="1:2">
      <c r="A7" s="55" t="s">
        <v>111</v>
      </c>
      <c r="B7" s="56">
        <f>Income!B18</f>
        <v>0</v>
      </c>
    </row>
    <row r="8" spans="1:2">
      <c r="A8" s="55" t="s">
        <v>112</v>
      </c>
      <c r="B8" s="56">
        <f>SUM(B6:B7)</f>
        <v>8750000</v>
      </c>
    </row>
    <row r="9" spans="1:2">
      <c r="A9" s="55" t="s">
        <v>29</v>
      </c>
      <c r="B9" s="56">
        <f>'Tax Reduction, Credit &amp; deduct '!C22</f>
        <v>10000</v>
      </c>
    </row>
    <row r="10" spans="1:2">
      <c r="A10" s="57" t="s">
        <v>219</v>
      </c>
      <c r="B10" s="58">
        <f>B8-B9</f>
        <v>8740000</v>
      </c>
    </row>
    <row r="11" spans="1:2">
      <c r="A11" s="55" t="s">
        <v>110</v>
      </c>
      <c r="B11" s="56">
        <f>'Capital Gain'!B19</f>
        <v>0</v>
      </c>
    </row>
    <row r="12" spans="1:2" ht="16" thickBot="1">
      <c r="A12" s="59" t="s">
        <v>218</v>
      </c>
      <c r="B12" s="60">
        <f>B10+B11</f>
        <v>8740000</v>
      </c>
    </row>
    <row r="13" spans="1:2">
      <c r="A13" s="51"/>
      <c r="B13" s="52"/>
    </row>
    <row r="14" spans="1:2" ht="16" thickBot="1">
      <c r="A14" s="51" t="s">
        <v>66</v>
      </c>
      <c r="B14" s="64"/>
    </row>
    <row r="15" spans="1:2">
      <c r="A15" s="53" t="s">
        <v>113</v>
      </c>
      <c r="B15" s="61">
        <f>(IF((AND(B10&gt;600000,B10&lt;1200001)),((B10-600000))*5%,0))+(IF((AND(B10&gt;1200000,B10&lt;2200001)),((B10-1200000)*15%)+30000,0))+(IF((AND(B10&gt;2200000,B10&lt;3200001)),((B10-2200000)*25%)+180000,0))+(IF((AND(B10&gt;3200000,B10&lt;4100001)),((B10-3200000)*30%)+430000,0))+(IF(B10&gt;4100000,((B10-4100000)*35%)+700000,0))</f>
        <v>2324000</v>
      </c>
    </row>
    <row r="16" spans="1:2">
      <c r="A16" s="55" t="s">
        <v>217</v>
      </c>
      <c r="B16" s="62">
        <f>IF(B10&gt;10000000,B15*10%,0)</f>
        <v>0</v>
      </c>
    </row>
    <row r="17" spans="1:2">
      <c r="A17" s="55" t="s">
        <v>221</v>
      </c>
      <c r="B17" s="62">
        <f>'Capital Gain'!D19</f>
        <v>0</v>
      </c>
    </row>
    <row r="18" spans="1:2">
      <c r="A18" s="55" t="s">
        <v>220</v>
      </c>
      <c r="B18" s="62">
        <f>SUM(B15:B17)</f>
        <v>2324000</v>
      </c>
    </row>
    <row r="19" spans="1:2">
      <c r="A19" s="55" t="s">
        <v>25</v>
      </c>
      <c r="B19" s="56">
        <f>'Tax Reduction, Credit &amp; deduct '!D9</f>
        <v>586000</v>
      </c>
    </row>
    <row r="20" spans="1:2">
      <c r="A20" s="55" t="s">
        <v>115</v>
      </c>
      <c r="B20" s="56">
        <f>'Tax Reduction, Credit &amp; deduct '!D16</f>
        <v>146247.13958810069</v>
      </c>
    </row>
    <row r="21" spans="1:2">
      <c r="A21" s="55" t="s">
        <v>216</v>
      </c>
      <c r="B21" s="62">
        <f>B18-B19-B20</f>
        <v>1591752.8604118994</v>
      </c>
    </row>
    <row r="22" spans="1:2">
      <c r="A22" s="55" t="s">
        <v>114</v>
      </c>
      <c r="B22" s="56">
        <f>'Income with Final Min tax'!B20</f>
        <v>600000</v>
      </c>
    </row>
    <row r="23" spans="1:2" ht="16" thickBot="1">
      <c r="A23" s="63" t="s">
        <v>223</v>
      </c>
      <c r="B23" s="60">
        <f>B21+B22</f>
        <v>2191752.8604118992</v>
      </c>
    </row>
    <row r="25" spans="1:2" ht="16" thickBot="1">
      <c r="A25" s="51" t="s">
        <v>222</v>
      </c>
    </row>
    <row r="26" spans="1:2">
      <c r="A26" s="53" t="s">
        <v>117</v>
      </c>
      <c r="B26" s="54">
        <f>'Adjustable Tax'!C31+'Income with Final Min tax'!C22</f>
        <v>2200000</v>
      </c>
    </row>
    <row r="27" spans="1:2">
      <c r="A27" s="55" t="s">
        <v>116</v>
      </c>
      <c r="B27" s="56"/>
    </row>
    <row r="28" spans="1:2" ht="16" thickBot="1">
      <c r="A28" s="63" t="s">
        <v>224</v>
      </c>
      <c r="B28" s="60">
        <f>B26+B27</f>
        <v>2200000</v>
      </c>
    </row>
    <row r="29" spans="1:2" ht="16" thickBot="1">
      <c r="A29" s="51"/>
      <c r="B29" s="52"/>
    </row>
    <row r="30" spans="1:2" ht="20" thickBot="1">
      <c r="A30" s="68" t="s">
        <v>191</v>
      </c>
      <c r="B30" s="69">
        <f>B23-B28</f>
        <v>-8247.1395881008357</v>
      </c>
    </row>
    <row r="31" spans="1:2">
      <c r="B31" s="1"/>
    </row>
    <row r="32" spans="1:2">
      <c r="B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EC98-9F78-48DF-937B-CEAEB2D17472}">
  <dimension ref="A3:B35"/>
  <sheetViews>
    <sheetView workbookViewId="0">
      <selection activeCell="A3" sqref="A3:B25"/>
    </sheetView>
  </sheetViews>
  <sheetFormatPr baseColWidth="10" defaultColWidth="8.83203125" defaultRowHeight="15"/>
  <cols>
    <col min="1" max="1" width="62.5" bestFit="1" customWidth="1"/>
    <col min="2" max="2" width="14.1640625" bestFit="1" customWidth="1"/>
  </cols>
  <sheetData>
    <row r="3" spans="1:2" ht="22">
      <c r="A3" s="86" t="s">
        <v>163</v>
      </c>
      <c r="B3" s="80"/>
    </row>
    <row r="4" spans="1:2" ht="16">
      <c r="A4" s="80"/>
      <c r="B4" s="80"/>
    </row>
    <row r="5" spans="1:2" ht="16">
      <c r="A5" s="87" t="s">
        <v>16</v>
      </c>
      <c r="B5" s="87" t="s">
        <v>194</v>
      </c>
    </row>
    <row r="6" spans="1:2" ht="16">
      <c r="A6" s="81"/>
      <c r="B6" s="82"/>
    </row>
    <row r="7" spans="1:2" ht="16">
      <c r="A7" s="83" t="s">
        <v>118</v>
      </c>
      <c r="B7" s="84"/>
    </row>
    <row r="8" spans="1:2" ht="16">
      <c r="A8" s="83" t="s">
        <v>119</v>
      </c>
      <c r="B8" s="84">
        <v>20000</v>
      </c>
    </row>
    <row r="9" spans="1:2" ht="16">
      <c r="A9" s="83" t="s">
        <v>195</v>
      </c>
      <c r="B9" s="82">
        <f>'Tax Computation'!B26</f>
        <v>2200000</v>
      </c>
    </row>
    <row r="10" spans="1:2" ht="16">
      <c r="A10" s="83" t="s">
        <v>120</v>
      </c>
      <c r="B10" s="84">
        <v>200000</v>
      </c>
    </row>
    <row r="11" spans="1:2" ht="16">
      <c r="A11" s="83" t="s">
        <v>121</v>
      </c>
      <c r="B11" s="84">
        <v>500000</v>
      </c>
    </row>
    <row r="12" spans="1:2" ht="16">
      <c r="A12" s="83" t="s">
        <v>15</v>
      </c>
      <c r="B12" s="84">
        <v>750000</v>
      </c>
    </row>
    <row r="13" spans="1:2" ht="16">
      <c r="A13" s="83" t="s">
        <v>122</v>
      </c>
      <c r="B13" s="84">
        <v>220000</v>
      </c>
    </row>
    <row r="14" spans="1:2" ht="16">
      <c r="A14" s="83" t="s">
        <v>123</v>
      </c>
      <c r="B14" s="84">
        <v>80000</v>
      </c>
    </row>
    <row r="15" spans="1:2" ht="16">
      <c r="A15" s="83" t="s">
        <v>124</v>
      </c>
      <c r="B15" s="84">
        <v>24000</v>
      </c>
    </row>
    <row r="16" spans="1:2" ht="16">
      <c r="A16" s="83" t="s">
        <v>125</v>
      </c>
      <c r="B16" s="84"/>
    </row>
    <row r="17" spans="1:2" ht="16">
      <c r="A17" s="83" t="s">
        <v>126</v>
      </c>
      <c r="B17" s="84">
        <v>30000</v>
      </c>
    </row>
    <row r="18" spans="1:2" ht="16">
      <c r="A18" s="83" t="s">
        <v>127</v>
      </c>
      <c r="B18" s="84">
        <v>500000</v>
      </c>
    </row>
    <row r="19" spans="1:2" ht="16">
      <c r="A19" s="83" t="s">
        <v>128</v>
      </c>
      <c r="B19" s="84"/>
    </row>
    <row r="20" spans="1:2" ht="16">
      <c r="A20" s="83" t="s">
        <v>129</v>
      </c>
      <c r="B20" s="84"/>
    </row>
    <row r="21" spans="1:2" ht="16">
      <c r="A21" s="83" t="s">
        <v>130</v>
      </c>
      <c r="B21" s="84">
        <v>200000</v>
      </c>
    </row>
    <row r="22" spans="1:2" ht="16">
      <c r="A22" s="83" t="s">
        <v>131</v>
      </c>
      <c r="B22" s="84">
        <v>5286000</v>
      </c>
    </row>
    <row r="23" spans="1:2" ht="16">
      <c r="A23" s="83"/>
      <c r="B23" s="82">
        <f>SUM(B7:B22)</f>
        <v>10010000</v>
      </c>
    </row>
    <row r="24" spans="1:2" ht="17">
      <c r="A24" s="85" t="s">
        <v>132</v>
      </c>
      <c r="B24" s="84"/>
    </row>
    <row r="25" spans="1:2" ht="16">
      <c r="A25" s="89" t="s">
        <v>227</v>
      </c>
      <c r="B25" s="88">
        <f>B23-B24</f>
        <v>10010000</v>
      </c>
    </row>
    <row r="26" spans="1:2" ht="16">
      <c r="A26" s="80"/>
      <c r="B26" s="80"/>
    </row>
    <row r="27" spans="1:2" ht="16">
      <c r="A27" s="80"/>
      <c r="B27" s="80"/>
    </row>
    <row r="28" spans="1:2" ht="16">
      <c r="A28" s="80"/>
      <c r="B28" s="80"/>
    </row>
    <row r="29" spans="1:2" ht="16">
      <c r="A29" s="80"/>
      <c r="B29" s="80"/>
    </row>
    <row r="30" spans="1:2" ht="16">
      <c r="A30" s="80"/>
      <c r="B30" s="80"/>
    </row>
    <row r="31" spans="1:2" ht="16">
      <c r="A31" s="80"/>
      <c r="B31" s="80"/>
    </row>
    <row r="32" spans="1:2" ht="16">
      <c r="A32" s="80"/>
      <c r="B32" s="80"/>
    </row>
    <row r="33" spans="1:2" ht="16">
      <c r="A33" s="80"/>
      <c r="B33" s="80"/>
    </row>
    <row r="34" spans="1:2" ht="16">
      <c r="A34" s="80"/>
      <c r="B34" s="80"/>
    </row>
    <row r="35" spans="1:2" ht="16">
      <c r="A35" s="80"/>
      <c r="B35" s="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B70B-FD9F-498C-8CEB-3FFC024A1C11}">
  <dimension ref="A1:C48"/>
  <sheetViews>
    <sheetView workbookViewId="0">
      <selection sqref="A1:C33"/>
    </sheetView>
  </sheetViews>
  <sheetFormatPr baseColWidth="10" defaultColWidth="8.83203125" defaultRowHeight="15"/>
  <cols>
    <col min="1" max="1" width="71.6640625" customWidth="1"/>
    <col min="2" max="2" width="12.33203125" customWidth="1"/>
    <col min="3" max="3" width="12.83203125" customWidth="1"/>
  </cols>
  <sheetData>
    <row r="1" spans="1:3" ht="24">
      <c r="A1" s="47" t="s">
        <v>208</v>
      </c>
    </row>
    <row r="2" spans="1:3">
      <c r="C2" t="s">
        <v>194</v>
      </c>
    </row>
    <row r="3" spans="1:3" ht="64">
      <c r="A3" s="45" t="s">
        <v>16</v>
      </c>
      <c r="B3" s="46" t="s">
        <v>198</v>
      </c>
      <c r="C3" s="46" t="s">
        <v>197</v>
      </c>
    </row>
    <row r="4" spans="1:3">
      <c r="A4" s="2"/>
      <c r="B4" s="2"/>
      <c r="C4" s="2"/>
    </row>
    <row r="5" spans="1:3" ht="17">
      <c r="A5" s="85" t="s">
        <v>133</v>
      </c>
      <c r="B5" s="8"/>
      <c r="C5" s="8"/>
    </row>
    <row r="6" spans="1:3" ht="17">
      <c r="A6" s="85" t="s">
        <v>134</v>
      </c>
      <c r="B6" s="8"/>
      <c r="C6" s="8"/>
    </row>
    <row r="7" spans="1:3" ht="34">
      <c r="A7" s="90" t="s">
        <v>209</v>
      </c>
      <c r="B7" s="8">
        <v>5000000</v>
      </c>
      <c r="C7" s="8">
        <f>B7</f>
        <v>5000000</v>
      </c>
    </row>
    <row r="8" spans="1:3" ht="17">
      <c r="A8" s="85" t="s">
        <v>135</v>
      </c>
      <c r="B8" s="8"/>
      <c r="C8" s="8"/>
    </row>
    <row r="9" spans="1:3" ht="17">
      <c r="A9" s="85" t="s">
        <v>136</v>
      </c>
      <c r="B9" s="8"/>
      <c r="C9" s="8"/>
    </row>
    <row r="10" spans="1:3" ht="34">
      <c r="A10" s="85" t="s">
        <v>137</v>
      </c>
      <c r="B10" s="8"/>
      <c r="C10" s="8"/>
    </row>
    <row r="11" spans="1:3" ht="68">
      <c r="A11" s="90" t="s">
        <v>196</v>
      </c>
      <c r="B11" s="8">
        <v>1000000</v>
      </c>
      <c r="C11" s="8">
        <v>500000</v>
      </c>
    </row>
    <row r="12" spans="1:3" ht="51">
      <c r="A12" s="90" t="s">
        <v>228</v>
      </c>
      <c r="B12" s="8">
        <v>2000000</v>
      </c>
      <c r="C12" s="8">
        <v>2000000</v>
      </c>
    </row>
    <row r="13" spans="1:3" ht="17">
      <c r="A13" s="90" t="s">
        <v>145</v>
      </c>
      <c r="B13" s="8"/>
      <c r="C13" s="8"/>
    </row>
    <row r="14" spans="1:3" ht="34">
      <c r="A14" s="85" t="s">
        <v>138</v>
      </c>
      <c r="B14" s="8"/>
      <c r="C14" s="8"/>
    </row>
    <row r="15" spans="1:3" ht="17">
      <c r="A15" s="85" t="s">
        <v>139</v>
      </c>
      <c r="B15" s="8">
        <v>2500000</v>
      </c>
      <c r="C15" s="8">
        <f>B15</f>
        <v>2500000</v>
      </c>
    </row>
    <row r="16" spans="1:3" ht="17">
      <c r="A16" s="85" t="s">
        <v>210</v>
      </c>
      <c r="B16" s="8">
        <v>1200000</v>
      </c>
      <c r="C16" s="8">
        <v>1400000</v>
      </c>
    </row>
    <row r="17" spans="1:3" ht="17">
      <c r="A17" s="85" t="s">
        <v>140</v>
      </c>
      <c r="B17" s="8"/>
      <c r="C17" s="8"/>
    </row>
    <row r="18" spans="1:3" ht="17">
      <c r="A18" s="85" t="s">
        <v>141</v>
      </c>
      <c r="B18" s="8"/>
      <c r="C18" s="8"/>
    </row>
    <row r="19" spans="1:3" ht="17">
      <c r="A19" s="85" t="s">
        <v>142</v>
      </c>
      <c r="B19" s="8">
        <v>500000</v>
      </c>
      <c r="C19" s="8">
        <v>240000</v>
      </c>
    </row>
    <row r="20" spans="1:3" ht="17">
      <c r="A20" s="85" t="s">
        <v>143</v>
      </c>
      <c r="B20" s="8"/>
      <c r="C20" s="8"/>
    </row>
    <row r="21" spans="1:3" ht="17">
      <c r="A21" s="90" t="s">
        <v>144</v>
      </c>
      <c r="B21" s="8">
        <v>2500000</v>
      </c>
      <c r="C21" s="8">
        <f>B21+(Income!B14*2)</f>
        <v>2700000</v>
      </c>
    </row>
    <row r="22" spans="1:3" ht="17">
      <c r="A22" s="85" t="s">
        <v>146</v>
      </c>
      <c r="B22" s="8"/>
      <c r="C22" s="8"/>
    </row>
    <row r="23" spans="1:3" ht="17">
      <c r="A23" s="91" t="s">
        <v>147</v>
      </c>
      <c r="B23" s="75">
        <f>SUM(B5:B22)</f>
        <v>14700000</v>
      </c>
      <c r="C23" s="75">
        <f>SUM(C5:C22)</f>
        <v>14340000</v>
      </c>
    </row>
    <row r="24" spans="1:3" ht="17">
      <c r="A24" s="85" t="s">
        <v>148</v>
      </c>
      <c r="B24" s="8"/>
      <c r="C24" s="8"/>
    </row>
    <row r="25" spans="1:3" ht="17">
      <c r="A25" s="85" t="s">
        <v>149</v>
      </c>
      <c r="B25" s="8"/>
      <c r="C25" s="8"/>
    </row>
    <row r="26" spans="1:3" ht="17">
      <c r="A26" s="91" t="s">
        <v>211</v>
      </c>
      <c r="B26" s="75">
        <f>B24+B25</f>
        <v>0</v>
      </c>
      <c r="C26" s="75">
        <f>C24+C25</f>
        <v>0</v>
      </c>
    </row>
    <row r="27" spans="1:3" ht="17">
      <c r="A27" s="91" t="s">
        <v>150</v>
      </c>
      <c r="B27" s="75">
        <f>B23+B26</f>
        <v>14700000</v>
      </c>
      <c r="C27" s="75">
        <f>C23+C26</f>
        <v>14340000</v>
      </c>
    </row>
    <row r="28" spans="1:3" ht="34">
      <c r="A28" s="85" t="s">
        <v>229</v>
      </c>
      <c r="B28" s="8">
        <v>500000</v>
      </c>
      <c r="C28" s="8">
        <v>300000</v>
      </c>
    </row>
    <row r="29" spans="1:3" ht="17">
      <c r="A29" s="91" t="s">
        <v>151</v>
      </c>
      <c r="B29" s="75">
        <f>B28</f>
        <v>500000</v>
      </c>
      <c r="C29" s="75">
        <f>C28</f>
        <v>300000</v>
      </c>
    </row>
    <row r="30" spans="1:3" ht="17">
      <c r="A30" s="91" t="s">
        <v>206</v>
      </c>
      <c r="B30" s="75">
        <f>B27-B29</f>
        <v>14200000</v>
      </c>
      <c r="C30" s="75">
        <f>C27-C29</f>
        <v>14040000</v>
      </c>
    </row>
    <row r="31" spans="1:3" ht="16">
      <c r="A31" s="80"/>
      <c r="B31" s="1"/>
      <c r="C31" s="1"/>
    </row>
    <row r="32" spans="1:3" ht="17">
      <c r="A32" s="92" t="s">
        <v>200</v>
      </c>
      <c r="B32" s="1"/>
      <c r="C32" s="1"/>
    </row>
    <row r="33" spans="1:3" ht="16">
      <c r="A33" s="80" t="s">
        <v>199</v>
      </c>
      <c r="B33" s="1"/>
      <c r="C33" s="1"/>
    </row>
    <row r="34" spans="1:3" ht="16">
      <c r="A34" s="80"/>
      <c r="B34" s="1"/>
      <c r="C34" s="1"/>
    </row>
    <row r="35" spans="1:3" ht="16">
      <c r="A35" s="80"/>
      <c r="B35" s="1"/>
      <c r="C35" s="1"/>
    </row>
    <row r="36" spans="1:3" ht="16">
      <c r="A36" s="80"/>
      <c r="B36" s="1"/>
      <c r="C36" s="1"/>
    </row>
    <row r="37" spans="1:3" ht="16">
      <c r="A37" s="80"/>
      <c r="B37" s="1"/>
      <c r="C37" s="1"/>
    </row>
    <row r="38" spans="1:3" ht="16">
      <c r="A38" s="80"/>
      <c r="B38" s="1"/>
      <c r="C38" s="1"/>
    </row>
    <row r="39" spans="1:3" ht="16">
      <c r="A39" s="80"/>
      <c r="B39" s="1"/>
      <c r="C39" s="1"/>
    </row>
    <row r="40" spans="1:3" ht="16">
      <c r="A40" s="80"/>
      <c r="B40" s="1"/>
      <c r="C40" s="1"/>
    </row>
    <row r="41" spans="1:3" ht="16">
      <c r="A41" s="80"/>
      <c r="B41" s="1"/>
      <c r="C41" s="1"/>
    </row>
    <row r="42" spans="1:3" ht="16">
      <c r="A42" s="80"/>
      <c r="B42" s="1"/>
      <c r="C42" s="1"/>
    </row>
    <row r="43" spans="1:3">
      <c r="B43" s="1"/>
      <c r="C43" s="1"/>
    </row>
    <row r="44" spans="1:3">
      <c r="B44" s="1"/>
      <c r="C44" s="1"/>
    </row>
    <row r="45" spans="1:3">
      <c r="B45" s="1"/>
      <c r="C45" s="1"/>
    </row>
    <row r="46" spans="1:3">
      <c r="B46" s="1"/>
      <c r="C46" s="1"/>
    </row>
    <row r="47" spans="1:3">
      <c r="B47" s="1"/>
      <c r="C47" s="1"/>
    </row>
    <row r="48" spans="1:3">
      <c r="B48" s="1"/>
      <c r="C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</vt:lpstr>
      <vt:lpstr>Adjustable Tax</vt:lpstr>
      <vt:lpstr>Income with Final Min tax</vt:lpstr>
      <vt:lpstr>Sheet1</vt:lpstr>
      <vt:lpstr>Tax Reduction, Credit &amp; deduct </vt:lpstr>
      <vt:lpstr>Capital Gain</vt:lpstr>
      <vt:lpstr>Tax Computation</vt:lpstr>
      <vt:lpstr>Detail of Expenses</vt:lpstr>
      <vt:lpstr>Wealth Statement</vt:lpstr>
      <vt:lpstr>Wealth Recon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Khurram Akhter</dc:creator>
  <cp:lastModifiedBy>Masood Zafar</cp:lastModifiedBy>
  <dcterms:created xsi:type="dcterms:W3CDTF">2025-02-25T17:47:24Z</dcterms:created>
  <dcterms:modified xsi:type="dcterms:W3CDTF">2025-08-02T12:08:08Z</dcterms:modified>
</cp:coreProperties>
</file>