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13_ncr:1_{0861A7E0-F8DC-49A3-ACBC-0F0DE7F3A2DE}" xr6:coauthVersionLast="47" xr6:coauthVersionMax="47" xr10:uidLastSave="{00000000-0000-0000-0000-000000000000}"/>
  <bookViews>
    <workbookView xWindow="38280" yWindow="-120" windowWidth="38640" windowHeight="21120" xr2:uid="{99077B20-A3DD-4EE8-9E82-AE2F414FBB5A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7" l="1"/>
  <c r="D57" i="7"/>
  <c r="G36" i="4"/>
  <c r="H44" i="4" s="1"/>
  <c r="H62" i="4"/>
  <c r="G69" i="4"/>
  <c r="G70" i="4"/>
  <c r="G71" i="4"/>
  <c r="G72" i="4"/>
  <c r="H61" i="4"/>
  <c r="H63" i="4"/>
  <c r="H64" i="4"/>
  <c r="G37" i="4"/>
  <c r="F53" i="4" s="1"/>
  <c r="G38" i="4"/>
  <c r="F54" i="4" s="1"/>
  <c r="G39" i="4"/>
  <c r="F55" i="4" s="1"/>
  <c r="G40" i="4"/>
  <c r="F56" i="4" s="1"/>
  <c r="G76" i="5"/>
  <c r="F70" i="5"/>
  <c r="C68" i="5"/>
  <c r="C67" i="5"/>
  <c r="D62" i="5"/>
  <c r="D61" i="5"/>
  <c r="H59" i="5"/>
  <c r="H58" i="5"/>
  <c r="M52" i="5"/>
  <c r="F52" i="5"/>
  <c r="F42" i="6"/>
  <c r="G42" i="6" s="1"/>
  <c r="H51" i="6" s="1"/>
  <c r="D25" i="6"/>
  <c r="F36" i="6" s="1"/>
  <c r="F37" i="5"/>
  <c r="E32" i="5"/>
  <c r="H48" i="4" l="1"/>
  <c r="F52" i="4"/>
  <c r="H60" i="4" s="1"/>
  <c r="G68" i="4" s="1"/>
  <c r="H47" i="4"/>
  <c r="H46" i="4"/>
  <c r="H45" i="4"/>
  <c r="E30" i="6"/>
  <c r="E53" i="1"/>
  <c r="E52" i="1"/>
  <c r="E51" i="1"/>
  <c r="L37" i="1"/>
  <c r="K41" i="1"/>
  <c r="K38" i="1"/>
  <c r="L38" i="1" s="1"/>
  <c r="K42" i="1"/>
  <c r="K46" i="1"/>
  <c r="K43" i="1"/>
  <c r="K39" i="1"/>
  <c r="K45" i="1"/>
  <c r="K37" i="1"/>
  <c r="K44" i="1"/>
  <c r="K40" i="1"/>
  <c r="F38" i="1"/>
  <c r="F39" i="1"/>
  <c r="F40" i="1"/>
  <c r="F41" i="1"/>
  <c r="F42" i="1"/>
  <c r="F43" i="1"/>
  <c r="F44" i="1"/>
  <c r="F45" i="1"/>
  <c r="F46" i="1"/>
  <c r="F37" i="1"/>
  <c r="G67" i="6" l="1"/>
  <c r="D62" i="6"/>
  <c r="L39" i="1"/>
  <c r="L40" i="1" s="1"/>
  <c r="L41" i="1" s="1"/>
  <c r="L42" i="1" s="1"/>
  <c r="L43" i="1" s="1"/>
  <c r="L44" i="1" s="1"/>
  <c r="L45" i="1" s="1"/>
  <c r="L46" i="1" s="1"/>
  <c r="K47" i="1"/>
  <c r="E54" i="1"/>
  <c r="F51" i="1" s="1"/>
  <c r="F47" i="1"/>
  <c r="G51" i="1" l="1"/>
  <c r="F53" i="1"/>
  <c r="F52" i="1"/>
  <c r="M40" i="1"/>
  <c r="G52" i="1" l="1"/>
  <c r="G53" i="1" s="1"/>
  <c r="F54" i="1"/>
  <c r="M44" i="1"/>
  <c r="M37" i="1" l="1"/>
  <c r="M45" i="1" l="1"/>
  <c r="M39" i="1" l="1"/>
  <c r="M43" i="1" l="1"/>
  <c r="M46" i="1" l="1"/>
  <c r="M42" i="1" l="1"/>
  <c r="M41" i="1" l="1"/>
  <c r="M38" i="1"/>
  <c r="O37" i="1" s="1"/>
  <c r="H51" i="1" l="1"/>
  <c r="I51" i="1" s="1"/>
  <c r="O39" i="1"/>
  <c r="F59" i="3"/>
  <c r="E55" i="3"/>
  <c r="F47" i="3"/>
  <c r="F51" i="3"/>
  <c r="E51" i="3"/>
  <c r="E47" i="3"/>
  <c r="D43" i="3"/>
  <c r="E38" i="3"/>
  <c r="E33" i="3"/>
  <c r="I33" i="3"/>
  <c r="G34" i="2"/>
  <c r="D30" i="2"/>
  <c r="E38" i="2"/>
  <c r="D26" i="2"/>
  <c r="H52" i="1" l="1"/>
  <c r="I52" i="1" s="1"/>
  <c r="O41" i="1"/>
  <c r="H53" i="1" s="1"/>
  <c r="I53" i="1" s="1"/>
</calcChain>
</file>

<file path=xl/sharedStrings.xml><?xml version="1.0" encoding="utf-8"?>
<sst xmlns="http://schemas.openxmlformats.org/spreadsheetml/2006/main" count="248" uniqueCount="99">
  <si>
    <t>Demanda anual</t>
  </si>
  <si>
    <t>Costo de almacenaje</t>
  </si>
  <si>
    <t>unidades</t>
  </si>
  <si>
    <t>anual por unidad</t>
  </si>
  <si>
    <t>costo de produccion</t>
  </si>
  <si>
    <t>Precio unitario</t>
  </si>
  <si>
    <t>A)</t>
  </si>
  <si>
    <t>Unidades por orden</t>
  </si>
  <si>
    <t>B)</t>
  </si>
  <si>
    <t>Pedidos al año</t>
  </si>
  <si>
    <t>C)</t>
  </si>
  <si>
    <t>r</t>
  </si>
  <si>
    <t>Ca</t>
  </si>
  <si>
    <t>Cp</t>
  </si>
  <si>
    <t>P</t>
  </si>
  <si>
    <t>D)</t>
  </si>
  <si>
    <t>dias entre pedidos</t>
  </si>
  <si>
    <t>Precio deficit</t>
  </si>
  <si>
    <t>Ce</t>
  </si>
  <si>
    <t>E)</t>
  </si>
  <si>
    <t>dias de duracion del deficit</t>
  </si>
  <si>
    <t>F)</t>
  </si>
  <si>
    <t>unidades en inventario</t>
  </si>
  <si>
    <t>G)</t>
  </si>
  <si>
    <t>costo total optimo</t>
  </si>
  <si>
    <t>AII</t>
  </si>
  <si>
    <t>A</t>
  </si>
  <si>
    <t>CZ</t>
  </si>
  <si>
    <t>BII</t>
  </si>
  <si>
    <t>B</t>
  </si>
  <si>
    <t>AI</t>
  </si>
  <si>
    <t>BB</t>
  </si>
  <si>
    <t>C</t>
  </si>
  <si>
    <t>CW</t>
  </si>
  <si>
    <t>BIII</t>
  </si>
  <si>
    <t>BI</t>
  </si>
  <si>
    <t>CX</t>
  </si>
  <si>
    <t>TOTAL</t>
  </si>
  <si>
    <t>CODIGO</t>
  </si>
  <si>
    <t>DEMANDA</t>
  </si>
  <si>
    <t>PRECIO UNITARIO</t>
  </si>
  <si>
    <t>AIII</t>
  </si>
  <si>
    <t>INVERSION</t>
  </si>
  <si>
    <t>INVERSION ACUMULADA</t>
  </si>
  <si>
    <t>%</t>
  </si>
  <si>
    <t>ZONA</t>
  </si>
  <si>
    <t>ELEMENTOS</t>
  </si>
  <si>
    <t>% ARTICULOS</t>
  </si>
  <si>
    <t>% ACUMULADO</t>
  </si>
  <si>
    <t>% INVERSION</t>
  </si>
  <si>
    <t>% INVER ACU</t>
  </si>
  <si>
    <t>0-80%</t>
  </si>
  <si>
    <t>80% - 95%</t>
  </si>
  <si>
    <t>95% - 100%</t>
  </si>
  <si>
    <t>Desde</t>
  </si>
  <si>
    <t>Hasta</t>
  </si>
  <si>
    <t>Costo por unidad</t>
  </si>
  <si>
    <t>Rango 1</t>
  </si>
  <si>
    <t>Rango 2</t>
  </si>
  <si>
    <t>Rango 3</t>
  </si>
  <si>
    <t>Rango 4</t>
  </si>
  <si>
    <t>Rango 5</t>
  </si>
  <si>
    <t>Capacidad</t>
  </si>
  <si>
    <t>K</t>
  </si>
  <si>
    <t>años</t>
  </si>
  <si>
    <t>dias</t>
  </si>
  <si>
    <t>tp = tr</t>
  </si>
  <si>
    <t>entonces</t>
  </si>
  <si>
    <t>duracion total = 2tp</t>
  </si>
  <si>
    <t xml:space="preserve">Do = </t>
  </si>
  <si>
    <t>duracion optima</t>
  </si>
  <si>
    <t>ciclos/año</t>
  </si>
  <si>
    <t>costo total anual</t>
  </si>
  <si>
    <t xml:space="preserve">Al ver el grafico, podemos saber que </t>
  </si>
  <si>
    <t xml:space="preserve">las tandas estan separadas por </t>
  </si>
  <si>
    <t>te es la escases y por</t>
  </si>
  <si>
    <t>tp que es el tiempo de produccion</t>
  </si>
  <si>
    <t>Sumamos ambos resultados</t>
  </si>
  <si>
    <t xml:space="preserve">tt = </t>
  </si>
  <si>
    <t>tiempo entre tandas</t>
  </si>
  <si>
    <t>tt =</t>
  </si>
  <si>
    <t>Ya lo calculamos anterior mente en la C</t>
  </si>
  <si>
    <t xml:space="preserve">Dias </t>
  </si>
  <si>
    <t>q*</t>
  </si>
  <si>
    <t>D</t>
  </si>
  <si>
    <t>S</t>
  </si>
  <si>
    <t>H</t>
  </si>
  <si>
    <t>CT</t>
  </si>
  <si>
    <t>N</t>
  </si>
  <si>
    <t>L</t>
  </si>
  <si>
    <t>R</t>
  </si>
  <si>
    <t>µ</t>
  </si>
  <si>
    <t>veladoras</t>
  </si>
  <si>
    <t>σ</t>
  </si>
  <si>
    <t>Faltantes solo un 5% del tiempo, entonces</t>
  </si>
  <si>
    <t>Nivel de servicio = 95% = 0.95</t>
  </si>
  <si>
    <t>A lo cual tenemos 2 opciones para ello</t>
  </si>
  <si>
    <t xml:space="preserve">Z = </t>
  </si>
  <si>
    <t>Para este caso tomaremos el 1.65 como nuestra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</si>
</sst>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Q&quot;* #,##0.00_-;\-&quot;Q&quot;* #,##0.00_-;_-&quot;Q&quot;* &quot;-&quot;??_-;_-@_-"/>
    <numFmt numFmtId="164" formatCode="0.0000"/>
    <numFmt numFmtId="165" formatCode="_-&quot;Q&quot;* #,##0.000_-;\-&quot;Q&quot;* #,##0.000_-;_-&quot;Q&quot;* &quot;-&quot;??_-;_-@_-"/>
    <numFmt numFmtId="166" formatCode="_-&quot;Q&quot;* #,##0.0000_-;\-&quot;Q&quot;* #,##0.0000_-;_-&quot;Q&quot;* &quot;-&quot;??_-;_-@_-"/>
    <numFmt numFmtId="167" formatCode="0.0%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Sagona Book"/>
      <family val="1"/>
    </font>
    <font>
      <sz val="11"/>
      <color rgb="FF000000"/>
      <name val="Sagona Book"/>
      <family val="1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1" applyFont="1" applyFill="1" applyBorder="1"/>
    <xf numFmtId="164" fontId="0" fillId="0" borderId="0" xfId="0" applyNumberFormat="1"/>
    <xf numFmtId="2" fontId="0" fillId="0" borderId="1" xfId="1" applyNumberFormat="1" applyFont="1" applyBorder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2" borderId="0" xfId="0" applyFill="1"/>
    <xf numFmtId="165" fontId="0" fillId="0" borderId="1" xfId="0" applyNumberFormat="1" applyBorder="1"/>
    <xf numFmtId="44" fontId="0" fillId="0" borderId="1" xfId="0" applyNumberFormat="1" applyBorder="1"/>
    <xf numFmtId="10" fontId="0" fillId="0" borderId="1" xfId="2" applyNumberFormat="1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7" fontId="0" fillId="0" borderId="1" xfId="2" applyNumberFormat="1" applyFont="1" applyBorder="1"/>
    <xf numFmtId="167" fontId="0" fillId="0" borderId="1" xfId="0" applyNumberFormat="1" applyBorder="1"/>
    <xf numFmtId="10" fontId="0" fillId="0" borderId="1" xfId="0" applyNumberFormat="1" applyBorder="1"/>
    <xf numFmtId="167" fontId="0" fillId="0" borderId="0" xfId="0" applyNumberFormat="1"/>
    <xf numFmtId="0" fontId="2" fillId="0" borderId="0" xfId="0" applyFont="1"/>
    <xf numFmtId="0" fontId="4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2" fontId="0" fillId="0" borderId="1" xfId="1" applyNumberFormat="1" applyFont="1" applyFill="1" applyBorder="1"/>
    <xf numFmtId="0" fontId="0" fillId="0" borderId="1" xfId="2" applyNumberFormat="1" applyFont="1" applyBorder="1"/>
    <xf numFmtId="168" fontId="0" fillId="0" borderId="1" xfId="0" applyNumberFormat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2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F1-4E5B-9E95-CA7C21FF419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3F1-4E5B-9E95-CA7C21FF419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F1-4E5B-9E95-CA7C21FF4190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0.143518518518518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F1-4E5B-9E95-CA7C21FF4190}"/>
                </c:ext>
              </c:extLst>
            </c:dLbl>
            <c:dLbl>
              <c:idx val="1"/>
              <c:layout>
                <c:manualLayout>
                  <c:x val="-1.0181377556466068E-16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F1-4E5B-9E95-CA7C21FF4190}"/>
                </c:ext>
              </c:extLst>
            </c:dLbl>
            <c:dLbl>
              <c:idx val="2"/>
              <c:layout>
                <c:manualLayout>
                  <c:x val="-2.7767714107114864E-3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F1-4E5B-9E95-CA7C21FF419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'1'!$E$51:$E$53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6</c:v>
                </c:pt>
              </c:numCache>
            </c:numRef>
          </c:cat>
          <c:val>
            <c:numRef>
              <c:f>'1'!$H$51:$H$53</c:f>
              <c:numCache>
                <c:formatCode>0.00%</c:formatCode>
                <c:ptCount val="3"/>
                <c:pt idx="0">
                  <c:v>0.73555588863851917</c:v>
                </c:pt>
                <c:pt idx="1">
                  <c:v>0.16598402079775598</c:v>
                </c:pt>
                <c:pt idx="2">
                  <c:v>9.8460090563724845E-2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1-4E5B-9E95-CA7C21FF4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08585919"/>
        <c:axId val="1547486335"/>
      </c:barChart>
      <c:lineChart>
        <c:grouping val="standard"/>
        <c:varyColors val="0"/>
        <c:ser>
          <c:idx val="1"/>
          <c:order val="1"/>
          <c:tx>
            <c:strRef>
              <c:f>'1'!$I$50</c:f>
              <c:strCache>
                <c:ptCount val="1"/>
                <c:pt idx="0">
                  <c:v>% INVER ACU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'1'!$I$51:$I$53</c:f>
              <c:numCache>
                <c:formatCode>0.00%</c:formatCode>
                <c:ptCount val="3"/>
                <c:pt idx="0">
                  <c:v>0.73555588863851917</c:v>
                </c:pt>
                <c:pt idx="1">
                  <c:v>0.90153990943627516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F1-4E5B-9E95-CA7C21FF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85919"/>
        <c:axId val="1547486335"/>
      </c:lineChart>
      <c:catAx>
        <c:axId val="160858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47486335"/>
        <c:crosses val="autoZero"/>
        <c:auto val="1"/>
        <c:lblAlgn val="ctr"/>
        <c:lblOffset val="100"/>
        <c:noMultiLvlLbl val="0"/>
      </c:catAx>
      <c:valAx>
        <c:axId val="15474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% INVERSION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85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487081</xdr:colOff>
      <xdr:row>34</xdr:row>
      <xdr:rowOff>10404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9C3205-EFD3-F50B-A715-7B197EB66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354856" cy="6296904"/>
        </a:xfrm>
        <a:prstGeom prst="rect">
          <a:avLst/>
        </a:prstGeom>
      </xdr:spPr>
    </xdr:pic>
    <xdr:clientData/>
  </xdr:twoCellAnchor>
  <xdr:twoCellAnchor>
    <xdr:from>
      <xdr:col>1</xdr:col>
      <xdr:colOff>505653</xdr:colOff>
      <xdr:row>55</xdr:row>
      <xdr:rowOff>130243</xdr:rowOff>
    </xdr:from>
    <xdr:to>
      <xdr:col>9</xdr:col>
      <xdr:colOff>121340</xdr:colOff>
      <xdr:row>72</xdr:row>
      <xdr:rowOff>116784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8D9827-4809-B645-93E6-6D59CB19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10831</xdr:colOff>
      <xdr:row>18</xdr:row>
      <xdr:rowOff>19505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5DB737-E8DD-55C0-9FD0-188698C52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354856" cy="32580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1181265</xdr:colOff>
      <xdr:row>27</xdr:row>
      <xdr:rowOff>28659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6A5704-23CE-D260-AA19-12E076832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762500"/>
          <a:ext cx="1181265" cy="6001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686077</xdr:colOff>
      <xdr:row>39</xdr:row>
      <xdr:rowOff>76264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D253D97-07AB-E328-0894-03280C232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7239000"/>
          <a:ext cx="1981477" cy="45726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29</xdr:row>
      <xdr:rowOff>1</xdr:rowOff>
    </xdr:from>
    <xdr:to>
      <xdr:col>2</xdr:col>
      <xdr:colOff>1276351</xdr:colOff>
      <xdr:row>32</xdr:row>
      <xdr:rowOff>57687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589EE39-A203-4A3E-B957-74EC9A78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1" y="5524501"/>
          <a:ext cx="1276350" cy="6291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5</xdr:col>
      <xdr:colOff>305291</xdr:colOff>
      <xdr:row>36</xdr:row>
      <xdr:rowOff>28659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2AE3DB5-8606-4335-8E2A-628DAA7F7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6286500"/>
          <a:ext cx="3515216" cy="600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610898</xdr:colOff>
      <xdr:row>24</xdr:row>
      <xdr:rowOff>181612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446AB4-55E3-F618-AE60-0E95995E3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297698" cy="4563112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28</xdr:row>
      <xdr:rowOff>85725</xdr:rowOff>
    </xdr:from>
    <xdr:to>
      <xdr:col>10</xdr:col>
      <xdr:colOff>362219</xdr:colOff>
      <xdr:row>31</xdr:row>
      <xdr:rowOff>76278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659188-1019-4F39-7367-107AC18D0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575" y="5419725"/>
          <a:ext cx="1924319" cy="5620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686077</xdr:colOff>
      <xdr:row>35</xdr:row>
      <xdr:rowOff>19132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835BC8-FFA8-4E7A-B93D-20C226F0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6096000"/>
          <a:ext cx="1981477" cy="5906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1276350</xdr:colOff>
      <xdr:row>45</xdr:row>
      <xdr:rowOff>57686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1DB6DF3-1073-43B3-8C55-47C482740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8001000"/>
          <a:ext cx="1276350" cy="6291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400287</xdr:colOff>
      <xdr:row>49</xdr:row>
      <xdr:rowOff>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630E778-F1FA-BF01-BAB9-0B77930EF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8763000"/>
          <a:ext cx="1695687" cy="5715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400287</xdr:colOff>
      <xdr:row>52</xdr:row>
      <xdr:rowOff>171527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400CA2E-4D08-0B01-62C9-6457B1F37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9525000"/>
          <a:ext cx="1695687" cy="5525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152602</xdr:colOff>
      <xdr:row>57</xdr:row>
      <xdr:rowOff>80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D3422C5-2796-BB7A-B9AF-6FFBAE010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0287000"/>
          <a:ext cx="1448002" cy="5715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4</xdr:col>
      <xdr:colOff>562341</xdr:colOff>
      <xdr:row>60</xdr:row>
      <xdr:rowOff>104843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4A36EC6-55C1-FF90-3155-7743841F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00" y="11049000"/>
          <a:ext cx="2619741" cy="4858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162140</xdr:colOff>
      <xdr:row>40</xdr:row>
      <xdr:rowOff>80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B327ABC-4ADF-46D4-9778-C39652013F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555"/>
        <a:stretch/>
      </xdr:blipFill>
      <xdr:spPr>
        <a:xfrm>
          <a:off x="1524000" y="7048500"/>
          <a:ext cx="1457540" cy="571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171450</xdr:rowOff>
    </xdr:from>
    <xdr:to>
      <xdr:col>11</xdr:col>
      <xdr:colOff>334679</xdr:colOff>
      <xdr:row>25</xdr:row>
      <xdr:rowOff>641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97DB7B-6A94-9CB8-B20A-F97DB1FCA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71450"/>
          <a:ext cx="9345329" cy="45916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4</xdr:col>
      <xdr:colOff>286003</xdr:colOff>
      <xdr:row>36</xdr:row>
      <xdr:rowOff>162001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D4C681-794A-FEB9-0D53-2A2356A0A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6477000"/>
          <a:ext cx="1810003" cy="543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5</xdr:col>
      <xdr:colOff>1048215</xdr:colOff>
      <xdr:row>44</xdr:row>
      <xdr:rowOff>57211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8D0CFD5-D29C-8980-739C-10FA7C6B8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8001000"/>
          <a:ext cx="3334215" cy="4382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505002</xdr:colOff>
      <xdr:row>52</xdr:row>
      <xdr:rowOff>162001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8B37300-92DD-762B-AD0F-61C07C553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9525000"/>
          <a:ext cx="1267002" cy="543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5</xdr:col>
      <xdr:colOff>1219689</xdr:colOff>
      <xdr:row>61</xdr:row>
      <xdr:rowOff>9606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2A4BE7A-6A13-19A9-B4E8-2346027FB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11049000"/>
          <a:ext cx="3505689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3</xdr:col>
      <xdr:colOff>476423</xdr:colOff>
      <xdr:row>67</xdr:row>
      <xdr:rowOff>181027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DE3E53A-9727-A6B6-649C-02079C10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12573000"/>
          <a:ext cx="1238423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4</xdr:col>
      <xdr:colOff>324108</xdr:colOff>
      <xdr:row>69</xdr:row>
      <xdr:rowOff>161974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AB55DE2-23AC-72E0-2279-CF1755BD4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2954000"/>
          <a:ext cx="1848108" cy="3524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372777</xdr:colOff>
      <xdr:row>23</xdr:row>
      <xdr:rowOff>48217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4B0117-B939-A2F9-368C-C7F064306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326277" cy="42392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695603</xdr:colOff>
      <xdr:row>34</xdr:row>
      <xdr:rowOff>47711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ABFDC9-3BE5-D2B9-CA35-BFB8E4FF7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5905500"/>
          <a:ext cx="1991003" cy="619211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36</xdr:row>
      <xdr:rowOff>0</xdr:rowOff>
    </xdr:from>
    <xdr:to>
      <xdr:col>5</xdr:col>
      <xdr:colOff>401</xdr:colOff>
      <xdr:row>39</xdr:row>
      <xdr:rowOff>171563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65C3025-F11A-4A15-90B2-7CBCE302A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234"/>
        <a:stretch/>
      </xdr:blipFill>
      <xdr:spPr>
        <a:xfrm>
          <a:off x="1466850" y="6858000"/>
          <a:ext cx="2876951" cy="74306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41</xdr:row>
      <xdr:rowOff>0</xdr:rowOff>
    </xdr:from>
    <xdr:to>
      <xdr:col>5</xdr:col>
      <xdr:colOff>358277</xdr:colOff>
      <xdr:row>50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8D4400C-20CE-74FD-5B44-CC91B8984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1" y="7810500"/>
          <a:ext cx="3177676" cy="18383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4</xdr:col>
      <xdr:colOff>543288</xdr:colOff>
      <xdr:row>55</xdr:row>
      <xdr:rowOff>9633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6D281-D9B6-0AB9-7FAD-FAEBB387E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9715500"/>
          <a:ext cx="2600688" cy="7716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11</xdr:col>
      <xdr:colOff>343267</xdr:colOff>
      <xdr:row>55</xdr:row>
      <xdr:rowOff>38212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3C1CD8-A1F8-72C9-8694-2F2FF104D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29400" y="9715500"/>
          <a:ext cx="2629267" cy="8002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1076475</xdr:colOff>
      <xdr:row>63</xdr:row>
      <xdr:rowOff>9606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758B12B-F61F-AA5A-EF20-59F3F9E0B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1430000"/>
          <a:ext cx="1076475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68</xdr:row>
      <xdr:rowOff>171450</xdr:rowOff>
    </xdr:from>
    <xdr:to>
      <xdr:col>4</xdr:col>
      <xdr:colOff>733825</xdr:colOff>
      <xdr:row>73</xdr:row>
      <xdr:rowOff>57267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63046E0-1213-9425-8710-2950C160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7800" y="13125450"/>
          <a:ext cx="2867425" cy="838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5</xdr:col>
      <xdr:colOff>743447</xdr:colOff>
      <xdr:row>78</xdr:row>
      <xdr:rowOff>85817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4BAB1CB-A815-1300-BA62-A8619A414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0" y="14287500"/>
          <a:ext cx="3562847" cy="6573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163225</xdr:colOff>
      <xdr:row>21</xdr:row>
      <xdr:rowOff>133900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CB6E68-709A-4F59-1E13-FD0B8C0F3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316750" cy="3943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495550</xdr:colOff>
      <xdr:row>33</xdr:row>
      <xdr:rowOff>38212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3417B0-8B4F-1904-A2C3-299A6E542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5524500"/>
          <a:ext cx="1790950" cy="8002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4</xdr:col>
      <xdr:colOff>352761</xdr:colOff>
      <xdr:row>39</xdr:row>
      <xdr:rowOff>38212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CA364DF-47D7-2F7E-17F8-77720071D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6667500"/>
          <a:ext cx="2410161" cy="8002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4</xdr:col>
      <xdr:colOff>124129</xdr:colOff>
      <xdr:row>45</xdr:row>
      <xdr:rowOff>85843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62CC06-02CA-F8BB-8BD4-C714EFF4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7810500"/>
          <a:ext cx="2181529" cy="8478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5</xdr:col>
      <xdr:colOff>542925</xdr:colOff>
      <xdr:row>58</xdr:row>
      <xdr:rowOff>116521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2326AFA-BFF5-A7A3-6DCD-3188FBD37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9144000"/>
          <a:ext cx="3362325" cy="2021521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61</xdr:row>
      <xdr:rowOff>0</xdr:rowOff>
    </xdr:from>
    <xdr:to>
      <xdr:col>3</xdr:col>
      <xdr:colOff>189</xdr:colOff>
      <xdr:row>64</xdr:row>
      <xdr:rowOff>123922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F8407B-1C8D-D445-CDB5-4CFDC697E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6850" y="12192000"/>
          <a:ext cx="1352739" cy="6954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5</xdr:col>
      <xdr:colOff>733921</xdr:colOff>
      <xdr:row>69</xdr:row>
      <xdr:rowOff>66764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2FA0A66-89DB-897A-BABE-4D0773590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3144500"/>
          <a:ext cx="3553321" cy="638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706149</xdr:colOff>
      <xdr:row>16</xdr:row>
      <xdr:rowOff>48030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145580-B6AD-4DC6-D968-4E4F89126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307224" cy="29055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8</xdr:col>
      <xdr:colOff>734196</xdr:colOff>
      <xdr:row>50</xdr:row>
      <xdr:rowOff>76875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CF78AF-EFD1-4484-A8FE-9E406221A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762500"/>
          <a:ext cx="5525271" cy="4839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666843</xdr:colOff>
      <xdr:row>57</xdr:row>
      <xdr:rowOff>114343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1A841C-790F-B4B0-3DCA-E074ADD7C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0668000"/>
          <a:ext cx="666843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5</xdr:col>
      <xdr:colOff>314719</xdr:colOff>
      <xdr:row>60</xdr:row>
      <xdr:rowOff>85764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6173737-B94C-0964-57A0-74D1D246B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1239500"/>
          <a:ext cx="2819794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A124-3C9D-4E5E-9D29-EA5E9B3359C6}">
  <dimension ref="C36:P54"/>
  <sheetViews>
    <sheetView tabSelected="1" topLeftCell="A10" zoomScaleNormal="100" workbookViewId="0">
      <selection activeCell="G43" sqref="G43"/>
    </sheetView>
  </sheetViews>
  <sheetFormatPr baseColWidth="10" defaultRowHeight="15" x14ac:dyDescent="0.25"/>
  <cols>
    <col min="5" max="5" width="16.7109375" bestFit="1" customWidth="1"/>
    <col min="6" max="6" width="19.28515625" bestFit="1" customWidth="1"/>
    <col min="7" max="7" width="23" bestFit="1" customWidth="1"/>
    <col min="8" max="9" width="12.5703125" bestFit="1" customWidth="1"/>
    <col min="10" max="10" width="14.5703125" bestFit="1" customWidth="1"/>
    <col min="11" max="11" width="19.28515625" bestFit="1" customWidth="1"/>
    <col min="12" max="12" width="23" bestFit="1" customWidth="1"/>
  </cols>
  <sheetData>
    <row r="36" spans="3:16" x14ac:dyDescent="0.25">
      <c r="C36" s="9" t="s">
        <v>38</v>
      </c>
      <c r="D36" s="9" t="s">
        <v>39</v>
      </c>
      <c r="E36" s="9" t="s">
        <v>40</v>
      </c>
      <c r="F36" s="11" t="s">
        <v>42</v>
      </c>
      <c r="H36" s="9" t="s">
        <v>38</v>
      </c>
      <c r="I36" s="9" t="s">
        <v>39</v>
      </c>
      <c r="J36" s="9" t="s">
        <v>40</v>
      </c>
      <c r="K36" s="9" t="s">
        <v>42</v>
      </c>
      <c r="L36" s="9" t="s">
        <v>43</v>
      </c>
      <c r="M36" s="9" t="s">
        <v>44</v>
      </c>
      <c r="N36" s="9" t="s">
        <v>45</v>
      </c>
      <c r="O36" s="9" t="s">
        <v>44</v>
      </c>
    </row>
    <row r="37" spans="3:16" x14ac:dyDescent="0.25">
      <c r="C37" s="1" t="s">
        <v>30</v>
      </c>
      <c r="D37" s="1">
        <v>80</v>
      </c>
      <c r="E37" s="2">
        <v>3750000</v>
      </c>
      <c r="F37" s="6">
        <f>E37*D37</f>
        <v>300000000</v>
      </c>
      <c r="G37" s="6"/>
      <c r="H37" s="1" t="s">
        <v>41</v>
      </c>
      <c r="I37" s="1">
        <v>440</v>
      </c>
      <c r="J37" s="2">
        <v>4315000</v>
      </c>
      <c r="K37" s="12">
        <f t="shared" ref="K37:K43" si="0">J37*I37</f>
        <v>1898600000</v>
      </c>
      <c r="L37" s="13">
        <f>K37</f>
        <v>1898600000</v>
      </c>
      <c r="M37" s="14">
        <f t="shared" ref="M37:M43" si="1">L37/$F$47</f>
        <v>0.39689831471866438</v>
      </c>
      <c r="N37" s="15" t="s">
        <v>26</v>
      </c>
      <c r="O37" s="30">
        <f>M38</f>
        <v>0.73555588863851917</v>
      </c>
      <c r="P37" s="22" t="s">
        <v>51</v>
      </c>
    </row>
    <row r="38" spans="3:16" x14ac:dyDescent="0.25">
      <c r="C38" s="1" t="s">
        <v>25</v>
      </c>
      <c r="D38" s="1">
        <v>400</v>
      </c>
      <c r="E38" s="2">
        <v>40000</v>
      </c>
      <c r="F38" s="6">
        <f t="shared" ref="F38:F46" si="2">E38*D38</f>
        <v>16000000</v>
      </c>
      <c r="G38" s="6"/>
      <c r="H38" s="1" t="s">
        <v>27</v>
      </c>
      <c r="I38" s="1">
        <v>1350</v>
      </c>
      <c r="J38" s="2">
        <v>1200000</v>
      </c>
      <c r="K38" s="13">
        <f t="shared" si="0"/>
        <v>1620000000</v>
      </c>
      <c r="L38" s="13">
        <f>K38+L37</f>
        <v>3518600000</v>
      </c>
      <c r="M38" s="14">
        <f t="shared" si="1"/>
        <v>0.73555588863851917</v>
      </c>
      <c r="N38" s="15" t="s">
        <v>26</v>
      </c>
      <c r="O38" s="31"/>
    </row>
    <row r="39" spans="3:16" x14ac:dyDescent="0.25">
      <c r="C39" s="1" t="s">
        <v>41</v>
      </c>
      <c r="D39" s="1">
        <v>440</v>
      </c>
      <c r="E39" s="2">
        <v>4315000</v>
      </c>
      <c r="F39" s="7">
        <f t="shared" si="2"/>
        <v>1898600000</v>
      </c>
      <c r="G39" s="6"/>
      <c r="H39" s="1" t="s">
        <v>28</v>
      </c>
      <c r="I39" s="1">
        <v>520</v>
      </c>
      <c r="J39" s="2">
        <v>950000</v>
      </c>
      <c r="K39" s="13">
        <f t="shared" si="0"/>
        <v>494000000</v>
      </c>
      <c r="L39" s="13">
        <f t="shared" ref="L39:L46" si="3">K39+L38</f>
        <v>4012600000</v>
      </c>
      <c r="M39" s="14">
        <f t="shared" si="1"/>
        <v>0.8388255438955613</v>
      </c>
      <c r="N39" s="16" t="s">
        <v>29</v>
      </c>
      <c r="O39" s="30">
        <f>M40-O37</f>
        <v>0.16598402079775598</v>
      </c>
      <c r="P39" s="22" t="s">
        <v>52</v>
      </c>
    </row>
    <row r="40" spans="3:16" x14ac:dyDescent="0.25">
      <c r="C40" s="1" t="s">
        <v>35</v>
      </c>
      <c r="D40" s="1">
        <v>470</v>
      </c>
      <c r="E40" s="2">
        <v>17500</v>
      </c>
      <c r="F40" s="6">
        <f t="shared" si="2"/>
        <v>8225000</v>
      </c>
      <c r="G40" s="6"/>
      <c r="H40" s="1" t="s">
        <v>30</v>
      </c>
      <c r="I40" s="1">
        <v>80</v>
      </c>
      <c r="J40" s="2">
        <v>3750000</v>
      </c>
      <c r="K40" s="13">
        <f t="shared" si="0"/>
        <v>300000000</v>
      </c>
      <c r="L40" s="13">
        <f t="shared" si="3"/>
        <v>4312600000</v>
      </c>
      <c r="M40" s="14">
        <f t="shared" si="1"/>
        <v>0.90153990943627516</v>
      </c>
      <c r="N40" s="16" t="s">
        <v>29</v>
      </c>
      <c r="O40" s="31"/>
    </row>
    <row r="41" spans="3:16" x14ac:dyDescent="0.25">
      <c r="C41" s="1" t="s">
        <v>28</v>
      </c>
      <c r="D41" s="1">
        <v>520</v>
      </c>
      <c r="E41" s="2">
        <v>950000</v>
      </c>
      <c r="F41" s="6">
        <f t="shared" si="2"/>
        <v>494000000</v>
      </c>
      <c r="G41" s="6"/>
      <c r="H41" s="1" t="s">
        <v>31</v>
      </c>
      <c r="I41" s="1">
        <v>1624</v>
      </c>
      <c r="J41" s="2">
        <v>158000</v>
      </c>
      <c r="K41" s="13">
        <f t="shared" si="0"/>
        <v>256592000</v>
      </c>
      <c r="L41" s="13">
        <f t="shared" si="3"/>
        <v>4569192000</v>
      </c>
      <c r="M41" s="14">
        <f t="shared" si="1"/>
        <v>0.955179924379018</v>
      </c>
      <c r="N41" s="17" t="s">
        <v>32</v>
      </c>
      <c r="O41" s="30">
        <f>M46-O39-O37</f>
        <v>9.8460090563724845E-2</v>
      </c>
      <c r="P41" s="22" t="s">
        <v>53</v>
      </c>
    </row>
    <row r="42" spans="3:16" x14ac:dyDescent="0.25">
      <c r="C42" s="1" t="s">
        <v>34</v>
      </c>
      <c r="D42" s="1">
        <v>730</v>
      </c>
      <c r="E42" s="2">
        <v>50600</v>
      </c>
      <c r="F42" s="6">
        <f t="shared" si="2"/>
        <v>36938000</v>
      </c>
      <c r="G42" s="6"/>
      <c r="H42" s="1" t="s">
        <v>33</v>
      </c>
      <c r="I42" s="1">
        <v>1076</v>
      </c>
      <c r="J42" s="2">
        <v>138500</v>
      </c>
      <c r="K42" s="13">
        <f t="shared" si="0"/>
        <v>149026000</v>
      </c>
      <c r="L42" s="13">
        <f t="shared" si="3"/>
        <v>4718218000</v>
      </c>
      <c r="M42" s="14">
        <f t="shared" si="1"/>
        <v>0.98633349450925278</v>
      </c>
      <c r="N42" s="17" t="s">
        <v>32</v>
      </c>
      <c r="O42" s="31"/>
    </row>
    <row r="43" spans="3:16" x14ac:dyDescent="0.25">
      <c r="C43" s="1" t="s">
        <v>36</v>
      </c>
      <c r="D43" s="1">
        <v>810</v>
      </c>
      <c r="E43" s="2">
        <v>5200</v>
      </c>
      <c r="F43" s="6">
        <f t="shared" si="2"/>
        <v>4212000</v>
      </c>
      <c r="G43" s="6"/>
      <c r="H43" s="1" t="s">
        <v>34</v>
      </c>
      <c r="I43" s="1">
        <v>730</v>
      </c>
      <c r="J43" s="2">
        <v>50600</v>
      </c>
      <c r="K43" s="13">
        <f t="shared" si="0"/>
        <v>36938000</v>
      </c>
      <c r="L43" s="13">
        <f t="shared" si="3"/>
        <v>4755156000</v>
      </c>
      <c r="M43" s="14">
        <f t="shared" si="1"/>
        <v>0.99405530529039576</v>
      </c>
      <c r="N43" s="17" t="s">
        <v>32</v>
      </c>
      <c r="O43" s="31"/>
    </row>
    <row r="44" spans="3:16" x14ac:dyDescent="0.25">
      <c r="C44" s="1" t="s">
        <v>33</v>
      </c>
      <c r="D44" s="1">
        <v>1076</v>
      </c>
      <c r="E44" s="2">
        <v>138500</v>
      </c>
      <c r="F44" s="6">
        <f t="shared" si="2"/>
        <v>149026000</v>
      </c>
      <c r="G44" s="6"/>
      <c r="H44" s="1" t="s">
        <v>25</v>
      </c>
      <c r="I44" s="1">
        <v>400</v>
      </c>
      <c r="J44" s="2">
        <v>40000</v>
      </c>
      <c r="K44" s="13">
        <f t="shared" ref="K44:K46" si="4">J44*I44</f>
        <v>16000000</v>
      </c>
      <c r="L44" s="13">
        <f t="shared" si="3"/>
        <v>4771156000</v>
      </c>
      <c r="M44" s="14">
        <f t="shared" ref="M44:M46" si="5">L44/$F$47</f>
        <v>0.99740007145256715</v>
      </c>
      <c r="N44" s="17" t="s">
        <v>32</v>
      </c>
      <c r="O44" s="31"/>
    </row>
    <row r="45" spans="3:16" x14ac:dyDescent="0.25">
      <c r="C45" s="1" t="s">
        <v>27</v>
      </c>
      <c r="D45" s="1">
        <v>1350</v>
      </c>
      <c r="E45" s="2">
        <v>1200000</v>
      </c>
      <c r="F45" s="6">
        <f t="shared" si="2"/>
        <v>1620000000</v>
      </c>
      <c r="G45" s="6"/>
      <c r="H45" s="1" t="s">
        <v>35</v>
      </c>
      <c r="I45" s="1">
        <v>470</v>
      </c>
      <c r="J45" s="2">
        <v>17500</v>
      </c>
      <c r="K45" s="13">
        <f t="shared" si="4"/>
        <v>8225000</v>
      </c>
      <c r="L45" s="13">
        <f t="shared" si="3"/>
        <v>4779381000</v>
      </c>
      <c r="M45" s="14">
        <f t="shared" si="5"/>
        <v>0.99911949030780833</v>
      </c>
      <c r="N45" s="17" t="s">
        <v>32</v>
      </c>
      <c r="O45" s="31"/>
    </row>
    <row r="46" spans="3:16" x14ac:dyDescent="0.25">
      <c r="C46" s="1" t="s">
        <v>31</v>
      </c>
      <c r="D46" s="1">
        <v>1624</v>
      </c>
      <c r="E46" s="2">
        <v>158000</v>
      </c>
      <c r="F46" s="6">
        <f t="shared" si="2"/>
        <v>256592000</v>
      </c>
      <c r="G46" s="6"/>
      <c r="H46" s="1" t="s">
        <v>36</v>
      </c>
      <c r="I46" s="1">
        <v>810</v>
      </c>
      <c r="J46" s="2">
        <v>5200</v>
      </c>
      <c r="K46" s="13">
        <f t="shared" si="4"/>
        <v>4212000</v>
      </c>
      <c r="L46" s="13">
        <f t="shared" si="3"/>
        <v>4783593000</v>
      </c>
      <c r="M46" s="14">
        <f t="shared" si="5"/>
        <v>1</v>
      </c>
      <c r="N46" s="17" t="s">
        <v>32</v>
      </c>
      <c r="O46" s="31"/>
    </row>
    <row r="47" spans="3:16" x14ac:dyDescent="0.25">
      <c r="C47" s="10" t="s">
        <v>37</v>
      </c>
      <c r="E47" s="6"/>
      <c r="F47" s="6">
        <f>SUM(F37:F46)</f>
        <v>4783593000</v>
      </c>
      <c r="H47" s="10" t="s">
        <v>37</v>
      </c>
      <c r="J47" s="6"/>
      <c r="K47" s="6">
        <f>SUM(K37:K46)</f>
        <v>4783593000</v>
      </c>
    </row>
    <row r="50" spans="3:9" x14ac:dyDescent="0.25">
      <c r="D50" s="9" t="s">
        <v>45</v>
      </c>
      <c r="E50" s="9" t="s">
        <v>46</v>
      </c>
      <c r="F50" s="9" t="s">
        <v>47</v>
      </c>
      <c r="G50" s="9" t="s">
        <v>48</v>
      </c>
      <c r="H50" s="9" t="s">
        <v>49</v>
      </c>
      <c r="I50" s="9" t="s">
        <v>50</v>
      </c>
    </row>
    <row r="51" spans="3:9" x14ac:dyDescent="0.25">
      <c r="C51" s="22" t="s">
        <v>51</v>
      </c>
      <c r="D51" s="15" t="s">
        <v>26</v>
      </c>
      <c r="E51" s="1">
        <f>COUNTIF($N$37:$N$46, "A")</f>
        <v>2</v>
      </c>
      <c r="F51" s="18">
        <f>E51/$E$54</f>
        <v>0.2</v>
      </c>
      <c r="G51" s="19">
        <f>F51</f>
        <v>0.2</v>
      </c>
      <c r="H51" s="20">
        <f>O37</f>
        <v>0.73555588863851917</v>
      </c>
      <c r="I51" s="20">
        <f>H51</f>
        <v>0.73555588863851917</v>
      </c>
    </row>
    <row r="52" spans="3:9" x14ac:dyDescent="0.25">
      <c r="C52" s="22" t="s">
        <v>52</v>
      </c>
      <c r="D52" s="16" t="s">
        <v>29</v>
      </c>
      <c r="E52" s="1">
        <f>COUNTIF($N$37:$N$46, "B")</f>
        <v>2</v>
      </c>
      <c r="F52" s="18">
        <f>E52/$E$54</f>
        <v>0.2</v>
      </c>
      <c r="G52" s="19">
        <f>F52+G51</f>
        <v>0.4</v>
      </c>
      <c r="H52" s="20">
        <f>O39</f>
        <v>0.16598402079775598</v>
      </c>
      <c r="I52" s="20">
        <f>H52+I51</f>
        <v>0.90153990943627516</v>
      </c>
    </row>
    <row r="53" spans="3:9" x14ac:dyDescent="0.25">
      <c r="C53" s="22" t="s">
        <v>53</v>
      </c>
      <c r="D53" s="17" t="s">
        <v>32</v>
      </c>
      <c r="E53" s="1">
        <f>COUNTIF($N$37:$N$46, "C")</f>
        <v>6</v>
      </c>
      <c r="F53" s="18">
        <f>E53/$E$54</f>
        <v>0.6</v>
      </c>
      <c r="G53" s="19">
        <f>F53+G52</f>
        <v>1</v>
      </c>
      <c r="H53" s="20">
        <f>O41</f>
        <v>9.8460090563724845E-2</v>
      </c>
      <c r="I53" s="20">
        <f>H53+I52</f>
        <v>1</v>
      </c>
    </row>
    <row r="54" spans="3:9" x14ac:dyDescent="0.25">
      <c r="E54">
        <f>SUM(E51:E53)</f>
        <v>10</v>
      </c>
      <c r="F54" s="21">
        <f>SUM(F51:F53)</f>
        <v>1</v>
      </c>
    </row>
  </sheetData>
  <mergeCells count="3">
    <mergeCell ref="O37:O38"/>
    <mergeCell ref="O39:O40"/>
    <mergeCell ref="O41:O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138D-B623-480C-8CF9-A7D54AACE8DD}">
  <dimension ref="B20:H38"/>
  <sheetViews>
    <sheetView workbookViewId="0">
      <selection activeCell="C20" sqref="C20:G23"/>
    </sheetView>
  </sheetViews>
  <sheetFormatPr baseColWidth="10" defaultRowHeight="15" x14ac:dyDescent="0.25"/>
  <cols>
    <col min="3" max="3" width="19.42578125" bestFit="1" customWidth="1"/>
    <col min="4" max="4" width="12" bestFit="1" customWidth="1"/>
    <col min="5" max="5" width="16.7109375" bestFit="1" customWidth="1"/>
    <col min="6" max="6" width="12" bestFit="1" customWidth="1"/>
  </cols>
  <sheetData>
    <row r="20" spans="2:7" x14ac:dyDescent="0.25">
      <c r="C20" s="1" t="s">
        <v>0</v>
      </c>
      <c r="D20" s="5">
        <v>23000</v>
      </c>
      <c r="E20" t="s">
        <v>2</v>
      </c>
      <c r="G20" t="s">
        <v>11</v>
      </c>
    </row>
    <row r="21" spans="2:7" x14ac:dyDescent="0.25">
      <c r="C21" s="1" t="s">
        <v>1</v>
      </c>
      <c r="D21" s="2">
        <v>1.5</v>
      </c>
      <c r="E21" t="s">
        <v>3</v>
      </c>
      <c r="F21" s="6"/>
      <c r="G21" t="s">
        <v>12</v>
      </c>
    </row>
    <row r="22" spans="2:7" x14ac:dyDescent="0.25">
      <c r="C22" s="1" t="s">
        <v>4</v>
      </c>
      <c r="D22" s="2">
        <v>1000</v>
      </c>
      <c r="G22" t="s">
        <v>13</v>
      </c>
    </row>
    <row r="23" spans="2:7" x14ac:dyDescent="0.25">
      <c r="C23" s="1" t="s">
        <v>5</v>
      </c>
      <c r="D23" s="3">
        <v>145</v>
      </c>
      <c r="G23" t="s">
        <v>14</v>
      </c>
    </row>
    <row r="25" spans="2:7" x14ac:dyDescent="0.25">
      <c r="B25" t="s">
        <v>6</v>
      </c>
    </row>
    <row r="26" spans="2:7" x14ac:dyDescent="0.25">
      <c r="D26" s="4">
        <f>SQRT((2*D20*D22)/D21)</f>
        <v>5537.7492419453838</v>
      </c>
      <c r="E26" t="s">
        <v>7</v>
      </c>
    </row>
    <row r="30" spans="2:7" x14ac:dyDescent="0.25">
      <c r="B30" t="s">
        <v>8</v>
      </c>
      <c r="D30" s="4">
        <f>D20/D26</f>
        <v>4.1533119314590374</v>
      </c>
      <c r="E30" t="s">
        <v>9</v>
      </c>
    </row>
    <row r="34" spans="2:8" x14ac:dyDescent="0.25">
      <c r="B34" t="s">
        <v>10</v>
      </c>
      <c r="D34" s="4"/>
      <c r="G34" s="4">
        <f>365/D30</f>
        <v>87.881672752611522</v>
      </c>
      <c r="H34" t="s">
        <v>16</v>
      </c>
    </row>
    <row r="38" spans="2:8" x14ac:dyDescent="0.25">
      <c r="B38" t="s">
        <v>15</v>
      </c>
      <c r="E38" s="8">
        <f>D22*D20/D26+D21*D26/2+D23*D20</f>
        <v>3343306.623862918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C9AA-0253-4A4D-8DC9-8AE4A3198A61}">
  <dimension ref="B27:I59"/>
  <sheetViews>
    <sheetView workbookViewId="0">
      <selection activeCell="C27" sqref="C27:G31"/>
    </sheetView>
  </sheetViews>
  <sheetFormatPr baseColWidth="10" defaultRowHeight="15" x14ac:dyDescent="0.25"/>
  <cols>
    <col min="3" max="3" width="19.42578125" bestFit="1" customWidth="1"/>
    <col min="5" max="5" width="15.85546875" bestFit="1" customWidth="1"/>
    <col min="6" max="6" width="15" bestFit="1" customWidth="1"/>
  </cols>
  <sheetData>
    <row r="27" spans="3:7" x14ac:dyDescent="0.25">
      <c r="C27" s="1" t="s">
        <v>0</v>
      </c>
      <c r="D27" s="5">
        <v>9800</v>
      </c>
      <c r="E27" t="s">
        <v>2</v>
      </c>
      <c r="G27" t="s">
        <v>11</v>
      </c>
    </row>
    <row r="28" spans="3:7" x14ac:dyDescent="0.25">
      <c r="C28" s="1" t="s">
        <v>1</v>
      </c>
      <c r="D28" s="2">
        <v>1.5</v>
      </c>
      <c r="E28" t="s">
        <v>3</v>
      </c>
      <c r="F28" s="6"/>
      <c r="G28" t="s">
        <v>12</v>
      </c>
    </row>
    <row r="29" spans="3:7" x14ac:dyDescent="0.25">
      <c r="C29" s="1" t="s">
        <v>4</v>
      </c>
      <c r="D29" s="2">
        <v>450</v>
      </c>
      <c r="G29" t="s">
        <v>13</v>
      </c>
    </row>
    <row r="30" spans="3:7" x14ac:dyDescent="0.25">
      <c r="C30" s="1" t="s">
        <v>5</v>
      </c>
      <c r="D30" s="3">
        <v>10</v>
      </c>
      <c r="G30" t="s">
        <v>14</v>
      </c>
    </row>
    <row r="31" spans="3:7" x14ac:dyDescent="0.25">
      <c r="C31" s="1" t="s">
        <v>17</v>
      </c>
      <c r="D31" s="3">
        <v>12.5</v>
      </c>
      <c r="G31" t="s">
        <v>18</v>
      </c>
    </row>
    <row r="33" spans="2:9" x14ac:dyDescent="0.25">
      <c r="B33" t="s">
        <v>6</v>
      </c>
      <c r="E33" s="4">
        <f>SQRT((2*D27*D29*(D28+D31)/(D28*D31)))</f>
        <v>2566.2423891752705</v>
      </c>
      <c r="I33">
        <f>SQRT((2*D27*D28*D29*D31)/(D28+D31))</f>
        <v>3436.93177121688</v>
      </c>
    </row>
    <row r="38" spans="2:9" x14ac:dyDescent="0.25">
      <c r="B38" t="s">
        <v>8</v>
      </c>
      <c r="E38" s="4">
        <f>SQRT((2*D27*D28*D29)/((D28+D31)*D31))</f>
        <v>274.95454169735041</v>
      </c>
    </row>
    <row r="43" spans="2:9" x14ac:dyDescent="0.25">
      <c r="B43" t="s">
        <v>10</v>
      </c>
      <c r="D43" s="4">
        <f>D27/E33</f>
        <v>3.8188130791298667</v>
      </c>
    </row>
    <row r="47" spans="2:9" x14ac:dyDescent="0.25">
      <c r="B47" t="s">
        <v>15</v>
      </c>
      <c r="E47" s="4">
        <f>SQRT((2*D31*D29)/(D27*(D28+D31)*D28))</f>
        <v>0.23380488239570613</v>
      </c>
      <c r="F47" s="4">
        <f>E47*365</f>
        <v>85.338782074432743</v>
      </c>
      <c r="G47" t="s">
        <v>16</v>
      </c>
    </row>
    <row r="48" spans="2:9" x14ac:dyDescent="0.25">
      <c r="E48" s="4"/>
    </row>
    <row r="49" spans="2:7" x14ac:dyDescent="0.25">
      <c r="E49" s="4"/>
    </row>
    <row r="50" spans="2:7" x14ac:dyDescent="0.25">
      <c r="E50" s="4"/>
    </row>
    <row r="51" spans="2:7" x14ac:dyDescent="0.25">
      <c r="B51" t="s">
        <v>19</v>
      </c>
      <c r="E51" s="4">
        <f>SQRT(2*D28*D29/(D27*(D28+D31)*D31))</f>
        <v>2.8056585887484737E-2</v>
      </c>
      <c r="F51" s="4">
        <f>E51*365</f>
        <v>10.240653848931929</v>
      </c>
      <c r="G51" t="s">
        <v>20</v>
      </c>
    </row>
    <row r="55" spans="2:7" x14ac:dyDescent="0.25">
      <c r="B55" t="s">
        <v>21</v>
      </c>
      <c r="E55" s="4">
        <f>SQRT((2*D27*D31*D29)/((D28+D31)*D28))</f>
        <v>2291.28784747792</v>
      </c>
      <c r="F55" t="s">
        <v>22</v>
      </c>
    </row>
    <row r="59" spans="2:7" x14ac:dyDescent="0.25">
      <c r="B59" t="s">
        <v>23</v>
      </c>
      <c r="F59" s="8">
        <f>E55^2*D28/(2*E33)+E38^2*D31/(2*E33)+D29*D27/E33+D30*D27</f>
        <v>101436.93177121688</v>
      </c>
      <c r="G59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4F7C-CAAA-4B06-B617-356CA4B33B02}">
  <dimension ref="B27:M72"/>
  <sheetViews>
    <sheetView workbookViewId="0">
      <selection activeCell="I39" sqref="I39"/>
    </sheetView>
  </sheetViews>
  <sheetFormatPr baseColWidth="10" defaultRowHeight="15" x14ac:dyDescent="0.25"/>
  <cols>
    <col min="6" max="6" width="21.5703125" customWidth="1"/>
    <col min="7" max="7" width="14.5703125" bestFit="1" customWidth="1"/>
    <col min="8" max="8" width="19.42578125" bestFit="1" customWidth="1"/>
  </cols>
  <sheetData>
    <row r="27" spans="3:13" x14ac:dyDescent="0.25">
      <c r="C27" s="24"/>
      <c r="D27" s="23" t="s">
        <v>54</v>
      </c>
      <c r="E27" s="23" t="s">
        <v>55</v>
      </c>
      <c r="F27" s="25" t="s">
        <v>56</v>
      </c>
      <c r="H27" s="1" t="s">
        <v>0</v>
      </c>
      <c r="I27" s="5">
        <v>17000</v>
      </c>
      <c r="J27" t="s">
        <v>2</v>
      </c>
      <c r="L27" t="s">
        <v>11</v>
      </c>
      <c r="M27" t="s">
        <v>84</v>
      </c>
    </row>
    <row r="28" spans="3:13" x14ac:dyDescent="0.25">
      <c r="C28" s="23" t="s">
        <v>57</v>
      </c>
      <c r="D28" s="24">
        <v>1</v>
      </c>
      <c r="E28" s="24">
        <v>599</v>
      </c>
      <c r="F28" s="24">
        <v>10</v>
      </c>
      <c r="H28" s="1" t="s">
        <v>1</v>
      </c>
      <c r="I28" s="27">
        <v>0.5</v>
      </c>
      <c r="J28" t="s">
        <v>3</v>
      </c>
      <c r="K28" s="6"/>
      <c r="L28" t="s">
        <v>12</v>
      </c>
      <c r="M28" s="6" t="s">
        <v>86</v>
      </c>
    </row>
    <row r="29" spans="3:13" x14ac:dyDescent="0.25">
      <c r="C29" s="23" t="s">
        <v>58</v>
      </c>
      <c r="D29" s="24">
        <v>600</v>
      </c>
      <c r="E29" s="24">
        <v>799</v>
      </c>
      <c r="F29" s="24">
        <v>8</v>
      </c>
      <c r="H29" s="1" t="s">
        <v>4</v>
      </c>
      <c r="I29" s="2">
        <v>54</v>
      </c>
      <c r="L29" t="s">
        <v>13</v>
      </c>
      <c r="M29" t="s">
        <v>85</v>
      </c>
    </row>
    <row r="30" spans="3:13" x14ac:dyDescent="0.25">
      <c r="C30" s="23" t="s">
        <v>59</v>
      </c>
      <c r="D30" s="24">
        <v>800</v>
      </c>
      <c r="E30" s="24">
        <v>899</v>
      </c>
      <c r="F30" s="24">
        <v>6</v>
      </c>
      <c r="H30" s="1" t="s">
        <v>82</v>
      </c>
      <c r="I30" s="26">
        <v>345</v>
      </c>
    </row>
    <row r="31" spans="3:13" x14ac:dyDescent="0.25">
      <c r="C31" s="23" t="s">
        <v>60</v>
      </c>
      <c r="D31" s="24">
        <v>900</v>
      </c>
      <c r="E31" s="24">
        <v>999</v>
      </c>
      <c r="F31" s="24">
        <v>4</v>
      </c>
    </row>
    <row r="32" spans="3:13" x14ac:dyDescent="0.25">
      <c r="C32" s="23" t="s">
        <v>61</v>
      </c>
      <c r="D32" s="24">
        <v>1000</v>
      </c>
      <c r="E32" s="24">
        <v>9000</v>
      </c>
      <c r="F32" s="24">
        <v>3.5</v>
      </c>
    </row>
    <row r="35" spans="2:8" x14ac:dyDescent="0.25">
      <c r="B35" t="s">
        <v>6</v>
      </c>
      <c r="F35" s="24"/>
      <c r="G35" s="23" t="s">
        <v>83</v>
      </c>
    </row>
    <row r="36" spans="2:8" x14ac:dyDescent="0.25">
      <c r="F36" s="23" t="s">
        <v>57</v>
      </c>
      <c r="G36" s="29">
        <f>SQRT(2*$I$27*$I$29/($I$28*F28))</f>
        <v>605.97029630172472</v>
      </c>
      <c r="H36" t="s">
        <v>2</v>
      </c>
    </row>
    <row r="37" spans="2:8" x14ac:dyDescent="0.25">
      <c r="F37" s="23" t="s">
        <v>58</v>
      </c>
      <c r="G37" s="29">
        <f t="shared" ref="G37:G40" si="0">SQRT(2*$I$27*$I$29/($I$28*F29))</f>
        <v>677.49538743817288</v>
      </c>
      <c r="H37" t="s">
        <v>2</v>
      </c>
    </row>
    <row r="38" spans="2:8" x14ac:dyDescent="0.25">
      <c r="F38" s="23" t="s">
        <v>59</v>
      </c>
      <c r="G38" s="29">
        <f t="shared" si="0"/>
        <v>782.30428862431779</v>
      </c>
      <c r="H38" t="s">
        <v>2</v>
      </c>
    </row>
    <row r="39" spans="2:8" x14ac:dyDescent="0.25">
      <c r="F39" s="23" t="s">
        <v>60</v>
      </c>
      <c r="G39" s="29">
        <f t="shared" si="0"/>
        <v>958.12316536027868</v>
      </c>
      <c r="H39" t="s">
        <v>2</v>
      </c>
    </row>
    <row r="40" spans="2:8" x14ac:dyDescent="0.25">
      <c r="F40" s="23" t="s">
        <v>61</v>
      </c>
      <c r="G40" s="29">
        <f t="shared" si="0"/>
        <v>1024.2767483170048</v>
      </c>
      <c r="H40" t="s">
        <v>2</v>
      </c>
    </row>
    <row r="43" spans="2:8" x14ac:dyDescent="0.25">
      <c r="B43" t="s">
        <v>8</v>
      </c>
      <c r="G43" s="24"/>
      <c r="H43" s="23" t="s">
        <v>87</v>
      </c>
    </row>
    <row r="44" spans="2:8" x14ac:dyDescent="0.25">
      <c r="G44" s="23" t="s">
        <v>57</v>
      </c>
      <c r="H44" s="13">
        <f>$I$27*F28+$I$27*$I$29/G36+G36*$I$28/2</f>
        <v>171666.41831482976</v>
      </c>
    </row>
    <row r="45" spans="2:8" x14ac:dyDescent="0.25">
      <c r="G45" s="23" t="s">
        <v>58</v>
      </c>
      <c r="H45" s="13">
        <f t="shared" ref="H45:H48" si="1">$I$27*F29+$I$27*$I$29/G37+G37*$I$28/2</f>
        <v>137524.36462173591</v>
      </c>
    </row>
    <row r="46" spans="2:8" x14ac:dyDescent="0.25">
      <c r="G46" s="23" t="s">
        <v>59</v>
      </c>
      <c r="H46" s="13">
        <f t="shared" si="1"/>
        <v>103369.03250509256</v>
      </c>
    </row>
    <row r="47" spans="2:8" x14ac:dyDescent="0.25">
      <c r="G47" s="23" t="s">
        <v>60</v>
      </c>
      <c r="H47" s="13">
        <f t="shared" si="1"/>
        <v>69197.653956700349</v>
      </c>
    </row>
    <row r="48" spans="2:8" x14ac:dyDescent="0.25">
      <c r="G48" s="23" t="s">
        <v>61</v>
      </c>
      <c r="H48" s="13">
        <f t="shared" si="1"/>
        <v>60652.311341856628</v>
      </c>
    </row>
    <row r="51" spans="2:8" x14ac:dyDescent="0.25">
      <c r="B51" t="s">
        <v>10</v>
      </c>
      <c r="E51" s="24"/>
      <c r="F51" s="23" t="s">
        <v>88</v>
      </c>
    </row>
    <row r="52" spans="2:8" x14ac:dyDescent="0.25">
      <c r="E52" s="23" t="s">
        <v>57</v>
      </c>
      <c r="F52" s="28">
        <f>$I$27/G36</f>
        <v>28.054180384339105</v>
      </c>
    </row>
    <row r="53" spans="2:8" x14ac:dyDescent="0.25">
      <c r="E53" s="23" t="s">
        <v>58</v>
      </c>
      <c r="F53" s="28">
        <f t="shared" ref="F53:F56" si="2">$I$27/G37</f>
        <v>25.092421756969365</v>
      </c>
    </row>
    <row r="54" spans="2:8" x14ac:dyDescent="0.25">
      <c r="E54" s="23" t="s">
        <v>59</v>
      </c>
      <c r="F54" s="28">
        <f t="shared" si="2"/>
        <v>21.730674684008832</v>
      </c>
    </row>
    <row r="55" spans="2:8" x14ac:dyDescent="0.25">
      <c r="E55" s="23" t="s">
        <v>60</v>
      </c>
      <c r="F55" s="28">
        <f t="shared" si="2"/>
        <v>17.743021580745904</v>
      </c>
    </row>
    <row r="56" spans="2:8" x14ac:dyDescent="0.25">
      <c r="E56" s="23" t="s">
        <v>61</v>
      </c>
      <c r="F56" s="28">
        <f t="shared" si="2"/>
        <v>16.597076940321841</v>
      </c>
    </row>
    <row r="59" spans="2:8" x14ac:dyDescent="0.25">
      <c r="B59" t="s">
        <v>15</v>
      </c>
      <c r="G59" s="24"/>
      <c r="H59" s="23" t="s">
        <v>89</v>
      </c>
    </row>
    <row r="60" spans="2:8" x14ac:dyDescent="0.25">
      <c r="G60" s="23" t="s">
        <v>57</v>
      </c>
      <c r="H60" s="28">
        <f>$I$30/F52</f>
        <v>12.297632483770295</v>
      </c>
    </row>
    <row r="61" spans="2:8" x14ac:dyDescent="0.25">
      <c r="G61" s="23" t="s">
        <v>58</v>
      </c>
      <c r="H61" s="28">
        <f t="shared" ref="H61:H64" si="3">$I$30/F53</f>
        <v>13.749171098009979</v>
      </c>
    </row>
    <row r="62" spans="2:8" x14ac:dyDescent="0.25">
      <c r="G62" s="23" t="s">
        <v>59</v>
      </c>
      <c r="H62" s="28">
        <f>$I$30/F54</f>
        <v>15.876175269140566</v>
      </c>
    </row>
    <row r="63" spans="2:8" x14ac:dyDescent="0.25">
      <c r="G63" s="23" t="s">
        <v>60</v>
      </c>
      <c r="H63" s="28">
        <f t="shared" si="3"/>
        <v>19.444264238193892</v>
      </c>
    </row>
    <row r="64" spans="2:8" x14ac:dyDescent="0.25">
      <c r="G64" s="23" t="s">
        <v>61</v>
      </c>
      <c r="H64" s="28">
        <f t="shared" si="3"/>
        <v>20.786792833492157</v>
      </c>
    </row>
    <row r="67" spans="2:7" x14ac:dyDescent="0.25">
      <c r="B67" t="s">
        <v>19</v>
      </c>
      <c r="F67" s="24"/>
      <c r="G67" s="23" t="s">
        <v>90</v>
      </c>
    </row>
    <row r="68" spans="2:7" x14ac:dyDescent="0.25">
      <c r="F68" s="23" t="s">
        <v>57</v>
      </c>
      <c r="G68" s="28">
        <f>$I$27*H60/$I$30</f>
        <v>605.97029630172472</v>
      </c>
    </row>
    <row r="69" spans="2:7" x14ac:dyDescent="0.25">
      <c r="F69" s="23" t="s">
        <v>58</v>
      </c>
      <c r="G69" s="28">
        <f t="shared" ref="G69:G72" si="4">$I$27*H61/$I$30</f>
        <v>677.49538743817288</v>
      </c>
    </row>
    <row r="70" spans="2:7" x14ac:dyDescent="0.25">
      <c r="F70" s="23" t="s">
        <v>59</v>
      </c>
      <c r="G70" s="28">
        <f t="shared" si="4"/>
        <v>782.30428862431779</v>
      </c>
    </row>
    <row r="71" spans="2:7" x14ac:dyDescent="0.25">
      <c r="F71" s="23" t="s">
        <v>60</v>
      </c>
      <c r="G71" s="28">
        <f t="shared" si="4"/>
        <v>958.12316536027868</v>
      </c>
    </row>
    <row r="72" spans="2:7" x14ac:dyDescent="0.25">
      <c r="F72" s="23" t="s">
        <v>61</v>
      </c>
      <c r="G72" s="28">
        <f t="shared" si="4"/>
        <v>1024.2767483170048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9AE0-1E41-4916-8C3A-CFF9A1AC0D00}">
  <dimension ref="B25:N76"/>
  <sheetViews>
    <sheetView workbookViewId="0">
      <selection activeCell="H77" sqref="H77"/>
    </sheetView>
  </sheetViews>
  <sheetFormatPr baseColWidth="10" defaultRowHeight="15" x14ac:dyDescent="0.25"/>
  <cols>
    <col min="3" max="3" width="19.42578125" bestFit="1" customWidth="1"/>
    <col min="7" max="7" width="12" bestFit="1" customWidth="1"/>
  </cols>
  <sheetData>
    <row r="25" spans="2:7" x14ac:dyDescent="0.25">
      <c r="C25" s="1" t="s">
        <v>0</v>
      </c>
      <c r="D25" s="5">
        <v>200</v>
      </c>
      <c r="E25" t="s">
        <v>2</v>
      </c>
      <c r="G25" t="s">
        <v>11</v>
      </c>
    </row>
    <row r="26" spans="2:7" x14ac:dyDescent="0.25">
      <c r="C26" s="1" t="s">
        <v>1</v>
      </c>
      <c r="D26" s="2">
        <v>2</v>
      </c>
      <c r="E26" t="s">
        <v>3</v>
      </c>
      <c r="F26" s="6"/>
      <c r="G26" t="s">
        <v>12</v>
      </c>
    </row>
    <row r="27" spans="2:7" x14ac:dyDescent="0.25">
      <c r="C27" s="1" t="s">
        <v>4</v>
      </c>
      <c r="D27" s="2">
        <v>35</v>
      </c>
      <c r="G27" t="s">
        <v>13</v>
      </c>
    </row>
    <row r="28" spans="2:7" x14ac:dyDescent="0.25">
      <c r="C28" s="1" t="s">
        <v>5</v>
      </c>
      <c r="D28" s="3">
        <v>50</v>
      </c>
      <c r="G28" t="s">
        <v>14</v>
      </c>
    </row>
    <row r="29" spans="2:7" x14ac:dyDescent="0.25">
      <c r="C29" s="1" t="s">
        <v>17</v>
      </c>
      <c r="D29" s="3">
        <v>60</v>
      </c>
      <c r="G29" t="s">
        <v>18</v>
      </c>
    </row>
    <row r="30" spans="2:7" x14ac:dyDescent="0.25">
      <c r="C30" s="1" t="s">
        <v>62</v>
      </c>
      <c r="D30" s="5">
        <v>350</v>
      </c>
      <c r="E30" t="s">
        <v>2</v>
      </c>
      <c r="G30" t="s">
        <v>63</v>
      </c>
    </row>
    <row r="32" spans="2:7" x14ac:dyDescent="0.25">
      <c r="B32" t="s">
        <v>6</v>
      </c>
      <c r="E32" s="4">
        <f>SQRT((2*D25*D27*(D26+D29)/(D26*D29*(1-D25/D30))))</f>
        <v>129.91450179936717</v>
      </c>
    </row>
    <row r="37" spans="2:7" x14ac:dyDescent="0.25">
      <c r="B37" t="s">
        <v>8</v>
      </c>
      <c r="F37" s="4">
        <f>SQRT((2*D25*D26*D27*(1-D25/D30)/((D26+D29)*D29)))</f>
        <v>1.7960530202677489</v>
      </c>
    </row>
    <row r="42" spans="2:7" x14ac:dyDescent="0.25">
      <c r="B42" t="s">
        <v>10</v>
      </c>
      <c r="G42" t="s">
        <v>73</v>
      </c>
    </row>
    <row r="43" spans="2:7" x14ac:dyDescent="0.25">
      <c r="G43" t="s">
        <v>74</v>
      </c>
    </row>
    <row r="44" spans="2:7" x14ac:dyDescent="0.25">
      <c r="G44" t="s">
        <v>75</v>
      </c>
    </row>
    <row r="45" spans="2:7" x14ac:dyDescent="0.25">
      <c r="G45" t="s">
        <v>76</v>
      </c>
    </row>
    <row r="52" spans="2:14" x14ac:dyDescent="0.25">
      <c r="F52" s="4">
        <f>SQRT(2*D29*D27*(1-D25/D30)/(D25*(D26+D29)*D26))</f>
        <v>0.26940795304016235</v>
      </c>
      <c r="G52" t="s">
        <v>64</v>
      </c>
      <c r="M52" s="4">
        <f>SQRT(2*D26*D27*(1-D25/D30)/(D25*(D26+D29)*D29))</f>
        <v>8.9802651013387459E-3</v>
      </c>
      <c r="N52" t="s">
        <v>64</v>
      </c>
    </row>
    <row r="57" spans="2:14" x14ac:dyDescent="0.25">
      <c r="D57" t="s">
        <v>77</v>
      </c>
      <c r="G57" t="s">
        <v>78</v>
      </c>
      <c r="H57" t="s">
        <v>79</v>
      </c>
    </row>
    <row r="58" spans="2:14" x14ac:dyDescent="0.25">
      <c r="G58" t="s">
        <v>80</v>
      </c>
      <c r="H58" s="4">
        <f>F52+M52</f>
        <v>0.27838821814150111</v>
      </c>
      <c r="I58" t="s">
        <v>64</v>
      </c>
    </row>
    <row r="59" spans="2:14" x14ac:dyDescent="0.25">
      <c r="G59" t="s">
        <v>80</v>
      </c>
      <c r="H59">
        <f>H58*365</f>
        <v>101.6116996216479</v>
      </c>
      <c r="I59" t="s">
        <v>65</v>
      </c>
    </row>
    <row r="61" spans="2:14" x14ac:dyDescent="0.25">
      <c r="B61" t="s">
        <v>15</v>
      </c>
      <c r="D61">
        <f>F52*D25/(D30-D25)</f>
        <v>0.35921060405354976</v>
      </c>
      <c r="E61" t="s">
        <v>64</v>
      </c>
    </row>
    <row r="62" spans="2:14" x14ac:dyDescent="0.25">
      <c r="D62">
        <f>D61*365</f>
        <v>131.11187047954567</v>
      </c>
      <c r="E62" t="s">
        <v>65</v>
      </c>
    </row>
    <row r="66" spans="2:8" x14ac:dyDescent="0.25">
      <c r="B66" t="s">
        <v>19</v>
      </c>
      <c r="C66" t="s">
        <v>81</v>
      </c>
    </row>
    <row r="67" spans="2:8" x14ac:dyDescent="0.25">
      <c r="C67" s="4">
        <f>M52</f>
        <v>8.9802651013387459E-3</v>
      </c>
      <c r="D67" t="s">
        <v>64</v>
      </c>
    </row>
    <row r="68" spans="2:8" x14ac:dyDescent="0.25">
      <c r="C68" s="4">
        <f>C67*365</f>
        <v>3.2777967619886423</v>
      </c>
      <c r="D68" t="s">
        <v>65</v>
      </c>
    </row>
    <row r="70" spans="2:8" x14ac:dyDescent="0.25">
      <c r="B70" t="s">
        <v>21</v>
      </c>
      <c r="F70" s="4">
        <f>SQRT(2*D25*D29*D27*(1-D25/D30)/((D26+D29)*D26))</f>
        <v>53.881590608032468</v>
      </c>
      <c r="G70" t="s">
        <v>2</v>
      </c>
    </row>
    <row r="76" spans="2:8" x14ac:dyDescent="0.25">
      <c r="B76" t="s">
        <v>23</v>
      </c>
      <c r="G76" s="6">
        <f>D27*D25/E32+D26*E32*(D30-D25)/(2*D30)+D28*D25</f>
        <v>10109.559234236332</v>
      </c>
      <c r="H76" t="s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519A-CC22-4D2A-9EF7-477EF70C4967}">
  <dimension ref="B24:I67"/>
  <sheetViews>
    <sheetView workbookViewId="0">
      <selection activeCell="G47" sqref="G47"/>
    </sheetView>
  </sheetViews>
  <sheetFormatPr baseColWidth="10" defaultRowHeight="15" x14ac:dyDescent="0.25"/>
  <cols>
    <col min="3" max="3" width="19.42578125" bestFit="1" customWidth="1"/>
    <col min="7" max="7" width="15" bestFit="1" customWidth="1"/>
  </cols>
  <sheetData>
    <row r="24" spans="2:7" x14ac:dyDescent="0.25">
      <c r="C24" s="1" t="s">
        <v>0</v>
      </c>
      <c r="D24" s="5">
        <v>4000</v>
      </c>
      <c r="E24" t="s">
        <v>2</v>
      </c>
      <c r="G24" t="s">
        <v>11</v>
      </c>
    </row>
    <row r="25" spans="2:7" x14ac:dyDescent="0.25">
      <c r="C25" s="1" t="s">
        <v>1</v>
      </c>
      <c r="D25" s="2">
        <f>D27*0.2</f>
        <v>5</v>
      </c>
      <c r="E25" t="s">
        <v>3</v>
      </c>
      <c r="F25" s="6"/>
      <c r="G25" t="s">
        <v>12</v>
      </c>
    </row>
    <row r="26" spans="2:7" x14ac:dyDescent="0.25">
      <c r="C26" s="1" t="s">
        <v>4</v>
      </c>
      <c r="D26" s="2">
        <v>350</v>
      </c>
      <c r="G26" t="s">
        <v>13</v>
      </c>
    </row>
    <row r="27" spans="2:7" x14ac:dyDescent="0.25">
      <c r="C27" s="1" t="s">
        <v>5</v>
      </c>
      <c r="D27" s="3">
        <v>25</v>
      </c>
      <c r="G27" t="s">
        <v>14</v>
      </c>
    </row>
    <row r="28" spans="2:7" x14ac:dyDescent="0.25">
      <c r="C28" s="1" t="s">
        <v>62</v>
      </c>
      <c r="D28" s="5">
        <v>40000</v>
      </c>
      <c r="E28" t="s">
        <v>2</v>
      </c>
      <c r="G28" t="s">
        <v>63</v>
      </c>
    </row>
    <row r="30" spans="2:7" x14ac:dyDescent="0.25">
      <c r="B30" t="s">
        <v>6</v>
      </c>
      <c r="E30" s="4">
        <f>SQRT((2*D24*D26)/(D25*(1-D24/D28)))</f>
        <v>788.8106377466155</v>
      </c>
      <c r="F30" t="s">
        <v>4</v>
      </c>
    </row>
    <row r="36" spans="2:8" x14ac:dyDescent="0.25">
      <c r="B36" t="s">
        <v>8</v>
      </c>
      <c r="F36" s="4">
        <f>SQRT(2*D24*D26*(1-D24/D28)/D25)</f>
        <v>709.92957397195391</v>
      </c>
      <c r="G36" t="s">
        <v>2</v>
      </c>
    </row>
    <row r="42" spans="2:8" x14ac:dyDescent="0.25">
      <c r="B42" t="s">
        <v>10</v>
      </c>
      <c r="F42" s="4">
        <f>SQRT(2*D26*(1-D24/D28)/(D24*D25))</f>
        <v>0.17748239349298847</v>
      </c>
      <c r="G42" s="4">
        <f>F42*365</f>
        <v>64.781073624940788</v>
      </c>
      <c r="H42" t="s">
        <v>65</v>
      </c>
    </row>
    <row r="48" spans="2:8" x14ac:dyDescent="0.25">
      <c r="B48" t="s">
        <v>15</v>
      </c>
      <c r="C48" t="s">
        <v>66</v>
      </c>
      <c r="D48" t="s">
        <v>67</v>
      </c>
      <c r="E48" t="s">
        <v>68</v>
      </c>
      <c r="G48" t="s">
        <v>69</v>
      </c>
      <c r="H48" t="s">
        <v>70</v>
      </c>
    </row>
    <row r="51" spans="2:9" x14ac:dyDescent="0.25">
      <c r="G51" t="s">
        <v>69</v>
      </c>
      <c r="H51" s="4">
        <f>2*G42</f>
        <v>129.56214724988158</v>
      </c>
      <c r="I51" t="s">
        <v>65</v>
      </c>
    </row>
    <row r="62" spans="2:9" x14ac:dyDescent="0.25">
      <c r="B62" t="s">
        <v>19</v>
      </c>
      <c r="D62" s="4">
        <f>D24/E30</f>
        <v>5.0709255283710997</v>
      </c>
      <c r="E62" t="s">
        <v>71</v>
      </c>
    </row>
    <row r="67" spans="2:8" x14ac:dyDescent="0.25">
      <c r="B67" t="s">
        <v>21</v>
      </c>
      <c r="G67" s="8">
        <f>D26*D24/E30+D25*E30*(D28-D24)/(2*D28)+D27*D24</f>
        <v>103549.64786985976</v>
      </c>
      <c r="H67" t="s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CFAF-6AFC-4882-ADF4-935C36F75DDD}">
  <dimension ref="B18:H60"/>
  <sheetViews>
    <sheetView zoomScale="85" zoomScaleNormal="85" workbookViewId="0">
      <selection activeCell="I57" sqref="I57"/>
    </sheetView>
  </sheetViews>
  <sheetFormatPr baseColWidth="10" defaultRowHeight="15" x14ac:dyDescent="0.25"/>
  <cols>
    <col min="3" max="3" width="14.7109375" bestFit="1" customWidth="1"/>
  </cols>
  <sheetData>
    <row r="18" spans="2:5" x14ac:dyDescent="0.25">
      <c r="C18" s="1" t="s">
        <v>0</v>
      </c>
      <c r="D18" s="5">
        <v>550</v>
      </c>
      <c r="E18" t="s">
        <v>92</v>
      </c>
    </row>
    <row r="19" spans="2:5" x14ac:dyDescent="0.25">
      <c r="C19" s="1" t="s">
        <v>93</v>
      </c>
      <c r="D19" s="5">
        <v>15</v>
      </c>
      <c r="E19" t="s">
        <v>92</v>
      </c>
    </row>
    <row r="20" spans="2:5" x14ac:dyDescent="0.25">
      <c r="C20" s="32" t="s">
        <v>91</v>
      </c>
      <c r="D20" s="5">
        <v>225</v>
      </c>
      <c r="E20" t="s">
        <v>2</v>
      </c>
    </row>
    <row r="22" spans="2:5" x14ac:dyDescent="0.25">
      <c r="B22" t="s">
        <v>6</v>
      </c>
      <c r="C22" t="s">
        <v>94</v>
      </c>
    </row>
    <row r="23" spans="2:5" x14ac:dyDescent="0.25">
      <c r="C23" t="s">
        <v>95</v>
      </c>
    </row>
    <row r="24" spans="2:5" x14ac:dyDescent="0.25">
      <c r="C24" t="s">
        <v>96</v>
      </c>
    </row>
    <row r="52" spans="2:8" x14ac:dyDescent="0.25">
      <c r="C52" t="s">
        <v>98</v>
      </c>
    </row>
    <row r="54" spans="2:8" x14ac:dyDescent="0.25">
      <c r="C54" s="33" t="s">
        <v>97</v>
      </c>
      <c r="D54" s="33">
        <v>1.65</v>
      </c>
    </row>
    <row r="57" spans="2:8" x14ac:dyDescent="0.25">
      <c r="B57" t="s">
        <v>8</v>
      </c>
      <c r="D57">
        <f>D54*D19</f>
        <v>24.75</v>
      </c>
      <c r="E57" t="s">
        <v>92</v>
      </c>
    </row>
    <row r="60" spans="2:8" x14ac:dyDescent="0.25">
      <c r="B60" t="s">
        <v>10</v>
      </c>
      <c r="G60" s="34">
        <f>D20+D57</f>
        <v>249.75</v>
      </c>
      <c r="H60" t="s">
        <v>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2023-03-27T21:00:21Z</dcterms:created>
  <dcterms:modified xsi:type="dcterms:W3CDTF">2023-04-14T20:54:27Z</dcterms:modified>
</cp:coreProperties>
</file>