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enior-Design\"/>
    </mc:Choice>
  </mc:AlternateContent>
  <bookViews>
    <workbookView xWindow="0" yWindow="0" windowWidth="28800" windowHeight="116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1" i="1"/>
  <c r="J35" i="1"/>
  <c r="J36" i="1"/>
  <c r="J37" i="1"/>
  <c r="J38" i="1"/>
  <c r="J39" i="1"/>
  <c r="J34" i="1"/>
  <c r="L24" i="1"/>
  <c r="I39" i="1"/>
  <c r="H39" i="1"/>
  <c r="G39" i="1"/>
  <c r="I38" i="1"/>
  <c r="H38" i="1"/>
  <c r="G38" i="1"/>
  <c r="I37" i="1"/>
  <c r="H37" i="1"/>
  <c r="G37" i="1"/>
  <c r="I35" i="1"/>
  <c r="I36" i="1"/>
  <c r="H36" i="1"/>
  <c r="G36" i="1"/>
  <c r="I34" i="1"/>
  <c r="H35" i="1"/>
  <c r="G35" i="1"/>
  <c r="H34" i="1"/>
  <c r="G34" i="1"/>
  <c r="K11" i="2"/>
  <c r="L9" i="2"/>
  <c r="L6" i="2"/>
  <c r="L7" i="2"/>
  <c r="L8" i="2"/>
  <c r="L5" i="2"/>
  <c r="K9" i="2"/>
  <c r="H31" i="1"/>
  <c r="I31" i="1" s="1"/>
  <c r="G30" i="1" l="1"/>
  <c r="I30" i="1" s="1"/>
  <c r="G26" i="1"/>
  <c r="G20" i="1"/>
  <c r="I20" i="1" s="1"/>
  <c r="G25" i="1"/>
  <c r="G27" i="1" s="1"/>
  <c r="I27" i="1" s="1"/>
  <c r="H15" i="1"/>
  <c r="F11" i="2"/>
  <c r="G9" i="2"/>
  <c r="F9" i="2"/>
  <c r="G6" i="2"/>
  <c r="G7" i="2"/>
  <c r="G8" i="2"/>
  <c r="G5" i="2"/>
  <c r="H8" i="1" l="1"/>
  <c r="H7" i="1"/>
  <c r="I7" i="1" s="1"/>
  <c r="M7" i="1"/>
  <c r="M8" i="1"/>
  <c r="M9" i="1"/>
  <c r="M10" i="1"/>
  <c r="M11" i="1"/>
  <c r="M12" i="1"/>
  <c r="M13" i="1"/>
  <c r="M14" i="1"/>
  <c r="I6" i="1"/>
  <c r="I8" i="1"/>
  <c r="I11" i="1"/>
  <c r="I12" i="1"/>
  <c r="I15" i="1"/>
  <c r="I16" i="1"/>
  <c r="H5" i="1"/>
  <c r="I5" i="1" s="1"/>
  <c r="K6" i="1"/>
  <c r="M6" i="1" s="1"/>
  <c r="K5" i="1"/>
  <c r="M5" i="1" s="1"/>
  <c r="G13" i="1"/>
  <c r="I13" i="1" s="1"/>
  <c r="G14" i="1"/>
  <c r="I14" i="1" s="1"/>
  <c r="G9" i="1"/>
  <c r="K15" i="1" s="1"/>
  <c r="G10" i="1"/>
  <c r="I10" i="1" s="1"/>
  <c r="G21" i="1" l="1"/>
  <c r="P11" i="1"/>
  <c r="I9" i="1"/>
</calcChain>
</file>

<file path=xl/sharedStrings.xml><?xml version="1.0" encoding="utf-8"?>
<sst xmlns="http://schemas.openxmlformats.org/spreadsheetml/2006/main" count="101" uniqueCount="81">
  <si>
    <t>Component</t>
  </si>
  <si>
    <t>Weight (lb)</t>
  </si>
  <si>
    <r>
      <t>Location of X</t>
    </r>
    <r>
      <rPr>
        <b/>
        <vertAlign val="subscript"/>
        <sz val="11"/>
        <color theme="1"/>
        <rFont val="Times New Roman"/>
        <family val="1"/>
      </rPr>
      <t xml:space="preserve">cg </t>
    </r>
    <r>
      <rPr>
        <b/>
        <sz val="11"/>
        <color theme="1"/>
        <rFont val="Times New Roman"/>
        <family val="1"/>
      </rPr>
      <t>(ft)</t>
    </r>
  </si>
  <si>
    <t>Moment (lb-ft)</t>
  </si>
  <si>
    <t>Wing</t>
  </si>
  <si>
    <t>Hydraulics</t>
  </si>
  <si>
    <t>Fuselage</t>
  </si>
  <si>
    <t>Instrumentation, Avionics, Electronics</t>
  </si>
  <si>
    <t>Horizontal Tail</t>
  </si>
  <si>
    <t>Electrical System</t>
  </si>
  <si>
    <t>Vertical Tail</t>
  </si>
  <si>
    <t>Air-conditioning, Pressurization, De-icing</t>
  </si>
  <si>
    <t>Nose Landing Gear</t>
  </si>
  <si>
    <t>Oxygen System</t>
  </si>
  <si>
    <t>Main Landing Gear</t>
  </si>
  <si>
    <t>Auxiliary Power Unit (APU)</t>
  </si>
  <si>
    <t>Engines</t>
  </si>
  <si>
    <t>Furnishings</t>
  </si>
  <si>
    <t>Fuel System</t>
  </si>
  <si>
    <t>Operational Items</t>
  </si>
  <si>
    <t>Flight Control System</t>
  </si>
  <si>
    <t>Paint</t>
  </si>
  <si>
    <t>Total Empty Weight</t>
  </si>
  <si>
    <t>Aft Engine</t>
  </si>
  <si>
    <t>Nose Gear Hydraulics</t>
  </si>
  <si>
    <t>Main Gear Hydraulics</t>
  </si>
  <si>
    <t>Forward Engines</t>
  </si>
  <si>
    <t>MTOW</t>
  </si>
  <si>
    <t>OEW</t>
  </si>
  <si>
    <t>Empty</t>
  </si>
  <si>
    <t>Fuel</t>
  </si>
  <si>
    <t>Airplane Weights (lb)</t>
  </si>
  <si>
    <t>*xcg specified from nose</t>
  </si>
  <si>
    <t>Tank 1</t>
  </si>
  <si>
    <t>Tank 2</t>
  </si>
  <si>
    <t>Tank 3</t>
  </si>
  <si>
    <t>Tank 4</t>
  </si>
  <si>
    <t>Xnose (ft)</t>
  </si>
  <si>
    <t>Capacity (lbs)</t>
  </si>
  <si>
    <t>Total</t>
  </si>
  <si>
    <t>Fuel System XCG</t>
  </si>
  <si>
    <t>Number of Passengers</t>
  </si>
  <si>
    <t>Number of Crew</t>
  </si>
  <si>
    <t>Operating Empty CG Info</t>
  </si>
  <si>
    <t>Empty Weight CG Info</t>
  </si>
  <si>
    <t>Payload Info</t>
  </si>
  <si>
    <t>OEW Weight (lb)</t>
  </si>
  <si>
    <t>Crew Weight and Luggage (lb)</t>
  </si>
  <si>
    <t>Forward Engine Inlets</t>
  </si>
  <si>
    <t>Aft Engine Inlet</t>
  </si>
  <si>
    <t>Inlets</t>
  </si>
  <si>
    <t>Fuel Info</t>
  </si>
  <si>
    <t>Location of XCG (ft)</t>
  </si>
  <si>
    <t xml:space="preserve">Typical Fuel </t>
  </si>
  <si>
    <t xml:space="preserve">Max Fuel </t>
  </si>
  <si>
    <t xml:space="preserve">Total Payload </t>
  </si>
  <si>
    <t xml:space="preserve">Passenger Luggage </t>
  </si>
  <si>
    <t xml:space="preserve">Passenger Weight </t>
  </si>
  <si>
    <t>MAX FUEL</t>
  </si>
  <si>
    <t>Typical Fuel</t>
  </si>
  <si>
    <t>Moment (lbs-ft)</t>
  </si>
  <si>
    <t>Total Moment (lb-ft)</t>
  </si>
  <si>
    <t>Condition</t>
  </si>
  <si>
    <t>XCG from Nose (ft)</t>
  </si>
  <si>
    <t>Total Weight (lbs)</t>
  </si>
  <si>
    <t xml:space="preserve">Empty + Crew </t>
  </si>
  <si>
    <t>Empty + Crew + Max Payload</t>
  </si>
  <si>
    <t>MTOW - Max Payload</t>
  </si>
  <si>
    <t>MTOW - Max Payload - Fuel</t>
  </si>
  <si>
    <t>Wing Geometry</t>
  </si>
  <si>
    <t>xLE=</t>
  </si>
  <si>
    <t>MAC=</t>
  </si>
  <si>
    <t>ft, wing mean aerodynamic chord</t>
  </si>
  <si>
    <t>ft, distance from nose to leading edge of wing</t>
  </si>
  <si>
    <t>l=</t>
  </si>
  <si>
    <t>Cr=</t>
  </si>
  <si>
    <t>ft, wing root chord</t>
  </si>
  <si>
    <t>ft, (Cr - MAC)/2</t>
  </si>
  <si>
    <t xml:space="preserve">XCG (% MAC) </t>
  </si>
  <si>
    <t>CG Range (ft)</t>
  </si>
  <si>
    <t>CG Range (% MAC)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</si>
</sst>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" fontId="0" fillId="0" borderId="0" xfId="0" applyNumberFormat="1"/>
    <xf numFmtId="164" fontId="3" fillId="0" borderId="0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3" fillId="0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3" fillId="0" borderId="1" xfId="0" applyFont="1" applyBorder="1"/>
    <xf numFmtId="0" fontId="3" fillId="0" borderId="0" xfId="0" applyFont="1" applyFill="1" applyBorder="1" applyAlignment="1">
      <alignment horizontal="right" vertical="center"/>
    </xf>
    <xf numFmtId="0" fontId="1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NumberFormat="1"/>
    <xf numFmtId="165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Font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171450</xdr:rowOff>
    </xdr:from>
    <xdr:to>
      <xdr:col>23</xdr:col>
      <xdr:colOff>304800</xdr:colOff>
      <xdr:row>6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98AAA9-54F2-48A8-B808-8FA892630C9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552450"/>
          <a:ext cx="5943600" cy="66484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Q53"/>
  <sheetViews>
    <sheetView tabSelected="1" topLeftCell="G16" zoomScale="90" zoomScaleNormal="90" workbookViewId="0">
      <selection activeCell="H42" sqref="H42"/>
    </sheetView>
  </sheetViews>
  <sheetFormatPr defaultRowHeight="15" x14ac:dyDescent="0.25"/>
  <cols>
    <col min="6" max="6" width="40.85546875" bestFit="1" customWidth="1"/>
    <col min="7" max="7" width="17.85546875" bestFit="1" customWidth="1"/>
    <col min="8" max="8" width="20.140625" bestFit="1" customWidth="1"/>
    <col min="9" max="9" width="17.85546875" bestFit="1" customWidth="1"/>
    <col min="10" max="10" width="36" bestFit="1" customWidth="1"/>
    <col min="11" max="11" width="11.42578125" bestFit="1" customWidth="1"/>
    <col min="12" max="12" width="18.140625" bestFit="1" customWidth="1"/>
    <col min="13" max="13" width="14.85546875" bestFit="1" customWidth="1"/>
    <col min="15" max="15" width="11" bestFit="1" customWidth="1"/>
    <col min="16" max="16" width="9" bestFit="1" customWidth="1"/>
    <col min="17" max="17" width="10.140625" bestFit="1" customWidth="1"/>
  </cols>
  <sheetData>
    <row r="2" spans="6:17" x14ac:dyDescent="0.25">
      <c r="F2" t="s">
        <v>32</v>
      </c>
    </row>
    <row r="3" spans="6:17" x14ac:dyDescent="0.25">
      <c r="F3" t="s">
        <v>44</v>
      </c>
    </row>
    <row r="4" spans="6:17" ht="17.25" x14ac:dyDescent="0.25">
      <c r="F4" s="15" t="s">
        <v>0</v>
      </c>
      <c r="G4" s="15" t="s">
        <v>1</v>
      </c>
      <c r="H4" s="15" t="s">
        <v>2</v>
      </c>
      <c r="I4" s="15" t="s">
        <v>3</v>
      </c>
      <c r="J4" s="15" t="s">
        <v>0</v>
      </c>
      <c r="K4" s="15" t="s">
        <v>1</v>
      </c>
      <c r="L4" s="15" t="s">
        <v>2</v>
      </c>
      <c r="M4" s="15" t="s">
        <v>3</v>
      </c>
      <c r="O4" s="16" t="s">
        <v>5</v>
      </c>
      <c r="P4" s="16" t="s">
        <v>50</v>
      </c>
      <c r="Q4" s="17" t="s">
        <v>16</v>
      </c>
    </row>
    <row r="5" spans="6:17" x14ac:dyDescent="0.25">
      <c r="F5" s="5" t="s">
        <v>4</v>
      </c>
      <c r="G5" s="6">
        <v>4137.8</v>
      </c>
      <c r="H5" s="7">
        <f>80+5.3446</f>
        <v>85.3446</v>
      </c>
      <c r="I5" s="6">
        <f>G5*H5</f>
        <v>353138.88588000002</v>
      </c>
      <c r="J5" s="5" t="s">
        <v>24</v>
      </c>
      <c r="K5" s="6">
        <f>$O$5*(G11/(G11+G12))</f>
        <v>151.09083518650215</v>
      </c>
      <c r="L5" s="7">
        <v>32</v>
      </c>
      <c r="M5" s="6">
        <f>K5*L5</f>
        <v>4834.9067259680687</v>
      </c>
      <c r="O5" s="6">
        <v>1139.2</v>
      </c>
      <c r="P5" s="6">
        <v>3218</v>
      </c>
      <c r="Q5" s="6">
        <v>13950</v>
      </c>
    </row>
    <row r="6" spans="6:17" x14ac:dyDescent="0.25">
      <c r="F6" s="5" t="s">
        <v>6</v>
      </c>
      <c r="G6" s="6">
        <v>7674.8</v>
      </c>
      <c r="H6" s="7">
        <v>65</v>
      </c>
      <c r="I6" s="6">
        <f t="shared" ref="I6:I16" si="0">G6*H6</f>
        <v>498862</v>
      </c>
      <c r="J6" s="8" t="s">
        <v>25</v>
      </c>
      <c r="K6" s="6">
        <f>$O$5*(G12/(G12+G11))</f>
        <v>988.10916481349796</v>
      </c>
      <c r="L6" s="7">
        <v>94.68</v>
      </c>
      <c r="M6" s="6">
        <f t="shared" ref="M6:M14" si="1">K6*L6</f>
        <v>93554.175724541987</v>
      </c>
    </row>
    <row r="7" spans="6:17" x14ac:dyDescent="0.25">
      <c r="F7" s="5" t="s">
        <v>8</v>
      </c>
      <c r="G7" s="6">
        <v>1048.5</v>
      </c>
      <c r="H7" s="7">
        <f>80+5.3446+6.25+46.7593+(0.25*11.2)</f>
        <v>141.15390000000002</v>
      </c>
      <c r="I7" s="6">
        <f t="shared" si="0"/>
        <v>147999.86415000001</v>
      </c>
      <c r="J7" s="5" t="s">
        <v>7</v>
      </c>
      <c r="K7" s="6">
        <v>1105.0999999999999</v>
      </c>
      <c r="L7" s="7">
        <v>26.83</v>
      </c>
      <c r="M7" s="6">
        <f t="shared" si="1"/>
        <v>29649.832999999995</v>
      </c>
    </row>
    <row r="8" spans="6:17" x14ac:dyDescent="0.25">
      <c r="F8" s="5" t="s">
        <v>10</v>
      </c>
      <c r="G8" s="6">
        <v>483.11329999999998</v>
      </c>
      <c r="H8" s="7">
        <f>80+5.3446+6.25+46.7593+(0.25*11.2)</f>
        <v>141.15390000000002</v>
      </c>
      <c r="I8" s="6">
        <f t="shared" si="0"/>
        <v>68193.326436870004</v>
      </c>
      <c r="J8" s="5" t="s">
        <v>9</v>
      </c>
      <c r="K8" s="6">
        <v>1878.2</v>
      </c>
      <c r="L8" s="7">
        <v>28</v>
      </c>
      <c r="M8" s="6">
        <f t="shared" si="1"/>
        <v>52589.599999999999</v>
      </c>
      <c r="O8" s="30" t="s">
        <v>31</v>
      </c>
      <c r="P8" s="30"/>
      <c r="Q8" s="30"/>
    </row>
    <row r="9" spans="6:17" x14ac:dyDescent="0.25">
      <c r="F9" s="9" t="s">
        <v>48</v>
      </c>
      <c r="G9" s="6">
        <f>P5-P5/3</f>
        <v>2145.333333333333</v>
      </c>
      <c r="H9" s="7">
        <v>121.2925</v>
      </c>
      <c r="I9" s="6">
        <f t="shared" si="0"/>
        <v>260212.84333333329</v>
      </c>
      <c r="J9" s="5" t="s">
        <v>11</v>
      </c>
      <c r="K9" s="6">
        <v>411.24860000000001</v>
      </c>
      <c r="L9" s="7">
        <v>138.47999999999999</v>
      </c>
      <c r="M9" s="6">
        <f t="shared" si="1"/>
        <v>56949.706127999998</v>
      </c>
      <c r="O9" s="19" t="s">
        <v>27</v>
      </c>
      <c r="P9" s="29">
        <v>87182</v>
      </c>
      <c r="Q9" s="29"/>
    </row>
    <row r="10" spans="6:17" x14ac:dyDescent="0.25">
      <c r="F10" s="9" t="s">
        <v>49</v>
      </c>
      <c r="G10" s="10">
        <f>P5/3</f>
        <v>1072.6666666666667</v>
      </c>
      <c r="H10" s="11">
        <v>141.4092</v>
      </c>
      <c r="I10" s="6">
        <f t="shared" si="0"/>
        <v>151684.93520000001</v>
      </c>
      <c r="J10" s="5" t="s">
        <v>13</v>
      </c>
      <c r="K10" s="6">
        <v>40.057400000000001</v>
      </c>
      <c r="L10" s="7">
        <v>41.167000000000002</v>
      </c>
      <c r="M10" s="6">
        <f t="shared" si="1"/>
        <v>1649.0429858000002</v>
      </c>
      <c r="O10" s="19" t="s">
        <v>28</v>
      </c>
      <c r="P10" s="29">
        <v>44042</v>
      </c>
      <c r="Q10" s="29"/>
    </row>
    <row r="11" spans="6:17" x14ac:dyDescent="0.25">
      <c r="F11" s="5" t="s">
        <v>12</v>
      </c>
      <c r="G11" s="6">
        <v>317.59210000000002</v>
      </c>
      <c r="H11" s="7">
        <v>32</v>
      </c>
      <c r="I11" s="6">
        <f t="shared" si="0"/>
        <v>10162.947200000001</v>
      </c>
      <c r="J11" s="5" t="s">
        <v>15</v>
      </c>
      <c r="K11" s="6">
        <v>438.15170000000001</v>
      </c>
      <c r="L11" s="7">
        <v>135</v>
      </c>
      <c r="M11" s="6">
        <f t="shared" si="1"/>
        <v>59150.479500000001</v>
      </c>
      <c r="O11" s="19" t="s">
        <v>29</v>
      </c>
      <c r="P11" s="29">
        <f>K15</f>
        <v>43641.814799999993</v>
      </c>
      <c r="Q11" s="29"/>
    </row>
    <row r="12" spans="6:17" x14ac:dyDescent="0.25">
      <c r="F12" s="5" t="s">
        <v>14</v>
      </c>
      <c r="G12" s="6">
        <v>2077</v>
      </c>
      <c r="H12" s="7">
        <v>94.68</v>
      </c>
      <c r="I12" s="6">
        <f t="shared" si="0"/>
        <v>196650.36000000002</v>
      </c>
      <c r="J12" s="5" t="s">
        <v>17</v>
      </c>
      <c r="K12" s="6">
        <v>756</v>
      </c>
      <c r="L12" s="7">
        <v>41.167000000000002</v>
      </c>
      <c r="M12" s="6">
        <f t="shared" si="1"/>
        <v>31122.252</v>
      </c>
      <c r="O12" s="19" t="s">
        <v>30</v>
      </c>
      <c r="P12" s="29">
        <v>40991</v>
      </c>
      <c r="Q12" s="29"/>
    </row>
    <row r="13" spans="6:17" x14ac:dyDescent="0.25">
      <c r="F13" s="9" t="s">
        <v>26</v>
      </c>
      <c r="G13" s="10">
        <f>Q5-Q5/3</f>
        <v>9300</v>
      </c>
      <c r="H13" s="11">
        <v>119.55</v>
      </c>
      <c r="I13" s="6">
        <f t="shared" si="0"/>
        <v>1111815</v>
      </c>
      <c r="J13" s="5" t="s">
        <v>19</v>
      </c>
      <c r="K13" s="6">
        <v>280</v>
      </c>
      <c r="L13" s="7">
        <v>30.5</v>
      </c>
      <c r="M13" s="6">
        <f t="shared" si="1"/>
        <v>8540</v>
      </c>
    </row>
    <row r="14" spans="6:17" x14ac:dyDescent="0.25">
      <c r="F14" s="9" t="s">
        <v>23</v>
      </c>
      <c r="G14" s="10">
        <f>Q5/3</f>
        <v>4650</v>
      </c>
      <c r="H14" s="11">
        <v>140.85</v>
      </c>
      <c r="I14" s="6">
        <f t="shared" si="0"/>
        <v>654952.5</v>
      </c>
      <c r="J14" s="5" t="s">
        <v>21</v>
      </c>
      <c r="K14" s="6">
        <v>438.15170000000001</v>
      </c>
      <c r="L14" s="7">
        <v>75.2</v>
      </c>
      <c r="M14" s="6">
        <f t="shared" si="1"/>
        <v>32949.007839999998</v>
      </c>
    </row>
    <row r="15" spans="6:17" x14ac:dyDescent="0.25">
      <c r="F15" s="5" t="s">
        <v>18</v>
      </c>
      <c r="G15" s="10">
        <v>1473.6</v>
      </c>
      <c r="H15" s="12">
        <f>Sheet2!F11</f>
        <v>90.88</v>
      </c>
      <c r="I15" s="6">
        <f t="shared" si="0"/>
        <v>133920.76799999998</v>
      </c>
      <c r="J15" s="13" t="s">
        <v>22</v>
      </c>
      <c r="K15" s="14">
        <f>SUM(G5:G16,K5:K14)</f>
        <v>43641.814799999993</v>
      </c>
      <c r="L15" s="11"/>
      <c r="M15" s="8"/>
    </row>
    <row r="16" spans="6:17" x14ac:dyDescent="0.25">
      <c r="F16" s="5" t="s">
        <v>20</v>
      </c>
      <c r="G16" s="6">
        <v>2775.3</v>
      </c>
      <c r="H16" s="7">
        <v>26.83</v>
      </c>
      <c r="I16" s="6">
        <f t="shared" si="0"/>
        <v>74461.298999999999</v>
      </c>
      <c r="J16" s="13"/>
      <c r="K16" s="14"/>
      <c r="L16" s="8"/>
      <c r="M16" s="8"/>
    </row>
    <row r="18" spans="6:17" x14ac:dyDescent="0.25">
      <c r="F18" s="27" t="s">
        <v>43</v>
      </c>
      <c r="Q18" s="3"/>
    </row>
    <row r="19" spans="6:17" x14ac:dyDescent="0.25">
      <c r="F19" s="26" t="s">
        <v>42</v>
      </c>
      <c r="G19">
        <v>2</v>
      </c>
      <c r="H19" s="27" t="s">
        <v>52</v>
      </c>
      <c r="I19" s="27" t="s">
        <v>3</v>
      </c>
    </row>
    <row r="20" spans="6:17" x14ac:dyDescent="0.25">
      <c r="F20" s="26" t="s">
        <v>47</v>
      </c>
      <c r="G20">
        <f>G19*(170+30)</f>
        <v>400</v>
      </c>
      <c r="H20">
        <v>26.8</v>
      </c>
      <c r="I20">
        <f>G20*H20</f>
        <v>10720</v>
      </c>
      <c r="K20" s="36" t="s">
        <v>69</v>
      </c>
      <c r="L20" s="36"/>
    </row>
    <row r="21" spans="6:17" x14ac:dyDescent="0.25">
      <c r="F21" s="26" t="s">
        <v>46</v>
      </c>
      <c r="G21" s="3">
        <f>K15+G20</f>
        <v>44041.814799999993</v>
      </c>
      <c r="K21" s="24" t="s">
        <v>75</v>
      </c>
      <c r="L21">
        <v>21.85</v>
      </c>
      <c r="M21" t="s">
        <v>76</v>
      </c>
    </row>
    <row r="22" spans="6:17" x14ac:dyDescent="0.25">
      <c r="K22" s="24" t="s">
        <v>71</v>
      </c>
      <c r="L22">
        <v>16.66</v>
      </c>
      <c r="M22" t="s">
        <v>72</v>
      </c>
    </row>
    <row r="23" spans="6:17" x14ac:dyDescent="0.25">
      <c r="F23" s="27" t="s">
        <v>45</v>
      </c>
      <c r="K23" s="24" t="s">
        <v>70</v>
      </c>
      <c r="L23">
        <v>80</v>
      </c>
      <c r="M23" t="s">
        <v>73</v>
      </c>
    </row>
    <row r="24" spans="6:17" x14ac:dyDescent="0.25">
      <c r="F24" s="26" t="s">
        <v>41</v>
      </c>
      <c r="G24">
        <v>10</v>
      </c>
      <c r="K24" s="24" t="s">
        <v>74</v>
      </c>
      <c r="L24">
        <f>(L21-L22)/2</f>
        <v>2.5950000000000006</v>
      </c>
      <c r="M24" t="s">
        <v>77</v>
      </c>
    </row>
    <row r="25" spans="6:17" x14ac:dyDescent="0.25">
      <c r="F25" s="26" t="s">
        <v>57</v>
      </c>
      <c r="G25">
        <f>G24*170</f>
        <v>1700</v>
      </c>
    </row>
    <row r="26" spans="6:17" x14ac:dyDescent="0.25">
      <c r="F26" s="26" t="s">
        <v>56</v>
      </c>
      <c r="G26">
        <f>G24*45</f>
        <v>450</v>
      </c>
      <c r="H26" s="27" t="s">
        <v>52</v>
      </c>
      <c r="I26" s="27" t="s">
        <v>3</v>
      </c>
    </row>
    <row r="27" spans="6:17" x14ac:dyDescent="0.25">
      <c r="F27" s="26" t="s">
        <v>55</v>
      </c>
      <c r="G27">
        <f>G25+G26</f>
        <v>2150</v>
      </c>
      <c r="H27">
        <v>36</v>
      </c>
      <c r="I27">
        <f>G27*H27</f>
        <v>77400</v>
      </c>
    </row>
    <row r="29" spans="6:17" x14ac:dyDescent="0.25">
      <c r="F29" s="27" t="s">
        <v>51</v>
      </c>
      <c r="H29" s="27" t="s">
        <v>52</v>
      </c>
    </row>
    <row r="30" spans="6:17" x14ac:dyDescent="0.25">
      <c r="F30" s="26" t="s">
        <v>53</v>
      </c>
      <c r="G30" s="28">
        <f>P12</f>
        <v>40991</v>
      </c>
      <c r="H30">
        <v>90.9</v>
      </c>
      <c r="I30" s="3">
        <f>G30*H30</f>
        <v>3726081.9000000004</v>
      </c>
    </row>
    <row r="31" spans="6:17" x14ac:dyDescent="0.25">
      <c r="F31" s="26" t="s">
        <v>54</v>
      </c>
      <c r="G31">
        <v>50000</v>
      </c>
      <c r="H31" s="25">
        <f>Sheet2!F11</f>
        <v>90.88</v>
      </c>
      <c r="I31">
        <f>G31*H31</f>
        <v>4544000</v>
      </c>
    </row>
    <row r="33" spans="6:12" x14ac:dyDescent="0.25">
      <c r="F33" s="31" t="s">
        <v>62</v>
      </c>
      <c r="G33" s="31" t="s">
        <v>64</v>
      </c>
      <c r="H33" s="31" t="s">
        <v>61</v>
      </c>
      <c r="I33" s="35" t="s">
        <v>63</v>
      </c>
      <c r="J33" s="31" t="s">
        <v>78</v>
      </c>
    </row>
    <row r="34" spans="6:12" x14ac:dyDescent="0.25">
      <c r="F34" s="33" t="s">
        <v>29</v>
      </c>
      <c r="G34" s="3">
        <f>K15</f>
        <v>43641.814799999993</v>
      </c>
      <c r="H34" s="3">
        <f>SUM(I5:I16,M5:M14)</f>
        <v>4033043.7331045135</v>
      </c>
      <c r="I34" s="34">
        <f>H34/G34</f>
        <v>92.412374498791792</v>
      </c>
      <c r="J34" s="32">
        <f>(I34-$L$23-$L$24)/$L$22</f>
        <v>0.58927818119998743</v>
      </c>
    </row>
    <row r="35" spans="6:12" x14ac:dyDescent="0.25">
      <c r="F35" s="3" t="s">
        <v>65</v>
      </c>
      <c r="G35" s="3">
        <f>G34+G20</f>
        <v>44041.814799999993</v>
      </c>
      <c r="H35" s="3">
        <f>H34+I20</f>
        <v>4043763.7331045135</v>
      </c>
      <c r="I35" s="34">
        <f t="shared" ref="I35:I39" si="2">H35/G35</f>
        <v>91.816464681753175</v>
      </c>
      <c r="J35" s="32">
        <f t="shared" ref="J35:J39" si="3">(I35-$L$23-$L$24)/$L$22</f>
        <v>0.55350928461903803</v>
      </c>
    </row>
    <row r="36" spans="6:12" x14ac:dyDescent="0.25">
      <c r="F36" t="s">
        <v>66</v>
      </c>
      <c r="G36" s="3">
        <f>G35+G27</f>
        <v>46191.814799999993</v>
      </c>
      <c r="H36" s="3">
        <f>H35+I27</f>
        <v>4121163.7331045135</v>
      </c>
      <c r="I36" s="34">
        <f t="shared" si="2"/>
        <v>89.218484940420964</v>
      </c>
      <c r="J36" s="32">
        <f t="shared" si="3"/>
        <v>0.39756812367472771</v>
      </c>
    </row>
    <row r="37" spans="6:12" x14ac:dyDescent="0.25">
      <c r="F37" t="s">
        <v>27</v>
      </c>
      <c r="G37" s="3">
        <f>G36+G30</f>
        <v>87182.814799999993</v>
      </c>
      <c r="H37" s="3">
        <f>H36+I30</f>
        <v>7847245.6331045143</v>
      </c>
      <c r="I37" s="34">
        <f t="shared" si="2"/>
        <v>90.009087812848577</v>
      </c>
      <c r="J37" s="32">
        <f t="shared" si="3"/>
        <v>0.44502327808214742</v>
      </c>
    </row>
    <row r="38" spans="6:12" x14ac:dyDescent="0.25">
      <c r="F38" t="s">
        <v>67</v>
      </c>
      <c r="G38" s="3">
        <f>G37-G27</f>
        <v>85032.814799999993</v>
      </c>
      <c r="H38" s="3">
        <f>H37-I27</f>
        <v>7769845.6331045143</v>
      </c>
      <c r="I38" s="34">
        <f t="shared" si="2"/>
        <v>91.374672841060828</v>
      </c>
      <c r="J38" s="32">
        <f t="shared" si="3"/>
        <v>0.52699116693042181</v>
      </c>
    </row>
    <row r="39" spans="6:12" x14ac:dyDescent="0.25">
      <c r="F39" t="s">
        <v>68</v>
      </c>
      <c r="G39" s="3">
        <f>G38-G30</f>
        <v>44041.814799999993</v>
      </c>
      <c r="H39" s="3">
        <f>H38-I30</f>
        <v>4043763.733104514</v>
      </c>
      <c r="I39" s="34">
        <f t="shared" si="2"/>
        <v>91.816464681753189</v>
      </c>
      <c r="J39" s="32">
        <f t="shared" si="3"/>
        <v>0.55350928461903892</v>
      </c>
    </row>
    <row r="41" spans="6:12" x14ac:dyDescent="0.25">
      <c r="F41" t="s">
        <v>79</v>
      </c>
      <c r="G41" s="25">
        <f>MAX(I34:I39) - MIN(I34:I39)</f>
        <v>3.1938895583708273</v>
      </c>
    </row>
    <row r="42" spans="6:12" x14ac:dyDescent="0.25">
      <c r="F42" t="s">
        <v>80</v>
      </c>
      <c r="G42" s="32">
        <f>MAX(J34:J39) - MIN(J34:J39)</f>
        <v>0.19171005752525971</v>
      </c>
    </row>
    <row r="46" spans="6:12" x14ac:dyDescent="0.25">
      <c r="F46" s="18"/>
      <c r="G46" s="18"/>
      <c r="H46" s="21"/>
      <c r="I46" s="21"/>
      <c r="J46" s="21"/>
      <c r="L46" s="20"/>
    </row>
    <row r="47" spans="6:12" x14ac:dyDescent="0.25">
      <c r="F47" s="18"/>
      <c r="G47" s="18"/>
      <c r="H47" s="22"/>
      <c r="I47" s="18"/>
      <c r="J47" s="18"/>
      <c r="L47" s="20"/>
    </row>
    <row r="48" spans="6:12" x14ac:dyDescent="0.25">
      <c r="F48" s="2"/>
      <c r="G48" s="18"/>
      <c r="H48" s="23"/>
      <c r="I48" s="23"/>
      <c r="J48" s="23"/>
    </row>
    <row r="49" spans="6:10" x14ac:dyDescent="0.25">
      <c r="F49" s="2"/>
      <c r="G49" s="18"/>
      <c r="H49" s="23"/>
      <c r="I49" s="23"/>
      <c r="J49" s="23"/>
    </row>
    <row r="50" spans="6:10" x14ac:dyDescent="0.25">
      <c r="F50" s="2"/>
      <c r="G50" s="18"/>
      <c r="H50" s="23"/>
      <c r="I50" s="23"/>
      <c r="J50" s="23"/>
    </row>
    <row r="51" spans="6:10" x14ac:dyDescent="0.25">
      <c r="F51" s="2"/>
      <c r="G51" s="1"/>
      <c r="H51" s="4"/>
      <c r="I51" s="23"/>
      <c r="J51" s="23"/>
    </row>
    <row r="52" spans="6:10" x14ac:dyDescent="0.25">
      <c r="F52" s="2"/>
      <c r="G52" s="18"/>
      <c r="H52" s="23"/>
      <c r="I52" s="23"/>
      <c r="J52" s="23"/>
    </row>
    <row r="53" spans="6:10" x14ac:dyDescent="0.25">
      <c r="F53" s="2"/>
      <c r="G53" s="18"/>
      <c r="H53" s="23"/>
      <c r="I53" s="23"/>
      <c r="J53" s="23"/>
    </row>
  </sheetData>
  <mergeCells count="6">
    <mergeCell ref="K20:L20"/>
    <mergeCell ref="P12:Q12"/>
    <mergeCell ref="O8:Q8"/>
    <mergeCell ref="P9:Q9"/>
    <mergeCell ref="P10:Q10"/>
    <mergeCell ref="P11:Q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1"/>
  <sheetViews>
    <sheetView workbookViewId="0">
      <selection activeCell="F12" sqref="F12"/>
    </sheetView>
  </sheetViews>
  <sheetFormatPr defaultRowHeight="15" x14ac:dyDescent="0.25"/>
  <cols>
    <col min="4" max="4" width="11.7109375" bestFit="1" customWidth="1"/>
    <col min="6" max="6" width="12.85546875" bestFit="1" customWidth="1"/>
    <col min="7" max="7" width="15.28515625" bestFit="1" customWidth="1"/>
    <col min="9" max="9" width="11.7109375" bestFit="1" customWidth="1"/>
    <col min="10" max="10" width="9.7109375" bestFit="1" customWidth="1"/>
    <col min="11" max="11" width="12.85546875" bestFit="1" customWidth="1"/>
    <col min="12" max="12" width="15.28515625" bestFit="1" customWidth="1"/>
  </cols>
  <sheetData>
    <row r="3" spans="4:12" x14ac:dyDescent="0.25">
      <c r="D3" t="s">
        <v>58</v>
      </c>
      <c r="I3" t="s">
        <v>59</v>
      </c>
    </row>
    <row r="4" spans="4:12" x14ac:dyDescent="0.25">
      <c r="D4" t="s">
        <v>18</v>
      </c>
      <c r="E4" t="s">
        <v>37</v>
      </c>
      <c r="F4" t="s">
        <v>38</v>
      </c>
      <c r="G4" t="s">
        <v>60</v>
      </c>
      <c r="I4" t="s">
        <v>18</v>
      </c>
      <c r="J4" t="s">
        <v>37</v>
      </c>
      <c r="K4" t="s">
        <v>38</v>
      </c>
      <c r="L4" t="s">
        <v>60</v>
      </c>
    </row>
    <row r="5" spans="4:12" x14ac:dyDescent="0.25">
      <c r="D5" t="s">
        <v>33</v>
      </c>
      <c r="E5">
        <v>70</v>
      </c>
      <c r="F5">
        <v>7000</v>
      </c>
      <c r="G5">
        <f>E5*F5</f>
        <v>490000</v>
      </c>
      <c r="I5" t="s">
        <v>33</v>
      </c>
      <c r="J5">
        <v>70</v>
      </c>
      <c r="K5">
        <v>5738</v>
      </c>
      <c r="L5">
        <f>J5*K5</f>
        <v>401660</v>
      </c>
    </row>
    <row r="6" spans="4:12" x14ac:dyDescent="0.25">
      <c r="D6" t="s">
        <v>34</v>
      </c>
      <c r="E6">
        <v>86</v>
      </c>
      <c r="F6">
        <v>27000</v>
      </c>
      <c r="G6">
        <f t="shared" ref="G6:G8" si="0">E6*F6</f>
        <v>2322000</v>
      </c>
      <c r="I6" t="s">
        <v>34</v>
      </c>
      <c r="J6">
        <v>86</v>
      </c>
      <c r="K6">
        <v>22135</v>
      </c>
      <c r="L6">
        <f t="shared" ref="L6:L8" si="1">J6*K6</f>
        <v>1903610</v>
      </c>
    </row>
    <row r="7" spans="4:12" x14ac:dyDescent="0.25">
      <c r="D7" t="s">
        <v>35</v>
      </c>
      <c r="E7">
        <v>104</v>
      </c>
      <c r="F7">
        <v>12000</v>
      </c>
      <c r="G7">
        <f t="shared" si="0"/>
        <v>1248000</v>
      </c>
      <c r="I7" t="s">
        <v>35</v>
      </c>
      <c r="J7">
        <v>104</v>
      </c>
      <c r="K7">
        <v>9838</v>
      </c>
      <c r="L7">
        <f t="shared" si="1"/>
        <v>1023152</v>
      </c>
    </row>
    <row r="8" spans="4:12" x14ac:dyDescent="0.25">
      <c r="D8" t="s">
        <v>36</v>
      </c>
      <c r="E8">
        <v>121</v>
      </c>
      <c r="F8">
        <v>4000</v>
      </c>
      <c r="G8">
        <f t="shared" si="0"/>
        <v>484000</v>
      </c>
      <c r="I8" t="s">
        <v>36</v>
      </c>
      <c r="J8">
        <v>121</v>
      </c>
      <c r="K8">
        <v>3280</v>
      </c>
      <c r="L8">
        <f t="shared" si="1"/>
        <v>396880</v>
      </c>
    </row>
    <row r="9" spans="4:12" x14ac:dyDescent="0.25">
      <c r="E9" s="24" t="s">
        <v>39</v>
      </c>
      <c r="F9">
        <f>SUM(F5:F8)</f>
        <v>50000</v>
      </c>
      <c r="G9">
        <f>SUM(G5:G8)</f>
        <v>4544000</v>
      </c>
      <c r="K9">
        <f>SUM(K5:K8)</f>
        <v>40991</v>
      </c>
      <c r="L9">
        <f>SUM(L5:L8)</f>
        <v>3725302</v>
      </c>
    </row>
    <row r="11" spans="4:12" x14ac:dyDescent="0.25">
      <c r="D11" t="s">
        <v>40</v>
      </c>
      <c r="F11" s="25">
        <f>G9/F9</f>
        <v>90.88</v>
      </c>
      <c r="I11" t="s">
        <v>40</v>
      </c>
      <c r="K11" s="25">
        <f>L9/K9</f>
        <v>90.880973872313433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2017-03-19T23:10:56Z</dcterms:created>
  <dcterms:modified xsi:type="dcterms:W3CDTF">2017-04-26T00:20:42Z</dcterms:modified>
</cp:coreProperties>
</file>