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nior-Design\"/>
    </mc:Choice>
  </mc:AlternateContent>
  <bookViews>
    <workbookView xWindow="0" yWindow="0" windowWidth="28800" windowHeight="11610" activeTab="2"/>
  </bookViews>
  <sheets>
    <sheet name="Sheet1" sheetId="1" r:id="rId1"/>
    <sheet name="Sheet2" sheetId="2" r:id="rId2"/>
    <sheet name="ZCG" sheetId="3" r:id="rId3"/>
  </sheets>
  <externalReferences>
    <externalReference r:id="rId4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3" l="1"/>
  <c r="F39" i="3"/>
  <c r="E39" i="3"/>
  <c r="E38" i="3"/>
  <c r="D39" i="3"/>
  <c r="D38" i="3"/>
  <c r="F11" i="3"/>
  <c r="F12" i="3"/>
  <c r="J5" i="3"/>
  <c r="J6" i="3"/>
  <c r="E34" i="3"/>
  <c r="E35" i="3"/>
  <c r="F35" i="3"/>
  <c r="E36" i="3"/>
  <c r="F36" i="3"/>
  <c r="E37" i="3"/>
  <c r="F37" i="3"/>
  <c r="F34" i="3"/>
  <c r="F30" i="3"/>
  <c r="F29" i="3"/>
  <c r="D37" i="3"/>
  <c r="D36" i="3"/>
  <c r="D24" i="3"/>
  <c r="D25" i="3"/>
  <c r="D26" i="3"/>
  <c r="F26" i="3"/>
  <c r="D35" i="3"/>
  <c r="D34" i="3"/>
  <c r="D20" i="3"/>
  <c r="D19" i="3"/>
  <c r="F19" i="3"/>
  <c r="J12" i="3"/>
  <c r="J13" i="3"/>
  <c r="J14" i="3"/>
  <c r="F6" i="3"/>
  <c r="F15" i="3"/>
  <c r="J7" i="3"/>
  <c r="J8" i="3"/>
  <c r="J9" i="3"/>
  <c r="J10" i="3"/>
  <c r="J11" i="3"/>
  <c r="F7" i="3"/>
  <c r="F8" i="3"/>
  <c r="F9" i="3"/>
  <c r="F10" i="3"/>
  <c r="F13" i="3"/>
  <c r="F14" i="3"/>
  <c r="F16" i="3"/>
  <c r="F5" i="3"/>
  <c r="L29" i="1"/>
  <c r="G9" i="1"/>
  <c r="G10" i="1"/>
  <c r="G13" i="1"/>
  <c r="G14" i="1"/>
  <c r="I6" i="1"/>
  <c r="I7" i="1"/>
  <c r="I8" i="1"/>
  <c r="I9" i="1"/>
  <c r="I10" i="1"/>
  <c r="I11" i="1"/>
  <c r="I12" i="1"/>
  <c r="I13" i="1"/>
  <c r="I14" i="1"/>
  <c r="H15" i="1"/>
  <c r="I15" i="1"/>
  <c r="I16" i="1"/>
  <c r="K5" i="1"/>
  <c r="M5" i="1"/>
  <c r="K6" i="1"/>
  <c r="M6" i="1"/>
  <c r="H34" i="1"/>
  <c r="H35" i="1"/>
  <c r="H36" i="1"/>
  <c r="I30" i="1"/>
  <c r="H37" i="1"/>
  <c r="H38" i="1"/>
  <c r="H39" i="1"/>
  <c r="K15" i="1"/>
  <c r="G34" i="1"/>
  <c r="G35" i="1"/>
  <c r="G36" i="1"/>
  <c r="G37" i="1"/>
  <c r="G38" i="1"/>
  <c r="G39" i="1"/>
  <c r="I39" i="1"/>
  <c r="J39" i="1"/>
  <c r="K39" i="1"/>
  <c r="I38" i="1"/>
  <c r="J38" i="1"/>
  <c r="K38" i="1"/>
  <c r="I37" i="1"/>
  <c r="J37" i="1"/>
  <c r="K37" i="1"/>
  <c r="I36" i="1"/>
  <c r="J36" i="1"/>
  <c r="K36" i="1"/>
  <c r="I35" i="1"/>
  <c r="J35" i="1"/>
  <c r="K35" i="1"/>
  <c r="I34" i="1"/>
  <c r="J34" i="1"/>
  <c r="K34" i="1"/>
  <c r="L24" i="1"/>
  <c r="H31" i="1"/>
  <c r="M8" i="1"/>
  <c r="M7" i="1"/>
  <c r="M14" i="1"/>
  <c r="M12" i="1"/>
  <c r="M13" i="1"/>
  <c r="M10" i="1"/>
  <c r="P11" i="1"/>
  <c r="H8" i="1"/>
  <c r="H7" i="1"/>
  <c r="H5" i="1"/>
  <c r="K11" i="2"/>
  <c r="L9" i="2"/>
  <c r="L6" i="2"/>
  <c r="L7" i="2"/>
  <c r="L8" i="2"/>
  <c r="L5" i="2"/>
  <c r="K9" i="2"/>
  <c r="I31" i="1"/>
  <c r="G30" i="1"/>
  <c r="G26" i="1"/>
  <c r="G20" i="1"/>
  <c r="I20" i="1"/>
  <c r="G25" i="1"/>
  <c r="G27" i="1"/>
  <c r="I27" i="1"/>
  <c r="F11" i="2"/>
  <c r="G9" i="2"/>
  <c r="F9" i="2"/>
  <c r="G6" i="2"/>
  <c r="G7" i="2"/>
  <c r="G8" i="2"/>
  <c r="G5" i="2"/>
  <c r="M9" i="1"/>
  <c r="M11" i="1"/>
  <c r="I5" i="1"/>
  <c r="G21" i="1"/>
  <c r="G41" i="1"/>
  <c r="G42" i="1"/>
</calcChain>
</file>

<file path=xl/sharedStrings.xml><?xml version="1.0" encoding="utf-8"?>
<sst xmlns="http://schemas.openxmlformats.org/spreadsheetml/2006/main" count="167" uniqueCount="101">
  <si>
    <t>Component</t>
  </si>
  <si>
    <t>Weight (lb)</t>
  </si>
  <si>
    <r>
      <t>Location of X</t>
    </r>
    <r>
      <rPr>
        <b/>
        <vertAlign val="subscript"/>
        <sz val="11"/>
        <color theme="1"/>
        <rFont val="Times New Roman"/>
        <family val="1"/>
      </rPr>
      <t xml:space="preserve">cg </t>
    </r>
    <r>
      <rPr>
        <b/>
        <sz val="11"/>
        <color theme="1"/>
        <rFont val="Times New Roman"/>
        <family val="1"/>
      </rPr>
      <t>(ft)</t>
    </r>
  </si>
  <si>
    <t>Moment (lb-ft)</t>
  </si>
  <si>
    <t>Wing</t>
  </si>
  <si>
    <t>Hydraulics</t>
  </si>
  <si>
    <t>Fuselage</t>
  </si>
  <si>
    <t>Instrumentation, Avionics, Electronics</t>
  </si>
  <si>
    <t>Horizontal Tail</t>
  </si>
  <si>
    <t>Electrical System</t>
  </si>
  <si>
    <t>Vertical Tail</t>
  </si>
  <si>
    <t>Air-conditioning, Pressurization, De-icing</t>
  </si>
  <si>
    <t>Nose Landing Gear</t>
  </si>
  <si>
    <t>Oxygen System</t>
  </si>
  <si>
    <t>Main Landing Gear</t>
  </si>
  <si>
    <t>Auxiliary Power Unit (APU)</t>
  </si>
  <si>
    <t>Engines</t>
  </si>
  <si>
    <t>Furnishings</t>
  </si>
  <si>
    <t>Fuel System</t>
  </si>
  <si>
    <t>Operational Items</t>
  </si>
  <si>
    <t>Flight Control System</t>
  </si>
  <si>
    <t>Paint</t>
  </si>
  <si>
    <t>Total Empty Weight</t>
  </si>
  <si>
    <t>Aft Engine</t>
  </si>
  <si>
    <t>Nose Gear Hydraulics</t>
  </si>
  <si>
    <t>Main Gear Hydraulics</t>
  </si>
  <si>
    <t>Forward Engines</t>
  </si>
  <si>
    <t>MTOW</t>
  </si>
  <si>
    <t>OEW</t>
  </si>
  <si>
    <t>Empty</t>
  </si>
  <si>
    <t>Fuel</t>
  </si>
  <si>
    <t>Airplane Weights (lb)</t>
  </si>
  <si>
    <t>*xcg specified from nose</t>
  </si>
  <si>
    <t>Tank 1</t>
  </si>
  <si>
    <t>Tank 2</t>
  </si>
  <si>
    <t>Tank 3</t>
  </si>
  <si>
    <t>Tank 4</t>
  </si>
  <si>
    <t>Xnose (ft)</t>
  </si>
  <si>
    <t>Capacity (lbs)</t>
  </si>
  <si>
    <t>Total</t>
  </si>
  <si>
    <t>Fuel System XCG</t>
  </si>
  <si>
    <t>Number of Passengers</t>
  </si>
  <si>
    <t>Number of Crew</t>
  </si>
  <si>
    <t>Operating Empty CG Info</t>
  </si>
  <si>
    <t>Empty Weight CG Info</t>
  </si>
  <si>
    <t>Payload Info</t>
  </si>
  <si>
    <t>OEW Weight (lb)</t>
  </si>
  <si>
    <t>Crew Weight and Luggage (lb)</t>
  </si>
  <si>
    <t>Forward Engine Inlets</t>
  </si>
  <si>
    <t>Aft Engine Inlet</t>
  </si>
  <si>
    <t>Inlets</t>
  </si>
  <si>
    <t>Fuel Info</t>
  </si>
  <si>
    <t>Location of XCG (ft)</t>
  </si>
  <si>
    <t xml:space="preserve">Typical Fuel </t>
  </si>
  <si>
    <t xml:space="preserve">Max Fuel </t>
  </si>
  <si>
    <t xml:space="preserve">Total Payload </t>
  </si>
  <si>
    <t xml:space="preserve">Passenger Luggage </t>
  </si>
  <si>
    <t xml:space="preserve">Passenger Weight </t>
  </si>
  <si>
    <t>MAX FUEL</t>
  </si>
  <si>
    <t>Typical Fuel</t>
  </si>
  <si>
    <t>Moment (lbs-ft)</t>
  </si>
  <si>
    <t>Total Moment (lb-ft)</t>
  </si>
  <si>
    <t>Condition</t>
  </si>
  <si>
    <t>XCG from Nose (ft)</t>
  </si>
  <si>
    <t>Total Weight (lbs)</t>
  </si>
  <si>
    <t xml:space="preserve">Empty + Crew </t>
  </si>
  <si>
    <t>Empty + Crew + Max Payload</t>
  </si>
  <si>
    <t>MTOW - Max Payload</t>
  </si>
  <si>
    <t>Wing Geometry</t>
  </si>
  <si>
    <t>xLE=</t>
  </si>
  <si>
    <t>MAC=</t>
  </si>
  <si>
    <t>ft, wing mean aerodynamic chord</t>
  </si>
  <si>
    <t>ft, distance from nose to leading edge of wing</t>
  </si>
  <si>
    <t>l=</t>
  </si>
  <si>
    <t>Cr=</t>
  </si>
  <si>
    <t>ft, wing root chord</t>
  </si>
  <si>
    <t>ft, (Cr - MAC)/2</t>
  </si>
  <si>
    <t xml:space="preserve">XCG (% MAC) </t>
  </si>
  <si>
    <t>CG Range (ft)</t>
  </si>
  <si>
    <t>CG Range (% MAC)</t>
  </si>
  <si>
    <t>SM</t>
  </si>
  <si>
    <t>XAC</t>
  </si>
  <si>
    <t>LG Location</t>
  </si>
  <si>
    <t>B=</t>
  </si>
  <si>
    <t>ft, wheel base</t>
  </si>
  <si>
    <t>ft, from nose to nose gear</t>
  </si>
  <si>
    <t>Nose Gear=</t>
  </si>
  <si>
    <t>CO=</t>
  </si>
  <si>
    <t>ft, dist between MG and AFT CG</t>
  </si>
  <si>
    <t>Loading Scenario</t>
  </si>
  <si>
    <t>Operating Empty Weight</t>
  </si>
  <si>
    <t>Operating Empty Weight + Payload</t>
  </si>
  <si>
    <t>Empty Weight</t>
  </si>
  <si>
    <t>Maximum Takeoff Weight (MTOW)</t>
  </si>
  <si>
    <t>Location of ZCG (ft)</t>
  </si>
  <si>
    <t>Weight</t>
  </si>
  <si>
    <t>Moment</t>
  </si>
  <si>
    <t>Zcg (ft)</t>
  </si>
  <si>
    <t>MTOW - PAX (With Baggage)</t>
  </si>
  <si>
    <t>MTOW - PAX - Typical Fuel</t>
  </si>
  <si>
    <t>MTOW - Max Payload - Typical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</si>
</sst>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0" fillId="0" borderId="0" xfId="0" applyNumberFormat="1"/>
    <xf numFmtId="164" fontId="3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Fill="1" applyBorder="1" applyAlignment="1">
      <alignment horizontal="right" vertical="center"/>
    </xf>
    <xf numFmtId="0" fontId="1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4" fillId="0" borderId="0" xfId="0" applyFont="1"/>
    <xf numFmtId="2" fontId="0" fillId="0" borderId="0" xfId="0" applyNumberFormat="1"/>
    <xf numFmtId="0" fontId="0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/>
    </xf>
    <xf numFmtId="2" fontId="3" fillId="0" borderId="1" xfId="0" applyNumberFormat="1" applyFont="1" applyFill="1" applyBorder="1" applyAlignment="1">
      <alignment horizontal="left" vertical="center"/>
    </xf>
    <xf numFmtId="164" fontId="0" fillId="3" borderId="0" xfId="0" applyNumberFormat="1" applyFill="1" applyAlignment="1">
      <alignment horizontal="right"/>
    </xf>
    <xf numFmtId="2" fontId="0" fillId="3" borderId="0" xfId="0" applyNumberFormat="1" applyFill="1"/>
    <xf numFmtId="0" fontId="4" fillId="0" borderId="0" xfId="0" applyFont="1" applyAlignment="1">
      <alignment horizontal="left"/>
    </xf>
    <xf numFmtId="165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171450</xdr:rowOff>
    </xdr:from>
    <xdr:to>
      <xdr:col>23</xdr:col>
      <xdr:colOff>304800</xdr:colOff>
      <xdr:row>6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8AAA9-54F2-48A8-B808-8FA892630C9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552450"/>
          <a:ext cx="5943600" cy="66484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Matt\Dropbox\UC%20Davis\Spring%202017\EAE%20130B\CG_Calc_Copy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1">
          <cell r="F11">
            <v>90.88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53"/>
  <sheetViews>
    <sheetView topLeftCell="F7" zoomScale="90" zoomScaleNormal="90" workbookViewId="0">
      <selection activeCell="F40" sqref="F40"/>
    </sheetView>
  </sheetViews>
  <sheetFormatPr defaultRowHeight="15" x14ac:dyDescent="0.25"/>
  <cols>
    <col min="6" max="6" width="40.85546875" bestFit="1" customWidth="1"/>
    <col min="7" max="7" width="17.85546875" bestFit="1" customWidth="1"/>
    <col min="8" max="8" width="20.140625" bestFit="1" customWidth="1"/>
    <col min="9" max="9" width="17.85546875" bestFit="1" customWidth="1"/>
    <col min="10" max="10" width="36" bestFit="1" customWidth="1"/>
    <col min="11" max="11" width="11.42578125" bestFit="1" customWidth="1"/>
    <col min="12" max="12" width="18.140625" bestFit="1" customWidth="1"/>
    <col min="13" max="13" width="14.85546875" bestFit="1" customWidth="1"/>
    <col min="15" max="15" width="11" bestFit="1" customWidth="1"/>
    <col min="16" max="16" width="9" bestFit="1" customWidth="1"/>
    <col min="17" max="17" width="10.140625" bestFit="1" customWidth="1"/>
  </cols>
  <sheetData>
    <row r="2" spans="6:17" x14ac:dyDescent="0.25">
      <c r="F2" t="s">
        <v>32</v>
      </c>
    </row>
    <row r="3" spans="6:17" x14ac:dyDescent="0.25">
      <c r="F3" t="s">
        <v>44</v>
      </c>
    </row>
    <row r="4" spans="6:17" ht="17.25" x14ac:dyDescent="0.25">
      <c r="F4" s="13" t="s">
        <v>0</v>
      </c>
      <c r="G4" s="13" t="s">
        <v>1</v>
      </c>
      <c r="H4" s="13" t="s">
        <v>2</v>
      </c>
      <c r="I4" s="13" t="s">
        <v>3</v>
      </c>
      <c r="J4" s="13" t="s">
        <v>0</v>
      </c>
      <c r="K4" s="13" t="s">
        <v>1</v>
      </c>
      <c r="L4" s="13" t="s">
        <v>2</v>
      </c>
      <c r="M4" s="13" t="s">
        <v>3</v>
      </c>
      <c r="O4" s="14" t="s">
        <v>5</v>
      </c>
      <c r="P4" s="14" t="s">
        <v>50</v>
      </c>
      <c r="Q4" s="15" t="s">
        <v>16</v>
      </c>
    </row>
    <row r="5" spans="6:17" x14ac:dyDescent="0.25">
      <c r="F5" s="5" t="s">
        <v>4</v>
      </c>
      <c r="G5" s="6">
        <v>4122.8</v>
      </c>
      <c r="H5" s="32">
        <f>80+5.3446</f>
        <v>85.3446</v>
      </c>
      <c r="I5" s="6">
        <f>G5*H5</f>
        <v>351858.71688000002</v>
      </c>
      <c r="J5" s="5" t="s">
        <v>24</v>
      </c>
      <c r="K5" s="6">
        <f>$O$5*(G11/(G11+G12))</f>
        <v>150.75478887097788</v>
      </c>
      <c r="L5" s="32">
        <v>32</v>
      </c>
      <c r="M5" s="6">
        <f>K5*L5</f>
        <v>4824.153243871292</v>
      </c>
      <c r="O5" s="6">
        <v>1136</v>
      </c>
      <c r="P5" s="6">
        <v>3209</v>
      </c>
      <c r="Q5" s="6">
        <v>13950</v>
      </c>
    </row>
    <row r="6" spans="6:17" x14ac:dyDescent="0.25">
      <c r="F6" s="5" t="s">
        <v>6</v>
      </c>
      <c r="G6" s="6">
        <v>7666.3</v>
      </c>
      <c r="H6" s="32">
        <v>61</v>
      </c>
      <c r="I6" s="6">
        <f t="shared" ref="I6:I16" si="0">G6*H6</f>
        <v>467644.3</v>
      </c>
      <c r="J6" s="7" t="s">
        <v>25</v>
      </c>
      <c r="K6" s="6">
        <f>$O$5*(G12/(G12+G11))</f>
        <v>985.24521112902221</v>
      </c>
      <c r="L6" s="32">
        <v>94.75</v>
      </c>
      <c r="M6" s="6">
        <f t="shared" ref="M6:M14" si="1">K6*L6</f>
        <v>93351.983754474859</v>
      </c>
    </row>
    <row r="7" spans="6:17" x14ac:dyDescent="0.25">
      <c r="F7" s="5" t="s">
        <v>8</v>
      </c>
      <c r="G7" s="6">
        <v>996.68</v>
      </c>
      <c r="H7" s="32">
        <f>80+5.3446+6.25+46.7593+(0.25*11.2)</f>
        <v>141.15390000000002</v>
      </c>
      <c r="I7" s="6">
        <f t="shared" si="0"/>
        <v>140685.26905200002</v>
      </c>
      <c r="J7" s="5" t="s">
        <v>7</v>
      </c>
      <c r="K7" s="6">
        <v>1102.0999999999999</v>
      </c>
      <c r="L7" s="32">
        <v>26.83</v>
      </c>
      <c r="M7" s="6">
        <f t="shared" si="1"/>
        <v>29569.342999999997</v>
      </c>
    </row>
    <row r="8" spans="6:17" x14ac:dyDescent="0.25">
      <c r="F8" s="5" t="s">
        <v>10</v>
      </c>
      <c r="G8" s="6">
        <v>459</v>
      </c>
      <c r="H8" s="32">
        <f>80+5.3446+6.25+46.7593+(0.25*11.2)</f>
        <v>141.15390000000002</v>
      </c>
      <c r="I8" s="6">
        <f t="shared" si="0"/>
        <v>64789.640100000011</v>
      </c>
      <c r="J8" s="5" t="s">
        <v>9</v>
      </c>
      <c r="K8" s="6">
        <v>1875.9</v>
      </c>
      <c r="L8" s="32">
        <v>28</v>
      </c>
      <c r="M8" s="6">
        <f t="shared" si="1"/>
        <v>52525.200000000004</v>
      </c>
      <c r="O8" s="39" t="s">
        <v>31</v>
      </c>
      <c r="P8" s="39"/>
      <c r="Q8" s="39"/>
    </row>
    <row r="9" spans="6:17" x14ac:dyDescent="0.25">
      <c r="F9" s="8" t="s">
        <v>48</v>
      </c>
      <c r="G9" s="6">
        <f>P5-P5/3</f>
        <v>2139.333333333333</v>
      </c>
      <c r="H9" s="32">
        <v>121.2925</v>
      </c>
      <c r="I9" s="6">
        <f t="shared" si="0"/>
        <v>259485.08833333332</v>
      </c>
      <c r="J9" s="5" t="s">
        <v>11</v>
      </c>
      <c r="K9" s="6">
        <v>411.24860000000001</v>
      </c>
      <c r="L9" s="32">
        <v>138.47999999999999</v>
      </c>
      <c r="M9" s="6">
        <f t="shared" si="1"/>
        <v>56949.706127999998</v>
      </c>
      <c r="O9" s="17" t="s">
        <v>27</v>
      </c>
      <c r="P9" s="38">
        <v>86931</v>
      </c>
      <c r="Q9" s="38"/>
    </row>
    <row r="10" spans="6:17" x14ac:dyDescent="0.25">
      <c r="F10" s="8" t="s">
        <v>49</v>
      </c>
      <c r="G10" s="9">
        <f>P5/3</f>
        <v>1069.6666666666667</v>
      </c>
      <c r="H10" s="33">
        <v>141.4092</v>
      </c>
      <c r="I10" s="6">
        <f t="shared" si="0"/>
        <v>151260.70760000002</v>
      </c>
      <c r="J10" s="5" t="s">
        <v>13</v>
      </c>
      <c r="K10" s="6">
        <v>40.057400000000001</v>
      </c>
      <c r="L10" s="32">
        <v>41.167000000000002</v>
      </c>
      <c r="M10" s="6">
        <f t="shared" si="1"/>
        <v>1649.0429858000002</v>
      </c>
      <c r="O10" s="17" t="s">
        <v>28</v>
      </c>
      <c r="P10" s="38">
        <v>43908</v>
      </c>
      <c r="Q10" s="38"/>
    </row>
    <row r="11" spans="6:17" x14ac:dyDescent="0.25">
      <c r="F11" s="5" t="s">
        <v>12</v>
      </c>
      <c r="G11" s="6">
        <v>316.95</v>
      </c>
      <c r="H11" s="32">
        <v>31</v>
      </c>
      <c r="I11" s="6">
        <f t="shared" si="0"/>
        <v>9825.4499999999989</v>
      </c>
      <c r="J11" s="5" t="s">
        <v>15</v>
      </c>
      <c r="K11" s="6">
        <v>436.9273</v>
      </c>
      <c r="L11" s="32">
        <v>135</v>
      </c>
      <c r="M11" s="6">
        <f t="shared" si="1"/>
        <v>58985.1855</v>
      </c>
      <c r="O11" s="17" t="s">
        <v>29</v>
      </c>
      <c r="P11" s="38">
        <f>K15</f>
        <v>43508.290600000008</v>
      </c>
      <c r="Q11" s="38"/>
    </row>
    <row r="12" spans="6:17" x14ac:dyDescent="0.25">
      <c r="F12" s="5" t="s">
        <v>14</v>
      </c>
      <c r="G12" s="6">
        <v>2071.4</v>
      </c>
      <c r="H12" s="32">
        <v>94.75</v>
      </c>
      <c r="I12" s="6">
        <f t="shared" si="0"/>
        <v>196265.15</v>
      </c>
      <c r="J12" s="5" t="s">
        <v>17</v>
      </c>
      <c r="K12" s="6">
        <v>756</v>
      </c>
      <c r="L12" s="32">
        <v>41.167000000000002</v>
      </c>
      <c r="M12" s="6">
        <f t="shared" si="1"/>
        <v>31122.252</v>
      </c>
      <c r="O12" s="17" t="s">
        <v>30</v>
      </c>
      <c r="P12" s="38">
        <v>40872</v>
      </c>
      <c r="Q12" s="38"/>
    </row>
    <row r="13" spans="6:17" x14ac:dyDescent="0.25">
      <c r="F13" s="8" t="s">
        <v>26</v>
      </c>
      <c r="G13" s="9">
        <f>Q5-Q5/3</f>
        <v>9300</v>
      </c>
      <c r="H13" s="33">
        <v>119.55</v>
      </c>
      <c r="I13" s="6">
        <f t="shared" si="0"/>
        <v>1111815</v>
      </c>
      <c r="J13" s="5" t="s">
        <v>19</v>
      </c>
      <c r="K13" s="6">
        <v>280</v>
      </c>
      <c r="L13" s="32">
        <v>30.5</v>
      </c>
      <c r="M13" s="6">
        <f t="shared" si="1"/>
        <v>8540</v>
      </c>
    </row>
    <row r="14" spans="6:17" x14ac:dyDescent="0.25">
      <c r="F14" s="8" t="s">
        <v>23</v>
      </c>
      <c r="G14" s="9">
        <f>Q5/3</f>
        <v>4650</v>
      </c>
      <c r="H14" s="33">
        <v>140.85</v>
      </c>
      <c r="I14" s="6">
        <f t="shared" si="0"/>
        <v>654952.5</v>
      </c>
      <c r="J14" s="5" t="s">
        <v>21</v>
      </c>
      <c r="K14" s="6">
        <v>436.9273</v>
      </c>
      <c r="L14" s="32">
        <v>75.2</v>
      </c>
      <c r="M14" s="6">
        <f t="shared" si="1"/>
        <v>32856.932959999998</v>
      </c>
    </row>
    <row r="15" spans="6:17" x14ac:dyDescent="0.25">
      <c r="F15" s="5" t="s">
        <v>18</v>
      </c>
      <c r="G15" s="9">
        <v>1470.2</v>
      </c>
      <c r="H15" s="34">
        <f>[1]Sheet2!F11</f>
        <v>90.88</v>
      </c>
      <c r="I15" s="6">
        <f t="shared" si="0"/>
        <v>133611.77599999998</v>
      </c>
      <c r="J15" s="11" t="s">
        <v>22</v>
      </c>
      <c r="K15" s="12">
        <f>SUM(G5:G16,K5:K14)</f>
        <v>43508.290600000008</v>
      </c>
      <c r="L15" s="10"/>
      <c r="M15" s="7"/>
    </row>
    <row r="16" spans="6:17" x14ac:dyDescent="0.25">
      <c r="F16" s="5" t="s">
        <v>20</v>
      </c>
      <c r="G16" s="6">
        <v>2770.8</v>
      </c>
      <c r="H16" s="32">
        <v>26.83</v>
      </c>
      <c r="I16" s="6">
        <f t="shared" si="0"/>
        <v>74340.563999999998</v>
      </c>
      <c r="J16" s="11"/>
      <c r="K16" s="12"/>
      <c r="L16" s="7"/>
      <c r="M16" s="7"/>
    </row>
    <row r="18" spans="6:17" x14ac:dyDescent="0.25">
      <c r="F18" s="25" t="s">
        <v>43</v>
      </c>
      <c r="Q18" s="3"/>
    </row>
    <row r="19" spans="6:17" x14ac:dyDescent="0.25">
      <c r="F19" s="24" t="s">
        <v>42</v>
      </c>
      <c r="G19">
        <v>2</v>
      </c>
      <c r="H19" s="25" t="s">
        <v>52</v>
      </c>
      <c r="I19" s="25" t="s">
        <v>3</v>
      </c>
    </row>
    <row r="20" spans="6:17" x14ac:dyDescent="0.25">
      <c r="F20" s="24" t="s">
        <v>47</v>
      </c>
      <c r="G20">
        <f>G19*(170+30)</f>
        <v>400</v>
      </c>
      <c r="H20">
        <v>26.8</v>
      </c>
      <c r="I20">
        <f>G20*H20</f>
        <v>10720</v>
      </c>
      <c r="K20" s="37" t="s">
        <v>68</v>
      </c>
      <c r="L20" s="37"/>
    </row>
    <row r="21" spans="6:17" x14ac:dyDescent="0.25">
      <c r="F21" s="24" t="s">
        <v>46</v>
      </c>
      <c r="G21" s="3">
        <f>K15+G20</f>
        <v>43908.290600000008</v>
      </c>
      <c r="K21" s="22" t="s">
        <v>74</v>
      </c>
      <c r="L21">
        <v>21.75</v>
      </c>
      <c r="M21" t="s">
        <v>75</v>
      </c>
    </row>
    <row r="22" spans="6:17" x14ac:dyDescent="0.25">
      <c r="K22" s="22" t="s">
        <v>70</v>
      </c>
      <c r="L22">
        <v>16.59</v>
      </c>
      <c r="M22" t="s">
        <v>71</v>
      </c>
    </row>
    <row r="23" spans="6:17" x14ac:dyDescent="0.25">
      <c r="F23" s="25" t="s">
        <v>45</v>
      </c>
      <c r="K23" s="22" t="s">
        <v>69</v>
      </c>
      <c r="L23">
        <v>80</v>
      </c>
      <c r="M23" t="s">
        <v>72</v>
      </c>
    </row>
    <row r="24" spans="6:17" x14ac:dyDescent="0.25">
      <c r="F24" s="24" t="s">
        <v>41</v>
      </c>
      <c r="G24">
        <v>10</v>
      </c>
      <c r="K24" s="22" t="s">
        <v>73</v>
      </c>
      <c r="L24">
        <f>(L21-L22)/2</f>
        <v>2.58</v>
      </c>
      <c r="M24" t="s">
        <v>76</v>
      </c>
    </row>
    <row r="25" spans="6:17" x14ac:dyDescent="0.25">
      <c r="F25" s="24" t="s">
        <v>57</v>
      </c>
      <c r="G25">
        <f>G24*170</f>
        <v>1700</v>
      </c>
    </row>
    <row r="26" spans="6:17" x14ac:dyDescent="0.25">
      <c r="F26" s="24" t="s">
        <v>56</v>
      </c>
      <c r="G26">
        <f>G24*45</f>
        <v>450</v>
      </c>
      <c r="H26" s="25" t="s">
        <v>52</v>
      </c>
      <c r="I26" s="25" t="s">
        <v>3</v>
      </c>
      <c r="K26" s="22" t="s">
        <v>82</v>
      </c>
    </row>
    <row r="27" spans="6:17" x14ac:dyDescent="0.25">
      <c r="F27" s="24" t="s">
        <v>55</v>
      </c>
      <c r="G27">
        <f>G25+G26</f>
        <v>2150</v>
      </c>
      <c r="H27">
        <v>36</v>
      </c>
      <c r="I27">
        <f>G27*H27</f>
        <v>77400</v>
      </c>
      <c r="K27" s="22" t="s">
        <v>83</v>
      </c>
      <c r="L27">
        <v>64</v>
      </c>
      <c r="M27" t="s">
        <v>84</v>
      </c>
    </row>
    <row r="28" spans="6:17" x14ac:dyDescent="0.25">
      <c r="K28" s="22" t="s">
        <v>86</v>
      </c>
      <c r="L28">
        <v>31</v>
      </c>
      <c r="M28" t="s">
        <v>85</v>
      </c>
    </row>
    <row r="29" spans="6:17" x14ac:dyDescent="0.25">
      <c r="F29" s="25" t="s">
        <v>51</v>
      </c>
      <c r="H29" s="25" t="s">
        <v>52</v>
      </c>
      <c r="K29" s="22" t="s">
        <v>87</v>
      </c>
      <c r="L29" s="28">
        <f>(L27+L28)-I34</f>
        <v>3.364408103464342</v>
      </c>
      <c r="M29" t="s">
        <v>88</v>
      </c>
    </row>
    <row r="30" spans="6:17" x14ac:dyDescent="0.25">
      <c r="F30" s="24" t="s">
        <v>53</v>
      </c>
      <c r="G30" s="26">
        <f>P12</f>
        <v>40872</v>
      </c>
      <c r="H30">
        <v>90.9</v>
      </c>
      <c r="I30" s="3">
        <f>G30*H30</f>
        <v>3715264.8000000003</v>
      </c>
    </row>
    <row r="31" spans="6:17" x14ac:dyDescent="0.25">
      <c r="F31" s="24" t="s">
        <v>54</v>
      </c>
      <c r="G31">
        <v>50000</v>
      </c>
      <c r="H31" s="23">
        <f>Sheet2!F11</f>
        <v>90.88</v>
      </c>
      <c r="I31">
        <f>G31*H31</f>
        <v>4544000</v>
      </c>
      <c r="N31" t="s">
        <v>81</v>
      </c>
      <c r="O31">
        <v>0.73</v>
      </c>
    </row>
    <row r="33" spans="6:12" x14ac:dyDescent="0.25">
      <c r="F33" s="27" t="s">
        <v>62</v>
      </c>
      <c r="G33" s="27" t="s">
        <v>64</v>
      </c>
      <c r="H33" s="27" t="s">
        <v>61</v>
      </c>
      <c r="I33" s="31" t="s">
        <v>63</v>
      </c>
      <c r="J33" s="27" t="s">
        <v>77</v>
      </c>
      <c r="K33" s="27" t="s">
        <v>80</v>
      </c>
    </row>
    <row r="34" spans="6:12" x14ac:dyDescent="0.25">
      <c r="F34" s="29" t="s">
        <v>29</v>
      </c>
      <c r="G34" s="3">
        <f>K15</f>
        <v>43508.290600000008</v>
      </c>
      <c r="H34" s="3">
        <f>SUM(I5:I16,M5:M14)</f>
        <v>3986907.961537479</v>
      </c>
      <c r="I34" s="35">
        <f>H34/G34</f>
        <v>91.635591896535658</v>
      </c>
      <c r="J34" s="36">
        <f>(I34-$L$23-$L$24)/$L$22</f>
        <v>0.54584640726556111</v>
      </c>
      <c r="K34" s="28">
        <f>O31-J34</f>
        <v>0.18415359273443888</v>
      </c>
    </row>
    <row r="35" spans="6:12" x14ac:dyDescent="0.25">
      <c r="F35" s="3" t="s">
        <v>65</v>
      </c>
      <c r="G35" s="3">
        <f>G34+G20</f>
        <v>43908.290600000008</v>
      </c>
      <c r="H35" s="3">
        <f>H34+I20</f>
        <v>3997627.961537479</v>
      </c>
      <c r="I35" s="30">
        <f t="shared" ref="I35:I39" si="2">H35/G35</f>
        <v>91.044946339529744</v>
      </c>
      <c r="J35" s="28">
        <f t="shared" ref="J35:J39" si="3">(I35-$L$23-$L$24)/$L$22</f>
        <v>0.51024390232246797</v>
      </c>
      <c r="K35" s="28">
        <f>O31-J35</f>
        <v>0.21975609767753201</v>
      </c>
    </row>
    <row r="36" spans="6:12" x14ac:dyDescent="0.25">
      <c r="F36" t="s">
        <v>66</v>
      </c>
      <c r="G36" s="3">
        <f>G35+G27</f>
        <v>46058.290600000008</v>
      </c>
      <c r="H36" s="3">
        <f>H35+I27</f>
        <v>4075027.961537479</v>
      </c>
      <c r="I36" s="30">
        <f t="shared" si="2"/>
        <v>88.475449445739486</v>
      </c>
      <c r="J36" s="28">
        <f t="shared" si="3"/>
        <v>0.35536163024348916</v>
      </c>
      <c r="K36" s="28">
        <f>O31-J36</f>
        <v>0.37463836975651083</v>
      </c>
    </row>
    <row r="37" spans="6:12" x14ac:dyDescent="0.25">
      <c r="F37" t="s">
        <v>27</v>
      </c>
      <c r="G37" s="3">
        <f>G36+G30</f>
        <v>86930.290600000008</v>
      </c>
      <c r="H37" s="3">
        <f>H36+I30</f>
        <v>7790292.7615374792</v>
      </c>
      <c r="I37" s="35">
        <f t="shared" si="2"/>
        <v>89.615399968966386</v>
      </c>
      <c r="J37" s="36">
        <f t="shared" si="3"/>
        <v>0.42407474195095757</v>
      </c>
      <c r="K37" s="28">
        <f>O31-J37</f>
        <v>0.30592525804904241</v>
      </c>
    </row>
    <row r="38" spans="6:12" x14ac:dyDescent="0.25">
      <c r="F38" t="s">
        <v>67</v>
      </c>
      <c r="G38" s="3">
        <f>G37-G27</f>
        <v>84780.290600000008</v>
      </c>
      <c r="H38" s="3">
        <f>H37-I27</f>
        <v>7712892.7615374792</v>
      </c>
      <c r="I38" s="30">
        <f t="shared" si="2"/>
        <v>90.975068697599852</v>
      </c>
      <c r="J38" s="28">
        <f t="shared" si="3"/>
        <v>0.50603186845086512</v>
      </c>
      <c r="K38" s="28">
        <f>O31-J38</f>
        <v>0.22396813154913486</v>
      </c>
    </row>
    <row r="39" spans="6:12" x14ac:dyDescent="0.25">
      <c r="F39" t="s">
        <v>100</v>
      </c>
      <c r="G39" s="3">
        <f>G38-G30</f>
        <v>43908.290600000008</v>
      </c>
      <c r="H39" s="3">
        <f>H38-I30</f>
        <v>3997627.961537479</v>
      </c>
      <c r="I39" s="30">
        <f t="shared" si="2"/>
        <v>91.044946339529744</v>
      </c>
      <c r="J39" s="28">
        <f t="shared" si="3"/>
        <v>0.51024390232246797</v>
      </c>
      <c r="K39" s="28">
        <f>O31-J39</f>
        <v>0.21975609767753201</v>
      </c>
    </row>
    <row r="41" spans="6:12" x14ac:dyDescent="0.25">
      <c r="F41" t="s">
        <v>78</v>
      </c>
      <c r="G41" s="23">
        <f>MAX(I34:I39) - MIN(I34:I39)</f>
        <v>3.1601424507961724</v>
      </c>
    </row>
    <row r="42" spans="6:12" x14ac:dyDescent="0.25">
      <c r="F42" t="s">
        <v>79</v>
      </c>
      <c r="G42" s="28">
        <f>MAX(J34:J39) - MIN(J34:J39)</f>
        <v>0.19048477702207195</v>
      </c>
    </row>
    <row r="46" spans="6:12" x14ac:dyDescent="0.25">
      <c r="F46" s="16"/>
      <c r="G46" s="16"/>
      <c r="H46" s="19"/>
      <c r="I46" s="19"/>
      <c r="J46" s="19"/>
      <c r="L46" s="18"/>
    </row>
    <row r="47" spans="6:12" x14ac:dyDescent="0.25">
      <c r="F47" s="16"/>
      <c r="G47" s="16"/>
      <c r="H47" s="20"/>
      <c r="I47" s="16"/>
      <c r="J47" s="16"/>
      <c r="L47" s="18"/>
    </row>
    <row r="48" spans="6:12" x14ac:dyDescent="0.25">
      <c r="F48" s="2"/>
      <c r="G48" s="16"/>
      <c r="H48" s="21"/>
      <c r="I48" s="21"/>
      <c r="J48" s="21"/>
    </row>
    <row r="49" spans="6:10" x14ac:dyDescent="0.25">
      <c r="F49" s="2"/>
      <c r="G49" s="16"/>
      <c r="H49" s="21"/>
      <c r="I49" s="21"/>
      <c r="J49" s="21"/>
    </row>
    <row r="50" spans="6:10" x14ac:dyDescent="0.25">
      <c r="F50" s="2"/>
      <c r="G50" s="16"/>
      <c r="H50" s="21"/>
      <c r="I50" s="21"/>
      <c r="J50" s="21"/>
    </row>
    <row r="51" spans="6:10" x14ac:dyDescent="0.25">
      <c r="F51" s="2"/>
      <c r="G51" s="1"/>
      <c r="H51" s="4"/>
      <c r="I51" s="21"/>
      <c r="J51" s="21"/>
    </row>
    <row r="52" spans="6:10" x14ac:dyDescent="0.25">
      <c r="F52" s="2"/>
      <c r="G52" s="16"/>
      <c r="H52" s="21"/>
      <c r="I52" s="21"/>
      <c r="J52" s="21"/>
    </row>
    <row r="53" spans="6:10" x14ac:dyDescent="0.25">
      <c r="F53" s="2"/>
      <c r="G53" s="16"/>
      <c r="H53" s="21"/>
      <c r="I53" s="21"/>
      <c r="J53" s="21"/>
    </row>
  </sheetData>
  <mergeCells count="6">
    <mergeCell ref="K20:L20"/>
    <mergeCell ref="P12:Q12"/>
    <mergeCell ref="O8:Q8"/>
    <mergeCell ref="P9:Q9"/>
    <mergeCell ref="P10:Q10"/>
    <mergeCell ref="P11:Q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1"/>
  <sheetViews>
    <sheetView topLeftCell="H1" workbookViewId="0">
      <selection activeCell="F32" sqref="F32"/>
    </sheetView>
  </sheetViews>
  <sheetFormatPr defaultRowHeight="15" x14ac:dyDescent="0.25"/>
  <cols>
    <col min="4" max="4" width="11.7109375" bestFit="1" customWidth="1"/>
    <col min="6" max="6" width="12.85546875" bestFit="1" customWidth="1"/>
    <col min="7" max="7" width="15.28515625" bestFit="1" customWidth="1"/>
    <col min="9" max="9" width="11.7109375" bestFit="1" customWidth="1"/>
    <col min="10" max="10" width="9.7109375" bestFit="1" customWidth="1"/>
    <col min="11" max="11" width="12.85546875" bestFit="1" customWidth="1"/>
    <col min="12" max="12" width="15.28515625" bestFit="1" customWidth="1"/>
  </cols>
  <sheetData>
    <row r="3" spans="4:12" x14ac:dyDescent="0.25">
      <c r="D3" t="s">
        <v>58</v>
      </c>
      <c r="I3" t="s">
        <v>59</v>
      </c>
    </row>
    <row r="4" spans="4:12" x14ac:dyDescent="0.25">
      <c r="D4" t="s">
        <v>18</v>
      </c>
      <c r="E4" t="s">
        <v>37</v>
      </c>
      <c r="F4" t="s">
        <v>38</v>
      </c>
      <c r="G4" t="s">
        <v>60</v>
      </c>
      <c r="I4" t="s">
        <v>18</v>
      </c>
      <c r="J4" t="s">
        <v>37</v>
      </c>
      <c r="K4" t="s">
        <v>38</v>
      </c>
      <c r="L4" t="s">
        <v>60</v>
      </c>
    </row>
    <row r="5" spans="4:12" x14ac:dyDescent="0.25">
      <c r="D5" t="s">
        <v>33</v>
      </c>
      <c r="E5">
        <v>70</v>
      </c>
      <c r="F5">
        <v>7000</v>
      </c>
      <c r="G5">
        <f>E5*F5</f>
        <v>490000</v>
      </c>
      <c r="I5" t="s">
        <v>33</v>
      </c>
      <c r="J5">
        <v>70</v>
      </c>
      <c r="K5">
        <v>5738</v>
      </c>
      <c r="L5">
        <f>J5*K5</f>
        <v>401660</v>
      </c>
    </row>
    <row r="6" spans="4:12" x14ac:dyDescent="0.25">
      <c r="D6" t="s">
        <v>34</v>
      </c>
      <c r="E6">
        <v>86</v>
      </c>
      <c r="F6">
        <v>27000</v>
      </c>
      <c r="G6">
        <f t="shared" ref="G6:G8" si="0">E6*F6</f>
        <v>2322000</v>
      </c>
      <c r="I6" t="s">
        <v>34</v>
      </c>
      <c r="J6">
        <v>86</v>
      </c>
      <c r="K6">
        <v>22135</v>
      </c>
      <c r="L6">
        <f t="shared" ref="L6:L8" si="1">J6*K6</f>
        <v>1903610</v>
      </c>
    </row>
    <row r="7" spans="4:12" x14ac:dyDescent="0.25">
      <c r="D7" t="s">
        <v>35</v>
      </c>
      <c r="E7">
        <v>104</v>
      </c>
      <c r="F7">
        <v>12000</v>
      </c>
      <c r="G7">
        <f t="shared" si="0"/>
        <v>1248000</v>
      </c>
      <c r="I7" t="s">
        <v>35</v>
      </c>
      <c r="J7">
        <v>104</v>
      </c>
      <c r="K7">
        <v>9838</v>
      </c>
      <c r="L7">
        <f t="shared" si="1"/>
        <v>1023152</v>
      </c>
    </row>
    <row r="8" spans="4:12" x14ac:dyDescent="0.25">
      <c r="D8" t="s">
        <v>36</v>
      </c>
      <c r="E8">
        <v>121</v>
      </c>
      <c r="F8">
        <v>4000</v>
      </c>
      <c r="G8">
        <f t="shared" si="0"/>
        <v>484000</v>
      </c>
      <c r="I8" t="s">
        <v>36</v>
      </c>
      <c r="J8">
        <v>121</v>
      </c>
      <c r="K8">
        <v>3280</v>
      </c>
      <c r="L8">
        <f t="shared" si="1"/>
        <v>396880</v>
      </c>
    </row>
    <row r="9" spans="4:12" x14ac:dyDescent="0.25">
      <c r="E9" s="22" t="s">
        <v>39</v>
      </c>
      <c r="F9">
        <f>SUM(F5:F8)</f>
        <v>50000</v>
      </c>
      <c r="G9">
        <f>SUM(G5:G8)</f>
        <v>4544000</v>
      </c>
      <c r="K9">
        <f>SUM(K5:K8)</f>
        <v>40991</v>
      </c>
      <c r="L9">
        <f>SUM(L5:L8)</f>
        <v>3725302</v>
      </c>
    </row>
    <row r="11" spans="4:12" x14ac:dyDescent="0.25">
      <c r="D11" t="s">
        <v>40</v>
      </c>
      <c r="F11" s="23">
        <f>G9/F9</f>
        <v>90.88</v>
      </c>
      <c r="I11" t="s">
        <v>40</v>
      </c>
      <c r="K11" s="23">
        <f>L9/K9</f>
        <v>90.880973872313433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39"/>
  <sheetViews>
    <sheetView tabSelected="1" topLeftCell="C13" workbookViewId="0">
      <selection activeCell="F34" sqref="F34:F39"/>
    </sheetView>
  </sheetViews>
  <sheetFormatPr defaultRowHeight="15" x14ac:dyDescent="0.25"/>
  <cols>
    <col min="3" max="3" width="38.28515625" bestFit="1" customWidth="1"/>
    <col min="4" max="4" width="11.42578125" bestFit="1" customWidth="1"/>
    <col min="5" max="5" width="20" bestFit="1" customWidth="1"/>
    <col min="6" max="6" width="14.85546875" bestFit="1" customWidth="1"/>
    <col min="7" max="7" width="36" bestFit="1" customWidth="1"/>
    <col min="8" max="8" width="11.42578125" bestFit="1" customWidth="1"/>
    <col min="9" max="9" width="18.140625" bestFit="1" customWidth="1"/>
    <col min="10" max="10" width="14.85546875" bestFit="1" customWidth="1"/>
  </cols>
  <sheetData>
    <row r="4" spans="3:10" ht="17.25" x14ac:dyDescent="0.25">
      <c r="C4" s="13" t="s">
        <v>0</v>
      </c>
      <c r="D4" s="13" t="s">
        <v>1</v>
      </c>
      <c r="E4" s="13" t="s">
        <v>2</v>
      </c>
      <c r="F4" s="13" t="s">
        <v>3</v>
      </c>
      <c r="G4" s="13" t="s">
        <v>0</v>
      </c>
      <c r="H4" s="13" t="s">
        <v>1</v>
      </c>
      <c r="I4" s="13" t="s">
        <v>2</v>
      </c>
      <c r="J4" s="13" t="s">
        <v>3</v>
      </c>
    </row>
    <row r="5" spans="3:10" x14ac:dyDescent="0.25">
      <c r="C5" s="5" t="s">
        <v>4</v>
      </c>
      <c r="D5" s="6">
        <v>4122.8</v>
      </c>
      <c r="E5" s="40">
        <v>1.0848</v>
      </c>
      <c r="F5" s="6">
        <f>D5*E5</f>
        <v>4472.4134400000003</v>
      </c>
      <c r="G5" s="5" t="s">
        <v>24</v>
      </c>
      <c r="H5" s="6">
        <v>150.75478887097788</v>
      </c>
      <c r="I5" s="32">
        <v>1.5</v>
      </c>
      <c r="J5" s="6">
        <f>H5*I5</f>
        <v>226.1321833064668</v>
      </c>
    </row>
    <row r="6" spans="3:10" x14ac:dyDescent="0.25">
      <c r="C6" s="5" t="s">
        <v>6</v>
      </c>
      <c r="D6" s="6">
        <v>7666.3</v>
      </c>
      <c r="E6" s="32">
        <v>4.1500000000000004</v>
      </c>
      <c r="F6" s="6">
        <f t="shared" ref="F6:F16" si="0">D6*E6</f>
        <v>31815.145000000004</v>
      </c>
      <c r="G6" s="7" t="s">
        <v>25</v>
      </c>
      <c r="H6" s="6">
        <v>985.24521112902221</v>
      </c>
      <c r="I6" s="32">
        <v>1.5</v>
      </c>
      <c r="J6" s="6">
        <f t="shared" ref="J6:J16" si="1">H6*I6</f>
        <v>1477.8678166935333</v>
      </c>
    </row>
    <row r="7" spans="3:10" x14ac:dyDescent="0.25">
      <c r="C7" s="5" t="s">
        <v>8</v>
      </c>
      <c r="D7" s="6">
        <v>996.68</v>
      </c>
      <c r="E7" s="32">
        <v>20.71</v>
      </c>
      <c r="F7" s="6">
        <f t="shared" si="0"/>
        <v>20641.2428</v>
      </c>
      <c r="G7" s="5" t="s">
        <v>7</v>
      </c>
      <c r="H7" s="6">
        <v>1102.0999999999999</v>
      </c>
      <c r="I7" s="32">
        <v>6.25</v>
      </c>
      <c r="J7" s="6">
        <f t="shared" si="1"/>
        <v>6888.1249999999991</v>
      </c>
    </row>
    <row r="8" spans="3:10" x14ac:dyDescent="0.25">
      <c r="C8" s="5" t="s">
        <v>10</v>
      </c>
      <c r="D8" s="6">
        <v>459</v>
      </c>
      <c r="E8" s="32">
        <v>12.3421</v>
      </c>
      <c r="F8" s="6">
        <f t="shared" si="0"/>
        <v>5665.0239000000001</v>
      </c>
      <c r="G8" s="5" t="s">
        <v>9</v>
      </c>
      <c r="H8" s="6">
        <v>1875.9</v>
      </c>
      <c r="I8" s="32">
        <v>2.5</v>
      </c>
      <c r="J8" s="6">
        <f t="shared" si="1"/>
        <v>4689.75</v>
      </c>
    </row>
    <row r="9" spans="3:10" x14ac:dyDescent="0.25">
      <c r="C9" s="8" t="s">
        <v>48</v>
      </c>
      <c r="D9" s="6">
        <v>2139.333333333333</v>
      </c>
      <c r="E9" s="42">
        <v>5.2916999999999996</v>
      </c>
      <c r="F9" s="6">
        <f t="shared" si="0"/>
        <v>11320.710199999998</v>
      </c>
      <c r="G9" s="5" t="s">
        <v>11</v>
      </c>
      <c r="H9" s="6">
        <v>411.24860000000001</v>
      </c>
      <c r="I9" s="32">
        <v>4.5</v>
      </c>
      <c r="J9" s="6">
        <f t="shared" si="1"/>
        <v>1850.6187</v>
      </c>
    </row>
    <row r="10" spans="3:10" x14ac:dyDescent="0.25">
      <c r="C10" s="8" t="s">
        <v>49</v>
      </c>
      <c r="D10" s="9">
        <v>1069.6666666666667</v>
      </c>
      <c r="E10" s="41">
        <v>7</v>
      </c>
      <c r="F10" s="6">
        <f t="shared" si="0"/>
        <v>7487.666666666667</v>
      </c>
      <c r="G10" s="5" t="s">
        <v>13</v>
      </c>
      <c r="H10" s="6">
        <v>40.057400000000001</v>
      </c>
      <c r="I10" s="32">
        <v>7</v>
      </c>
      <c r="J10" s="6">
        <f t="shared" si="1"/>
        <v>280.40179999999998</v>
      </c>
    </row>
    <row r="11" spans="3:10" x14ac:dyDescent="0.25">
      <c r="C11" s="5" t="s">
        <v>12</v>
      </c>
      <c r="D11" s="6">
        <v>316.95</v>
      </c>
      <c r="E11" s="32">
        <v>1.5</v>
      </c>
      <c r="F11" s="6">
        <f t="shared" si="0"/>
        <v>475.42499999999995</v>
      </c>
      <c r="G11" s="5" t="s">
        <v>15</v>
      </c>
      <c r="H11" s="6">
        <v>436.9273</v>
      </c>
      <c r="I11" s="32">
        <v>5.3</v>
      </c>
      <c r="J11" s="6">
        <f t="shared" si="1"/>
        <v>2315.7146899999998</v>
      </c>
    </row>
    <row r="12" spans="3:10" x14ac:dyDescent="0.25">
      <c r="C12" s="5" t="s">
        <v>14</v>
      </c>
      <c r="D12" s="6">
        <v>2071.4</v>
      </c>
      <c r="E12" s="32">
        <v>1.5</v>
      </c>
      <c r="F12" s="6">
        <f t="shared" si="0"/>
        <v>3107.1000000000004</v>
      </c>
      <c r="G12" s="5" t="s">
        <v>17</v>
      </c>
      <c r="H12" s="6">
        <v>756</v>
      </c>
      <c r="I12" s="32">
        <v>4.1500000000000004</v>
      </c>
      <c r="J12" s="6">
        <f t="shared" si="1"/>
        <v>3137.4</v>
      </c>
    </row>
    <row r="13" spans="3:10" x14ac:dyDescent="0.25">
      <c r="C13" s="8" t="s">
        <v>26</v>
      </c>
      <c r="D13" s="9">
        <v>9300</v>
      </c>
      <c r="E13" s="42">
        <v>5.2916999999999996</v>
      </c>
      <c r="F13" s="6">
        <f t="shared" si="0"/>
        <v>49212.81</v>
      </c>
      <c r="G13" s="5" t="s">
        <v>19</v>
      </c>
      <c r="H13" s="6">
        <v>280</v>
      </c>
      <c r="I13" s="32">
        <v>4.1500000000000004</v>
      </c>
      <c r="J13" s="6">
        <f t="shared" si="1"/>
        <v>1162</v>
      </c>
    </row>
    <row r="14" spans="3:10" x14ac:dyDescent="0.25">
      <c r="C14" s="8" t="s">
        <v>23</v>
      </c>
      <c r="D14" s="9">
        <v>4650</v>
      </c>
      <c r="E14" s="41">
        <v>7</v>
      </c>
      <c r="F14" s="6">
        <f t="shared" si="0"/>
        <v>32550</v>
      </c>
      <c r="G14" s="5" t="s">
        <v>21</v>
      </c>
      <c r="H14" s="6">
        <v>436.9273</v>
      </c>
      <c r="I14" s="32">
        <v>4.1500000000000004</v>
      </c>
      <c r="J14" s="6">
        <f t="shared" si="1"/>
        <v>1813.2482950000001</v>
      </c>
    </row>
    <row r="15" spans="3:10" x14ac:dyDescent="0.25">
      <c r="C15" s="5" t="s">
        <v>18</v>
      </c>
      <c r="D15" s="9">
        <v>1470.2</v>
      </c>
      <c r="E15" s="34">
        <v>4.1500000000000004</v>
      </c>
      <c r="F15" s="6">
        <f t="shared" si="0"/>
        <v>6101.3300000000008</v>
      </c>
      <c r="G15" s="11" t="s">
        <v>22</v>
      </c>
      <c r="H15" s="12">
        <v>43508.290600000008</v>
      </c>
      <c r="I15" s="10"/>
      <c r="J15" s="6"/>
    </row>
    <row r="16" spans="3:10" x14ac:dyDescent="0.25">
      <c r="C16" s="5" t="s">
        <v>20</v>
      </c>
      <c r="D16" s="6">
        <v>2770.8</v>
      </c>
      <c r="E16" s="32">
        <v>5.4166999999999996</v>
      </c>
      <c r="F16" s="6">
        <f t="shared" si="0"/>
        <v>15008.592360000001</v>
      </c>
      <c r="G16" s="11"/>
      <c r="H16" s="12"/>
      <c r="I16" s="7"/>
      <c r="J16" s="6"/>
    </row>
    <row r="18" spans="3:6" x14ac:dyDescent="0.25">
      <c r="C18" s="24" t="s">
        <v>42</v>
      </c>
      <c r="D18">
        <v>2</v>
      </c>
      <c r="E18" s="25" t="s">
        <v>94</v>
      </c>
      <c r="F18" s="25" t="s">
        <v>3</v>
      </c>
    </row>
    <row r="19" spans="3:6" x14ac:dyDescent="0.25">
      <c r="C19" s="24" t="s">
        <v>47</v>
      </c>
      <c r="D19">
        <f>D18*(170+30)</f>
        <v>400</v>
      </c>
      <c r="E19">
        <v>4.1500000000000004</v>
      </c>
      <c r="F19">
        <f>D19*E19</f>
        <v>1660.0000000000002</v>
      </c>
    </row>
    <row r="20" spans="3:6" x14ac:dyDescent="0.25">
      <c r="C20" s="24" t="s">
        <v>46</v>
      </c>
      <c r="D20" s="3">
        <f>H15+D19</f>
        <v>43908.290600000008</v>
      </c>
    </row>
    <row r="22" spans="3:6" x14ac:dyDescent="0.25">
      <c r="C22" s="25" t="s">
        <v>45</v>
      </c>
    </row>
    <row r="23" spans="3:6" x14ac:dyDescent="0.25">
      <c r="C23" s="24" t="s">
        <v>41</v>
      </c>
      <c r="D23">
        <v>10</v>
      </c>
    </row>
    <row r="24" spans="3:6" x14ac:dyDescent="0.25">
      <c r="C24" s="24" t="s">
        <v>57</v>
      </c>
      <c r="D24">
        <f>D23*170</f>
        <v>1700</v>
      </c>
    </row>
    <row r="25" spans="3:6" x14ac:dyDescent="0.25">
      <c r="C25" s="24" t="s">
        <v>56</v>
      </c>
      <c r="D25">
        <f>D23*45</f>
        <v>450</v>
      </c>
      <c r="E25" s="25" t="s">
        <v>94</v>
      </c>
      <c r="F25" s="25" t="s">
        <v>3</v>
      </c>
    </row>
    <row r="26" spans="3:6" x14ac:dyDescent="0.25">
      <c r="C26" s="24" t="s">
        <v>55</v>
      </c>
      <c r="D26">
        <f>D24+D25</f>
        <v>2150</v>
      </c>
      <c r="E26">
        <v>4.1500000000000004</v>
      </c>
      <c r="F26" s="3">
        <f>D26*E26</f>
        <v>8922.5</v>
      </c>
    </row>
    <row r="28" spans="3:6" x14ac:dyDescent="0.25">
      <c r="C28" s="25" t="s">
        <v>51</v>
      </c>
      <c r="E28" s="25" t="s">
        <v>94</v>
      </c>
    </row>
    <row r="29" spans="3:6" x14ac:dyDescent="0.25">
      <c r="C29" s="24" t="s">
        <v>53</v>
      </c>
      <c r="D29" s="26">
        <v>40872</v>
      </c>
      <c r="E29" s="28">
        <v>6</v>
      </c>
      <c r="F29" s="3">
        <f>D29*E29</f>
        <v>245232</v>
      </c>
    </row>
    <row r="30" spans="3:6" x14ac:dyDescent="0.25">
      <c r="C30" s="24" t="s">
        <v>54</v>
      </c>
      <c r="D30">
        <v>50000</v>
      </c>
      <c r="E30" s="28">
        <v>6</v>
      </c>
      <c r="F30">
        <f>D30*E30</f>
        <v>300000</v>
      </c>
    </row>
    <row r="33" spans="3:6" x14ac:dyDescent="0.25">
      <c r="C33" t="s">
        <v>89</v>
      </c>
      <c r="D33" t="s">
        <v>95</v>
      </c>
      <c r="E33" t="s">
        <v>96</v>
      </c>
      <c r="F33" t="s">
        <v>97</v>
      </c>
    </row>
    <row r="34" spans="3:6" x14ac:dyDescent="0.25">
      <c r="C34" s="29" t="s">
        <v>92</v>
      </c>
      <c r="D34" s="3">
        <f>H15</f>
        <v>43508.290600000008</v>
      </c>
      <c r="E34" s="3">
        <f>SUM(F5:F16,J5:J14)</f>
        <v>211698.71785166665</v>
      </c>
      <c r="F34" s="28">
        <f>E34/D34</f>
        <v>4.8657098436238408</v>
      </c>
    </row>
    <row r="35" spans="3:6" x14ac:dyDescent="0.25">
      <c r="C35" s="3" t="s">
        <v>90</v>
      </c>
      <c r="D35" s="3">
        <f>D20</f>
        <v>43908.290600000008</v>
      </c>
      <c r="E35" s="3">
        <f>E34+F19</f>
        <v>213358.71785166665</v>
      </c>
      <c r="F35" s="28">
        <f t="shared" ref="F35:F39" si="2">E35/D35</f>
        <v>4.8591898007449785</v>
      </c>
    </row>
    <row r="36" spans="3:6" x14ac:dyDescent="0.25">
      <c r="C36" t="s">
        <v>91</v>
      </c>
      <c r="D36" s="3">
        <f>D35+D26</f>
        <v>46058.290600000008</v>
      </c>
      <c r="E36" s="3">
        <f>E35+F26</f>
        <v>222281.21785166665</v>
      </c>
      <c r="F36" s="28">
        <f t="shared" si="2"/>
        <v>4.8260848363240516</v>
      </c>
    </row>
    <row r="37" spans="3:6" x14ac:dyDescent="0.25">
      <c r="C37" t="s">
        <v>93</v>
      </c>
      <c r="D37" s="3">
        <f>40872+D36</f>
        <v>86930.290600000008</v>
      </c>
      <c r="E37" s="3">
        <f>E36+F29</f>
        <v>467513.21785166662</v>
      </c>
      <c r="F37" s="28">
        <f t="shared" si="2"/>
        <v>5.3780243298952755</v>
      </c>
    </row>
    <row r="38" spans="3:6" ht="15.75" x14ac:dyDescent="0.25">
      <c r="C38" s="43" t="s">
        <v>98</v>
      </c>
      <c r="D38" s="3">
        <f>D37-D26</f>
        <v>84780.290600000008</v>
      </c>
      <c r="E38" s="3">
        <f>E37-F26</f>
        <v>458590.71785166662</v>
      </c>
      <c r="F38" s="28">
        <f t="shared" si="2"/>
        <v>5.4091666188705725</v>
      </c>
    </row>
    <row r="39" spans="3:6" ht="15.75" x14ac:dyDescent="0.25">
      <c r="C39" s="43" t="s">
        <v>99</v>
      </c>
      <c r="D39" s="3">
        <f>D38-D29</f>
        <v>43908.290600000008</v>
      </c>
      <c r="E39" s="3">
        <f>E38-F29</f>
        <v>213358.71785166662</v>
      </c>
      <c r="F39" s="28">
        <f t="shared" si="2"/>
        <v>4.8591898007449776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ZCG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2017-03-19T23:10:56Z</dcterms:created>
  <dcterms:modified xsi:type="dcterms:W3CDTF">2017-05-06T19:41:07Z</dcterms:modified>
</cp:coreProperties>
</file>