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filterPrivacy="1" codeName="ThisWorkbook"/>
  <xr:revisionPtr revIDLastSave="0" documentId="13_ncr:1_{51C16914-EBA8-4959-AB1F-D2148CA208F5}" xr6:coauthVersionLast="47" xr6:coauthVersionMax="47" xr10:uidLastSave="{00000000-0000-0000-0000-000000000000}"/>
  <bookViews>
    <workbookView xWindow="-120" yWindow="-120" windowWidth="29040" windowHeight="15840" activeTab="3" xr2:uid="{00000000-000D-0000-FFFF-FFFF00000000}"/>
  </bookViews>
  <sheets>
    <sheet name="Loan Schedule" sheetId="3" r:id="rId1"/>
    <sheet name="Loan Schedule (2)" sheetId="5" r:id="rId2"/>
    <sheet name="Loan Schedule (3)" sheetId="7" r:id="rId3"/>
    <sheet name="Sheet3" sheetId="6" r:id="rId4"/>
  </sheets>
  <externalReferences>
    <externalReference r:id="rId5"/>
  </externalReferences>
  <definedNames>
    <definedName name="ActualNumberOfPayments" localSheetId="0">IFERROR(IF('Loan Schedule'!LoanIsGood,IF('Loan Schedule'!PaymentsPerYear=1,1,MATCH(0.01,'Loan Schedule'!End_Bal,-1)+1)),"")</definedName>
    <definedName name="ActualNumberOfPayments" localSheetId="1">IFERROR(IF([0]!LoanIsGood,IF([0]!PaymentsPerYear=1,1,MATCH(0.01,'Loan Schedule (2)'!End_Bal,-1)+1)),"")</definedName>
    <definedName name="ActualNumberOfPayments" localSheetId="2">IFERROR(IF([1]!LoanIsGood,IF([1]!PaymentsPerYear=1,1,MATCH(0.01,'Loan Schedule (3)'!End_Bal,-1)+1)),"")</definedName>
    <definedName name="ActualNumberOfPayments">IFERROR(IF(LoanIsGood,IF(PaymentsPerYear=1,1,MATCH(0.01,End_Bal,-1)+1)),"")</definedName>
    <definedName name="ColumnTitle1" localSheetId="0">PaymentSchedule3[[#Headers],[Payment Number]]</definedName>
    <definedName name="ColumnTitle1" localSheetId="1">PaymentSchedule32[[#Headers],[Payment Number]]</definedName>
    <definedName name="ColumnTitle1" localSheetId="2">PaymentSchedule34[[#Headers],[Payment Number]]</definedName>
    <definedName name="ColumnTitle1">#REF!</definedName>
    <definedName name="End_Bal" localSheetId="0">PaymentSchedule3[Ending
Balance]</definedName>
    <definedName name="End_Bal" localSheetId="1">PaymentSchedule32[Ending
Balance]</definedName>
    <definedName name="End_Bal" localSheetId="2">PaymentSchedule34[Ending
Balance]</definedName>
    <definedName name="End_Bal">#REF!</definedName>
    <definedName name="ExtraPayments" localSheetId="0">'Loan Schedule'!$E$11</definedName>
    <definedName name="ExtraPayments" localSheetId="1">'Loan Schedule (2)'!$E$11</definedName>
    <definedName name="ExtraPayments" localSheetId="2">'Loan Schedule (3)'!$E$11</definedName>
    <definedName name="ExtraPayments">#REF!</definedName>
    <definedName name="InterestRate" localSheetId="0">'Loan Schedule'!$E$6</definedName>
    <definedName name="InterestRate" localSheetId="1">'Loan Schedule (2)'!$E$6</definedName>
    <definedName name="InterestRate" localSheetId="2">'Loan Schedule (3)'!$E$6</definedName>
    <definedName name="InterestRate">#REF!</definedName>
    <definedName name="LastCol" localSheetId="0">MATCH(REPT("z",255),'Loan Schedule'!$13:$13)</definedName>
    <definedName name="LastCol" localSheetId="1">MATCH(REPT("z",255),'Loan Schedule (2)'!$13:$13)</definedName>
    <definedName name="LastCol" localSheetId="2">MATCH(REPT("z",255),'Loan Schedule (3)'!$13:$13)</definedName>
    <definedName name="LastCol">MATCH(REPT("z",255),#REF!)</definedName>
    <definedName name="LastRow" localSheetId="0">MATCH(9.99E+307,'Loan Schedule'!$B:$B)</definedName>
    <definedName name="LastRow" localSheetId="1">MATCH(9.99E+307,'Loan Schedule (2)'!$B:$B)</definedName>
    <definedName name="LastRow" localSheetId="2">MATCH(9.99E+307,'Loan Schedule (3)'!$B:$B)</definedName>
    <definedName name="LastRow">MATCH(9.99E+307,#REF!)</definedName>
    <definedName name="LenderName" localSheetId="0">'Loan Schedule'!$H$11:$I$11</definedName>
    <definedName name="LenderName" localSheetId="1">'Loan Schedule (2)'!$H$11:$I$11</definedName>
    <definedName name="LenderName" localSheetId="2">'Loan Schedule (3)'!$H$11:$I$11</definedName>
    <definedName name="LenderName">#REF!</definedName>
    <definedName name="LoanAmount" localSheetId="0">'Loan Schedule'!$E$5</definedName>
    <definedName name="LoanAmount" localSheetId="1">'Loan Schedule (2)'!$E$5</definedName>
    <definedName name="LoanAmount" localSheetId="2">'Loan Schedule (3)'!$E$5</definedName>
    <definedName name="LoanAmount">#REF!</definedName>
    <definedName name="LoanIsGood" localSheetId="0">('Loan Schedule'!$E$5*'Loan Schedule'!$E$6*'Loan Schedule'!$E$7*'Loan Schedule'!$E$9)&gt;0</definedName>
    <definedName name="LoanIsGood" localSheetId="1">('Loan Schedule (2)'!$E$5*'Loan Schedule (2)'!$E$6*'Loan Schedule (2)'!$E$7*'Loan Schedule (2)'!$E$9)&gt;0</definedName>
    <definedName name="LoanIsGood" localSheetId="2">('Loan Schedule (3)'!$E$5*'Loan Schedule (3)'!$E$6*'Loan Schedule (3)'!$E$7*'Loan Schedule (3)'!$E$9)&gt;0</definedName>
    <definedName name="LoanIsGood">(#REF!*#REF!*#REF!*#REF!)&gt;0</definedName>
    <definedName name="LoanPeriod" localSheetId="0">'Loan Schedule'!$E$7</definedName>
    <definedName name="LoanPeriod" localSheetId="1">'Loan Schedule (2)'!$E$7</definedName>
    <definedName name="LoanPeriod" localSheetId="2">'Loan Schedule (3)'!$E$7</definedName>
    <definedName name="LoanPeriod">#REF!</definedName>
    <definedName name="LoanStartDate" localSheetId="0">'Loan Schedule'!$E$9</definedName>
    <definedName name="LoanStartDate" localSheetId="1">'Loan Schedule (2)'!$E$9</definedName>
    <definedName name="LoanStartDate" localSheetId="2">'Loan Schedule (3)'!$E$9</definedName>
    <definedName name="LoanStartDate">#REF!</definedName>
    <definedName name="PaymentsPerYear" localSheetId="0">'Loan Schedule'!$E$8</definedName>
    <definedName name="PaymentsPerYear" localSheetId="1">'Loan Schedule (2)'!$E$8</definedName>
    <definedName name="PaymentsPerYear" localSheetId="2">'Loan Schedule (3)'!$E$8</definedName>
    <definedName name="PaymentsPerYear">#REF!</definedName>
    <definedName name="_xlnm.Print_Titles" localSheetId="0">'Loan Schedule'!$13:$13</definedName>
    <definedName name="_xlnm.Print_Titles" localSheetId="1">'Loan Schedule (2)'!$13:$13</definedName>
    <definedName name="_xlnm.Print_Titles" localSheetId="2">'Loan Schedule (3)'!$13:$13</definedName>
    <definedName name="PrintArea_SET" localSheetId="0">OFFSET('Loan Schedule'!#REF!,,,'Loan Schedule'!LastRow,'Loan Schedule'!LastCol)</definedName>
    <definedName name="PrintArea_SET" localSheetId="1">OFFSET('Loan Schedule (2)'!#REF!,,,'Loan Schedule (2)'!LastRow,'Loan Schedule (2)'!LastCol)</definedName>
    <definedName name="PrintArea_SET" localSheetId="2">OFFSET('Loan Schedule (3)'!#REF!,,,'Loan Schedule (3)'!LastRow,'Loan Schedule (3)'!LastCol)</definedName>
    <definedName name="PrintArea_SET">OFFSET(#REF!,,,LastRow,LastCol)</definedName>
    <definedName name="RowTitleRegion1..E9" localSheetId="0">'Loan Schedule'!$B$5:$D$5</definedName>
    <definedName name="RowTitleRegion1..E9" localSheetId="1">'Loan Schedule (2)'!$B$5:$D$5</definedName>
    <definedName name="RowTitleRegion1..E9" localSheetId="2">'Loan Schedule (3)'!$B$5:$D$5</definedName>
    <definedName name="RowTitleRegion1..E9">#REF!</definedName>
    <definedName name="RowTitleRegion2..I7" localSheetId="0">'Loan Schedule'!$G$5:$H$5</definedName>
    <definedName name="RowTitleRegion2..I7" localSheetId="1">'Loan Schedule (2)'!$G$5:$H$5</definedName>
    <definedName name="RowTitleRegion2..I7" localSheetId="2">'Loan Schedule (3)'!$G$5:$H$5</definedName>
    <definedName name="RowTitleRegion2..I7">#REF!</definedName>
    <definedName name="RowTitleRegion3..E9" localSheetId="0">'Loan Schedule'!$B$11</definedName>
    <definedName name="RowTitleRegion3..E9" localSheetId="1">'Loan Schedule (2)'!$B$11</definedName>
    <definedName name="RowTitleRegion3..E9" localSheetId="2">'Loan Schedule (3)'!$B$11</definedName>
    <definedName name="RowTitleRegion3..E9">#REF!</definedName>
    <definedName name="RowTitleRegion4..H9" localSheetId="0">'Loan Schedule'!$G$11</definedName>
    <definedName name="RowTitleRegion4..H9" localSheetId="1">'Loan Schedule (2)'!$G$11</definedName>
    <definedName name="RowTitleRegion4..H9" localSheetId="2">'Loan Schedule (3)'!$G$11</definedName>
    <definedName name="RowTitleRegion4..H9">#REF!</definedName>
    <definedName name="ScheduledNumberOfPayments" localSheetId="0">'Loan Schedule'!$I$6</definedName>
    <definedName name="ScheduledNumberOfPayments" localSheetId="1">'Loan Schedule (2)'!$I$6</definedName>
    <definedName name="ScheduledNumberOfPayments" localSheetId="2">'Loan Schedule (3)'!$I$6</definedName>
    <definedName name="ScheduledNumberOfPayments">#REF!</definedName>
    <definedName name="ScheduledPayment" localSheetId="0">'Loan Schedule'!$I$5</definedName>
    <definedName name="ScheduledPayment" localSheetId="1">'Loan Schedule (2)'!$I$5</definedName>
    <definedName name="ScheduledPayment" localSheetId="2">'Loan Schedule (3)'!$I$5</definedName>
    <definedName name="ScheduledPayment">#REF!</definedName>
    <definedName name="TotalEarlyPayments" localSheetId="0">SUM(PaymentSchedule3[Extra
Payment])</definedName>
    <definedName name="TotalEarlyPayments" localSheetId="1">SUM(PaymentSchedule32[Extra
Payment])</definedName>
    <definedName name="TotalEarlyPayments" localSheetId="2">SUM(PaymentSchedule34[Extra
Payment])</definedName>
    <definedName name="TotalEarlyPayments">SUM(#REF!)</definedName>
    <definedName name="TotalInterest" localSheetId="0">SUM(PaymentSchedule3[Interest])</definedName>
    <definedName name="TotalInterest" localSheetId="1">SUM(PaymentSchedule32[Interest])</definedName>
    <definedName name="TotalInterest" localSheetId="2">SUM(PaymentSchedule34[Interest])</definedName>
    <definedName name="TotalInterest">SUM(#REF!)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G3" i="6"/>
  <c r="I3" i="6" s="1"/>
  <c r="C4" i="6" s="1"/>
  <c r="H3" i="6"/>
  <c r="F3" i="6"/>
  <c r="H4" i="6" l="1"/>
  <c r="J4" i="6"/>
  <c r="G4" i="6" l="1"/>
  <c r="I4" i="6" s="1"/>
  <c r="C5" i="6" s="1"/>
  <c r="H5" i="6" s="1"/>
  <c r="J5" i="6" l="1"/>
  <c r="G5" i="6"/>
  <c r="I5" i="6" s="1"/>
  <c r="C6" i="6" s="1"/>
  <c r="H6" i="6" l="1"/>
  <c r="G6" i="6" l="1"/>
  <c r="I6" i="6" s="1"/>
  <c r="C7" i="6" s="1"/>
  <c r="H7" i="6" s="1"/>
  <c r="G7" i="6" s="1"/>
  <c r="I7" i="6" s="1"/>
  <c r="C8" i="6" s="1"/>
  <c r="H8" i="6" s="1"/>
  <c r="J7" i="6"/>
  <c r="J6" i="6"/>
  <c r="J8" i="6"/>
  <c r="G8" i="6"/>
  <c r="I8" i="6" s="1"/>
  <c r="C9" i="6" s="1"/>
  <c r="H9" i="6" l="1"/>
  <c r="J9" i="6" l="1"/>
  <c r="G9" i="6"/>
  <c r="I9" i="6" s="1"/>
  <c r="C10" i="6" s="1"/>
  <c r="H10" i="6" l="1"/>
  <c r="J10" i="6" l="1"/>
  <c r="G10" i="6"/>
  <c r="I10" i="6" s="1"/>
  <c r="C11" i="6" s="1"/>
  <c r="H11" i="6" l="1"/>
  <c r="J11" i="6" s="1"/>
  <c r="G11" i="6" l="1"/>
  <c r="I11" i="6" s="1"/>
  <c r="C12" i="6" s="1"/>
  <c r="H12" i="6" l="1"/>
  <c r="G12" i="6" l="1"/>
  <c r="I12" i="6" s="1"/>
  <c r="C13" i="6" s="1"/>
  <c r="J12" i="6"/>
  <c r="H13" i="6"/>
  <c r="G13" i="6" l="1"/>
  <c r="I13" i="6" s="1"/>
  <c r="C14" i="6" s="1"/>
  <c r="H14" i="6" s="1"/>
  <c r="J13" i="6"/>
  <c r="G14" i="6" l="1"/>
  <c r="I14" i="6" s="1"/>
  <c r="C15" i="6" s="1"/>
  <c r="J14" i="6"/>
  <c r="H15" i="6"/>
  <c r="G15" i="6" l="1"/>
  <c r="I15" i="6" s="1"/>
  <c r="C16" i="6" s="1"/>
  <c r="J15" i="6"/>
  <c r="H16" i="6"/>
  <c r="G16" i="6" l="1"/>
  <c r="I16" i="6" s="1"/>
  <c r="C17" i="6" s="1"/>
  <c r="J16" i="6"/>
  <c r="H17" i="6"/>
  <c r="G17" i="6" l="1"/>
  <c r="I17" i="6" s="1"/>
  <c r="C18" i="6" s="1"/>
  <c r="J17" i="6"/>
  <c r="H18" i="6"/>
  <c r="G18" i="6" l="1"/>
  <c r="I18" i="6" s="1"/>
  <c r="C19" i="6" s="1"/>
  <c r="H19" i="6" s="1"/>
  <c r="J18" i="6"/>
  <c r="G19" i="6" l="1"/>
  <c r="I19" i="6" s="1"/>
  <c r="C20" i="6" s="1"/>
  <c r="J19" i="6"/>
  <c r="H20" i="6"/>
  <c r="G20" i="6" l="1"/>
  <c r="I20" i="6" s="1"/>
  <c r="C21" i="6" s="1"/>
  <c r="J20" i="6"/>
  <c r="H21" i="6"/>
  <c r="G21" i="6" l="1"/>
  <c r="I21" i="6" s="1"/>
  <c r="C22" i="6" s="1"/>
  <c r="J21" i="6"/>
  <c r="H22" i="6"/>
  <c r="E9" i="7"/>
  <c r="G22" i="6" l="1"/>
  <c r="I22" i="6" s="1"/>
  <c r="C23" i="6" s="1"/>
  <c r="J22" i="6"/>
  <c r="H23" i="6"/>
  <c r="I6" i="7"/>
  <c r="E9" i="5"/>
  <c r="G23" i="6" l="1"/>
  <c r="I23" i="6" s="1"/>
  <c r="C24" i="6" s="1"/>
  <c r="J23" i="6"/>
  <c r="H24" i="6"/>
  <c r="B17" i="7"/>
  <c r="B23" i="7"/>
  <c r="B22" i="7"/>
  <c r="B16" i="7"/>
  <c r="B21" i="7"/>
  <c r="B15" i="7"/>
  <c r="B20" i="7"/>
  <c r="B18" i="7"/>
  <c r="B14" i="7"/>
  <c r="B19" i="7"/>
  <c r="I5" i="7"/>
  <c r="I6" i="5"/>
  <c r="E9" i="3"/>
  <c r="G24" i="6" l="1"/>
  <c r="I24" i="6" s="1"/>
  <c r="C25" i="6" s="1"/>
  <c r="J24" i="6"/>
  <c r="H25" i="6"/>
  <c r="C19" i="7"/>
  <c r="E19" i="7"/>
  <c r="E18" i="7"/>
  <c r="C18" i="7"/>
  <c r="C20" i="7"/>
  <c r="E20" i="7"/>
  <c r="C15" i="7"/>
  <c r="E15" i="7"/>
  <c r="C21" i="7"/>
  <c r="E21" i="7"/>
  <c r="C16" i="7"/>
  <c r="E16" i="7"/>
  <c r="C22" i="7"/>
  <c r="E22" i="7"/>
  <c r="C23" i="7"/>
  <c r="E23" i="7"/>
  <c r="C14" i="7"/>
  <c r="D14" i="7"/>
  <c r="I14" i="7" s="1"/>
  <c r="E14" i="7"/>
  <c r="C17" i="7"/>
  <c r="E17" i="7"/>
  <c r="B17" i="5"/>
  <c r="B23" i="5"/>
  <c r="B22" i="5"/>
  <c r="B16" i="5"/>
  <c r="B21" i="5"/>
  <c r="B15" i="5"/>
  <c r="B20" i="5"/>
  <c r="B18" i="5"/>
  <c r="B19" i="5"/>
  <c r="B14" i="5"/>
  <c r="I5" i="5"/>
  <c r="I6" i="3"/>
  <c r="B24" i="3" s="1"/>
  <c r="G25" i="6" l="1"/>
  <c r="I25" i="6" s="1"/>
  <c r="C26" i="6" s="1"/>
  <c r="J25" i="6"/>
  <c r="H26" i="6"/>
  <c r="F14" i="7"/>
  <c r="G14" i="7" s="1"/>
  <c r="H14" i="7" s="1"/>
  <c r="J14" i="7" s="1"/>
  <c r="K14" i="7"/>
  <c r="E18" i="5"/>
  <c r="C18" i="5"/>
  <c r="C19" i="5"/>
  <c r="E19" i="5"/>
  <c r="C15" i="5"/>
  <c r="E15" i="5"/>
  <c r="C21" i="5"/>
  <c r="E21" i="5"/>
  <c r="C16" i="5"/>
  <c r="E16" i="5"/>
  <c r="C22" i="5"/>
  <c r="E22" i="5"/>
  <c r="C23" i="5"/>
  <c r="E23" i="5"/>
  <c r="C14" i="5"/>
  <c r="D14" i="5"/>
  <c r="I14" i="5" s="1"/>
  <c r="E14" i="5"/>
  <c r="C20" i="5"/>
  <c r="E20" i="5"/>
  <c r="C17" i="5"/>
  <c r="E17" i="5"/>
  <c r="B42" i="3"/>
  <c r="B44" i="3"/>
  <c r="B45" i="3"/>
  <c r="B46" i="3"/>
  <c r="B47" i="3"/>
  <c r="B41" i="3"/>
  <c r="B48" i="3"/>
  <c r="B39" i="3"/>
  <c r="C39" i="3" s="1"/>
  <c r="B43" i="3"/>
  <c r="B40" i="3"/>
  <c r="C24" i="3"/>
  <c r="B28" i="3"/>
  <c r="B29" i="3"/>
  <c r="B30" i="3"/>
  <c r="B31" i="3"/>
  <c r="B38" i="3"/>
  <c r="B32" i="3"/>
  <c r="B26" i="3"/>
  <c r="B33" i="3"/>
  <c r="B27" i="3"/>
  <c r="B35" i="3"/>
  <c r="B36" i="3"/>
  <c r="B34" i="3"/>
  <c r="B25" i="3"/>
  <c r="B37" i="3"/>
  <c r="B19" i="3"/>
  <c r="C19" i="3" s="1"/>
  <c r="B21" i="3"/>
  <c r="C21" i="3" s="1"/>
  <c r="B14" i="3"/>
  <c r="D14" i="3" s="1"/>
  <c r="I14" i="3" s="1"/>
  <c r="B15" i="3"/>
  <c r="C15" i="3" s="1"/>
  <c r="B17" i="3"/>
  <c r="I5" i="3"/>
  <c r="E24" i="3" s="1"/>
  <c r="B18" i="3"/>
  <c r="B20" i="3"/>
  <c r="B16" i="3"/>
  <c r="B23" i="3"/>
  <c r="B22" i="3"/>
  <c r="G26" i="6" l="1"/>
  <c r="I26" i="6" s="1"/>
  <c r="C27" i="6" s="1"/>
  <c r="J26" i="6"/>
  <c r="H27" i="6"/>
  <c r="F14" i="5"/>
  <c r="G14" i="5" s="1"/>
  <c r="H14" i="5" s="1"/>
  <c r="J14" i="5" s="1"/>
  <c r="D15" i="7"/>
  <c r="K14" i="5"/>
  <c r="E40" i="3"/>
  <c r="C40" i="3"/>
  <c r="C43" i="3"/>
  <c r="E43" i="3"/>
  <c r="C48" i="3"/>
  <c r="E48" i="3"/>
  <c r="E41" i="3"/>
  <c r="C41" i="3"/>
  <c r="C47" i="3"/>
  <c r="E47" i="3"/>
  <c r="C46" i="3"/>
  <c r="E46" i="3"/>
  <c r="C45" i="3"/>
  <c r="E45" i="3"/>
  <c r="C44" i="3"/>
  <c r="E44" i="3"/>
  <c r="E42" i="3"/>
  <c r="C42" i="3"/>
  <c r="E38" i="3"/>
  <c r="C38" i="3"/>
  <c r="E31" i="3"/>
  <c r="C31" i="3"/>
  <c r="E39" i="3"/>
  <c r="E30" i="3"/>
  <c r="C30" i="3"/>
  <c r="E29" i="3"/>
  <c r="C29" i="3"/>
  <c r="C32" i="3"/>
  <c r="E32" i="3"/>
  <c r="E28" i="3"/>
  <c r="C28" i="3"/>
  <c r="E25" i="3"/>
  <c r="C25" i="3"/>
  <c r="C34" i="3"/>
  <c r="E34" i="3"/>
  <c r="E37" i="3"/>
  <c r="C37" i="3"/>
  <c r="E36" i="3"/>
  <c r="C36" i="3"/>
  <c r="C35" i="3"/>
  <c r="E35" i="3"/>
  <c r="E27" i="3"/>
  <c r="C27" i="3"/>
  <c r="C33" i="3"/>
  <c r="E33" i="3"/>
  <c r="E26" i="3"/>
  <c r="C26" i="3"/>
  <c r="E21" i="3"/>
  <c r="C14" i="3"/>
  <c r="E19" i="3"/>
  <c r="E14" i="3"/>
  <c r="F14" i="3" s="1"/>
  <c r="G14" i="3" s="1"/>
  <c r="H14" i="3" s="1"/>
  <c r="J14" i="3" s="1"/>
  <c r="D15" i="3" s="1"/>
  <c r="E15" i="3"/>
  <c r="E22" i="3"/>
  <c r="C22" i="3"/>
  <c r="E16" i="3"/>
  <c r="C16" i="3"/>
  <c r="K14" i="3"/>
  <c r="E23" i="3"/>
  <c r="C23" i="3"/>
  <c r="E18" i="3"/>
  <c r="C18" i="3"/>
  <c r="C20" i="3"/>
  <c r="E20" i="3"/>
  <c r="E17" i="3"/>
  <c r="C17" i="3"/>
  <c r="G27" i="6" l="1"/>
  <c r="I27" i="6" s="1"/>
  <c r="C28" i="6" s="1"/>
  <c r="J27" i="6"/>
  <c r="H28" i="6"/>
  <c r="F15" i="7"/>
  <c r="I15" i="7"/>
  <c r="D15" i="5"/>
  <c r="I15" i="3"/>
  <c r="F15" i="3"/>
  <c r="G15" i="3" s="1"/>
  <c r="G28" i="6" l="1"/>
  <c r="I28" i="6" s="1"/>
  <c r="C29" i="6" s="1"/>
  <c r="J28" i="6"/>
  <c r="H29" i="6"/>
  <c r="K15" i="7"/>
  <c r="G15" i="7"/>
  <c r="H15" i="7" s="1"/>
  <c r="J15" i="7" s="1"/>
  <c r="I15" i="5"/>
  <c r="F15" i="5"/>
  <c r="K15" i="3"/>
  <c r="H15" i="3"/>
  <c r="J15" i="3" s="1"/>
  <c r="D16" i="3" s="1"/>
  <c r="I16" i="3" s="1"/>
  <c r="K16" i="3" s="1"/>
  <c r="G29" i="6" l="1"/>
  <c r="I29" i="6" s="1"/>
  <c r="C30" i="6" s="1"/>
  <c r="H30" i="6" s="1"/>
  <c r="J29" i="6"/>
  <c r="D16" i="7"/>
  <c r="G15" i="5"/>
  <c r="H15" i="5" s="1"/>
  <c r="J15" i="5" s="1"/>
  <c r="K15" i="5"/>
  <c r="F16" i="3"/>
  <c r="G16" i="3" s="1"/>
  <c r="H16" i="3" s="1"/>
  <c r="J16" i="3" s="1"/>
  <c r="D17" i="3" s="1"/>
  <c r="I17" i="3" s="1"/>
  <c r="G30" i="6" l="1"/>
  <c r="I30" i="6" s="1"/>
  <c r="C31" i="6" s="1"/>
  <c r="H31" i="6" s="1"/>
  <c r="J30" i="6"/>
  <c r="I16" i="7"/>
  <c r="F16" i="7"/>
  <c r="D16" i="5"/>
  <c r="F17" i="3"/>
  <c r="G17" i="3" s="1"/>
  <c r="H17" i="3" s="1"/>
  <c r="J17" i="3" s="1"/>
  <c r="D18" i="3" s="1"/>
  <c r="K17" i="3"/>
  <c r="G31" i="6" l="1"/>
  <c r="I31" i="6" s="1"/>
  <c r="C32" i="6" s="1"/>
  <c r="J31" i="6"/>
  <c r="H32" i="6"/>
  <c r="G16" i="7"/>
  <c r="H16" i="7" s="1"/>
  <c r="J16" i="7" s="1"/>
  <c r="K16" i="7"/>
  <c r="F16" i="5"/>
  <c r="I16" i="5"/>
  <c r="I18" i="3"/>
  <c r="F18" i="3"/>
  <c r="G32" i="6" l="1"/>
  <c r="I32" i="6" s="1"/>
  <c r="C33" i="6" s="1"/>
  <c r="J32" i="6"/>
  <c r="H33" i="6"/>
  <c r="D17" i="7"/>
  <c r="K16" i="5"/>
  <c r="G16" i="5"/>
  <c r="H16" i="5" s="1"/>
  <c r="J16" i="5" s="1"/>
  <c r="G18" i="3"/>
  <c r="H18" i="3" s="1"/>
  <c r="J18" i="3" s="1"/>
  <c r="D19" i="3" s="1"/>
  <c r="K18" i="3"/>
  <c r="G33" i="6" l="1"/>
  <c r="I33" i="6" s="1"/>
  <c r="C34" i="6" s="1"/>
  <c r="J33" i="6"/>
  <c r="H34" i="6"/>
  <c r="J34" i="6" s="1"/>
  <c r="I17" i="7"/>
  <c r="F17" i="7"/>
  <c r="D17" i="5"/>
  <c r="I19" i="3"/>
  <c r="F19" i="3"/>
  <c r="G34" i="6" l="1"/>
  <c r="I34" i="6" s="1"/>
  <c r="G17" i="7"/>
  <c r="H17" i="7" s="1"/>
  <c r="J17" i="7" s="1"/>
  <c r="K17" i="7"/>
  <c r="I17" i="5"/>
  <c r="F17" i="5"/>
  <c r="G19" i="3"/>
  <c r="H19" i="3" s="1"/>
  <c r="J19" i="3" s="1"/>
  <c r="D20" i="3" s="1"/>
  <c r="K19" i="3"/>
  <c r="D18" i="7" l="1"/>
  <c r="G17" i="5"/>
  <c r="H17" i="5" s="1"/>
  <c r="J17" i="5" s="1"/>
  <c r="K17" i="5"/>
  <c r="I20" i="3"/>
  <c r="K20" i="3" s="1"/>
  <c r="F20" i="3"/>
  <c r="I18" i="7" l="1"/>
  <c r="F18" i="7"/>
  <c r="D18" i="5"/>
  <c r="G20" i="3"/>
  <c r="H20" i="3" s="1"/>
  <c r="J20" i="3" s="1"/>
  <c r="D21" i="3" s="1"/>
  <c r="G18" i="7" l="1"/>
  <c r="H18" i="7" s="1"/>
  <c r="J18" i="7" s="1"/>
  <c r="D19" i="7" s="1"/>
  <c r="K18" i="7"/>
  <c r="F18" i="5"/>
  <c r="I18" i="5"/>
  <c r="I21" i="3"/>
  <c r="K21" i="3" s="1"/>
  <c r="F21" i="3"/>
  <c r="I19" i="7" l="1"/>
  <c r="K19" i="7" s="1"/>
  <c r="F19" i="7"/>
  <c r="K18" i="5"/>
  <c r="G18" i="5"/>
  <c r="H18" i="5" s="1"/>
  <c r="J18" i="5" s="1"/>
  <c r="D19" i="5" s="1"/>
  <c r="G21" i="3"/>
  <c r="H21" i="3" s="1"/>
  <c r="J21" i="3" s="1"/>
  <c r="D22" i="3" s="1"/>
  <c r="G19" i="7" l="1"/>
  <c r="H19" i="7" s="1"/>
  <c r="J19" i="7" s="1"/>
  <c r="D20" i="7" s="1"/>
  <c r="I19" i="5"/>
  <c r="K19" i="5" s="1"/>
  <c r="F19" i="5"/>
  <c r="I22" i="3"/>
  <c r="K22" i="3" s="1"/>
  <c r="F22" i="3"/>
  <c r="I20" i="7" l="1"/>
  <c r="K20" i="7" s="1"/>
  <c r="F20" i="7"/>
  <c r="G19" i="5"/>
  <c r="H19" i="5" s="1"/>
  <c r="J19" i="5" s="1"/>
  <c r="D20" i="5" s="1"/>
  <c r="G22" i="3"/>
  <c r="H22" i="3" s="1"/>
  <c r="J22" i="3" s="1"/>
  <c r="D23" i="3" s="1"/>
  <c r="G20" i="7" l="1"/>
  <c r="H20" i="7" s="1"/>
  <c r="J20" i="7" s="1"/>
  <c r="D21" i="7" s="1"/>
  <c r="I20" i="5"/>
  <c r="K20" i="5" s="1"/>
  <c r="F20" i="5"/>
  <c r="I23" i="3"/>
  <c r="K23" i="3" s="1"/>
  <c r="F23" i="3"/>
  <c r="I21" i="7" l="1"/>
  <c r="K21" i="7" s="1"/>
  <c r="F21" i="7"/>
  <c r="G20" i="5"/>
  <c r="H20" i="5" s="1"/>
  <c r="J20" i="5" s="1"/>
  <c r="D21" i="5" s="1"/>
  <c r="G23" i="3"/>
  <c r="H23" i="3" s="1"/>
  <c r="J23" i="3" s="1"/>
  <c r="D24" i="3" s="1"/>
  <c r="G21" i="7" l="1"/>
  <c r="H21" i="7" s="1"/>
  <c r="J21" i="7" s="1"/>
  <c r="D22" i="7" s="1"/>
  <c r="I21" i="5"/>
  <c r="K21" i="5" s="1"/>
  <c r="F21" i="5"/>
  <c r="I24" i="3"/>
  <c r="K24" i="3" s="1"/>
  <c r="F24" i="3"/>
  <c r="I22" i="7" l="1"/>
  <c r="K22" i="7" s="1"/>
  <c r="F22" i="7"/>
  <c r="G21" i="5"/>
  <c r="H21" i="5" s="1"/>
  <c r="J21" i="5" s="1"/>
  <c r="D22" i="5" s="1"/>
  <c r="G24" i="3"/>
  <c r="H24" i="3" s="1"/>
  <c r="J24" i="3" s="1"/>
  <c r="D25" i="3" s="1"/>
  <c r="G22" i="7" l="1"/>
  <c r="H22" i="7" s="1"/>
  <c r="J22" i="7" s="1"/>
  <c r="D23" i="7" s="1"/>
  <c r="I22" i="5"/>
  <c r="K22" i="5" s="1"/>
  <c r="F22" i="5"/>
  <c r="I25" i="3"/>
  <c r="F25" i="3"/>
  <c r="I23" i="7" l="1"/>
  <c r="F23" i="7"/>
  <c r="G22" i="5"/>
  <c r="H22" i="5" s="1"/>
  <c r="J22" i="5" s="1"/>
  <c r="D23" i="5" s="1"/>
  <c r="G25" i="3"/>
  <c r="H25" i="3" s="1"/>
  <c r="J25" i="3" s="1"/>
  <c r="K25" i="3"/>
  <c r="G23" i="7" l="1"/>
  <c r="H23" i="7" s="1"/>
  <c r="J23" i="7" s="1"/>
  <c r="I7" i="7" s="1"/>
  <c r="I8" i="7"/>
  <c r="K23" i="7"/>
  <c r="I9" i="7"/>
  <c r="I23" i="5"/>
  <c r="F23" i="5"/>
  <c r="D26" i="3"/>
  <c r="G23" i="5" l="1"/>
  <c r="H23" i="5" s="1"/>
  <c r="J23" i="5" s="1"/>
  <c r="I7" i="5" s="1"/>
  <c r="I8" i="5"/>
  <c r="K23" i="5"/>
  <c r="I9" i="5"/>
  <c r="I26" i="3"/>
  <c r="F26" i="3"/>
  <c r="G26" i="3" l="1"/>
  <c r="H26" i="3" s="1"/>
  <c r="J26" i="3" s="1"/>
  <c r="K26" i="3"/>
  <c r="D27" i="3" l="1"/>
  <c r="I27" i="3" l="1"/>
  <c r="F27" i="3"/>
  <c r="G27" i="3" l="1"/>
  <c r="H27" i="3" s="1"/>
  <c r="J27" i="3" s="1"/>
  <c r="K27" i="3"/>
  <c r="D28" i="3" l="1"/>
  <c r="I28" i="3" l="1"/>
  <c r="F28" i="3"/>
  <c r="G28" i="3" l="1"/>
  <c r="H28" i="3" s="1"/>
  <c r="J28" i="3" s="1"/>
  <c r="K28" i="3"/>
  <c r="D29" i="3" l="1"/>
  <c r="F29" i="3" l="1"/>
  <c r="I29" i="3"/>
  <c r="K29" i="3" l="1"/>
  <c r="G29" i="3"/>
  <c r="H29" i="3" s="1"/>
  <c r="J29" i="3" s="1"/>
  <c r="D30" i="3" l="1"/>
  <c r="I30" i="3" l="1"/>
  <c r="K30" i="3" s="1"/>
  <c r="F30" i="3"/>
  <c r="G30" i="3" l="1"/>
  <c r="H30" i="3" s="1"/>
  <c r="J30" i="3" s="1"/>
  <c r="D31" i="3" s="1"/>
  <c r="F31" i="3" l="1"/>
  <c r="I31" i="3"/>
  <c r="K31" i="3" s="1"/>
  <c r="G31" i="3" l="1"/>
  <c r="H31" i="3" s="1"/>
  <c r="J31" i="3" s="1"/>
  <c r="D32" i="3" s="1"/>
  <c r="F32" i="3" l="1"/>
  <c r="I32" i="3"/>
  <c r="K32" i="3" s="1"/>
  <c r="G32" i="3" l="1"/>
  <c r="H32" i="3" s="1"/>
  <c r="J32" i="3" s="1"/>
  <c r="D33" i="3" s="1"/>
  <c r="F33" i="3" l="1"/>
  <c r="I33" i="3"/>
  <c r="K33" i="3" s="1"/>
  <c r="G33" i="3" l="1"/>
  <c r="H33" i="3" s="1"/>
  <c r="J33" i="3" s="1"/>
  <c r="D34" i="3" s="1"/>
  <c r="F34" i="3" l="1"/>
  <c r="I34" i="3"/>
  <c r="K34" i="3" s="1"/>
  <c r="G34" i="3" l="1"/>
  <c r="H34" i="3" s="1"/>
  <c r="J34" i="3" s="1"/>
  <c r="D35" i="3" s="1"/>
  <c r="I35" i="3" l="1"/>
  <c r="K35" i="3" s="1"/>
  <c r="F35" i="3"/>
  <c r="G35" i="3" l="1"/>
  <c r="H35" i="3" s="1"/>
  <c r="J35" i="3" s="1"/>
  <c r="D36" i="3" s="1"/>
  <c r="I36" i="3" l="1"/>
  <c r="K36" i="3" s="1"/>
  <c r="F36" i="3"/>
  <c r="G36" i="3" l="1"/>
  <c r="H36" i="3" s="1"/>
  <c r="J36" i="3" s="1"/>
  <c r="D37" i="3" s="1"/>
  <c r="I37" i="3" l="1"/>
  <c r="K37" i="3" s="1"/>
  <c r="F37" i="3"/>
  <c r="G37" i="3" l="1"/>
  <c r="H37" i="3" s="1"/>
  <c r="J37" i="3" s="1"/>
  <c r="D38" i="3" s="1"/>
  <c r="I38" i="3" l="1"/>
  <c r="K38" i="3" s="1"/>
  <c r="F38" i="3"/>
  <c r="G38" i="3" l="1"/>
  <c r="H38" i="3" s="1"/>
  <c r="J38" i="3" s="1"/>
  <c r="D39" i="3" s="1"/>
  <c r="I39" i="3" l="1"/>
  <c r="F39" i="3"/>
  <c r="G39" i="3" l="1"/>
  <c r="H39" i="3" s="1"/>
  <c r="J39" i="3" s="1"/>
  <c r="K39" i="3"/>
  <c r="D40" i="3" l="1"/>
  <c r="I40" i="3" l="1"/>
  <c r="F40" i="3"/>
  <c r="G40" i="3" l="1"/>
  <c r="H40" i="3" s="1"/>
  <c r="J40" i="3" s="1"/>
  <c r="K40" i="3"/>
  <c r="D41" i="3" l="1"/>
  <c r="I41" i="3" l="1"/>
  <c r="F41" i="3"/>
  <c r="J41" i="3" l="1"/>
  <c r="G41" i="3"/>
  <c r="H41" i="3" s="1"/>
  <c r="K41" i="3"/>
  <c r="D42" i="3" l="1"/>
  <c r="I7" i="3"/>
  <c r="I42" i="3" l="1"/>
  <c r="F42" i="3"/>
  <c r="G42" i="3" l="1"/>
  <c r="H42" i="3" s="1"/>
  <c r="J42" i="3"/>
  <c r="D43" i="3" s="1"/>
  <c r="K42" i="3"/>
  <c r="I43" i="3" l="1"/>
  <c r="F43" i="3"/>
  <c r="G43" i="3" l="1"/>
  <c r="H43" i="3" s="1"/>
  <c r="J43" i="3"/>
  <c r="D44" i="3" s="1"/>
  <c r="K43" i="3"/>
  <c r="I44" i="3" l="1"/>
  <c r="F44" i="3"/>
  <c r="J44" i="3" l="1"/>
  <c r="D45" i="3" s="1"/>
  <c r="G44" i="3"/>
  <c r="H44" i="3" s="1"/>
  <c r="K44" i="3"/>
  <c r="I45" i="3" l="1"/>
  <c r="K45" i="3" s="1"/>
  <c r="F45" i="3"/>
  <c r="G45" i="3" l="1"/>
  <c r="H45" i="3" s="1"/>
  <c r="J45" i="3"/>
  <c r="D46" i="3" s="1"/>
  <c r="I46" i="3" l="1"/>
  <c r="K46" i="3" s="1"/>
  <c r="F46" i="3"/>
  <c r="J46" i="3" l="1"/>
  <c r="D47" i="3" s="1"/>
  <c r="G46" i="3"/>
  <c r="H46" i="3" s="1"/>
  <c r="I47" i="3" l="1"/>
  <c r="K47" i="3" s="1"/>
  <c r="F47" i="3"/>
  <c r="G47" i="3" l="1"/>
  <c r="H47" i="3" s="1"/>
  <c r="J47" i="3"/>
  <c r="D48" i="3" s="1"/>
  <c r="I48" i="3" l="1"/>
  <c r="F48" i="3"/>
  <c r="G48" i="3" l="1"/>
  <c r="H48" i="3" s="1"/>
  <c r="J48" i="3"/>
  <c r="I8" i="3"/>
  <c r="K48" i="3"/>
  <c r="I9" i="3"/>
</calcChain>
</file>

<file path=xl/sharedStrings.xml><?xml version="1.0" encoding="utf-8"?>
<sst xmlns="http://schemas.openxmlformats.org/spreadsheetml/2006/main" count="88" uniqueCount="28">
  <si>
    <t>Loan amount</t>
  </si>
  <si>
    <t>Annual interest rate</t>
  </si>
  <si>
    <t>Loan period in years</t>
  </si>
  <si>
    <t>Number of payments per year</t>
  </si>
  <si>
    <t>Start date of loan</t>
  </si>
  <si>
    <t>Scheduled payment</t>
  </si>
  <si>
    <t>Scheduled number of payments</t>
  </si>
  <si>
    <t>Actual number of payments</t>
  </si>
  <si>
    <t>Total early payments</t>
  </si>
  <si>
    <t>Total interest</t>
  </si>
  <si>
    <t>Loan Amortization Schedule</t>
  </si>
  <si>
    <t>Loan Summary</t>
  </si>
  <si>
    <t>Payment Number</t>
  </si>
  <si>
    <t>Payment
Date</t>
  </si>
  <si>
    <t>Beginning
Balance</t>
  </si>
  <si>
    <t>Extra
Payment</t>
  </si>
  <si>
    <t>Total
Payment</t>
  </si>
  <si>
    <t>Principal</t>
  </si>
  <si>
    <t>Interest</t>
  </si>
  <si>
    <t>Ending
Balance</t>
  </si>
  <si>
    <t>Cumulative
Interest</t>
  </si>
  <si>
    <t>Enter Values</t>
  </si>
  <si>
    <t>Optional extra payments</t>
  </si>
  <si>
    <t>Lender name</t>
  </si>
  <si>
    <t>Scheduled Payment</t>
  </si>
  <si>
    <t>Chase Bank</t>
  </si>
  <si>
    <t>GS Bank</t>
  </si>
  <si>
    <t>AMEX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</si>
</sst>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00"/>
  </numFmts>
  <fonts count="24"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6">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s>
  <cellStyleXfs count="17">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xf numFmtId="44" fontId="4" fillId="0" borderId="0" applyFont="0" applyFill="0" applyBorder="0" applyAlignment="0" applyProtection="0"/>
  </cellStyleXfs>
  <cellXfs count="63">
    <xf numFmtId="0" fontId="0" fillId="0" borderId="0" xfId="0"/>
    <xf numFmtId="0" fontId="7" fillId="0" borderId="0" xfId="0" applyFont="1"/>
    <xf numFmtId="0" fontId="0" fillId="0" borderId="0" xfId="0" applyBorder="1"/>
    <xf numFmtId="0" fontId="10" fillId="0" borderId="0" xfId="2" applyBorder="1">
      <alignment vertical="center"/>
    </xf>
    <xf numFmtId="0" fontId="10" fillId="0" borderId="0" xfId="2" applyFill="1" applyBorder="1">
      <alignment vertical="center"/>
    </xf>
    <xf numFmtId="0" fontId="7" fillId="0" borderId="0" xfId="0" applyFont="1" applyBorder="1"/>
    <xf numFmtId="0" fontId="13" fillId="0" borderId="0" xfId="13" applyFont="1" applyFill="1" applyBorder="1" applyAlignment="1">
      <alignment vertical="center" wrapText="1"/>
    </xf>
    <xf numFmtId="164" fontId="16"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6" fillId="0" borderId="0" xfId="11" applyFont="1" applyFill="1" applyBorder="1" applyAlignment="1">
      <alignment horizontal="center" vertical="center"/>
    </xf>
    <xf numFmtId="0" fontId="16" fillId="0" borderId="0" xfId="0" applyFont="1"/>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0" fillId="0" borderId="15" xfId="0" applyBorder="1" applyAlignment="1">
      <alignment vertical="center"/>
    </xf>
    <xf numFmtId="0" fontId="17" fillId="0" borderId="15" xfId="2" applyFont="1" applyBorder="1" applyAlignment="1">
      <alignment horizontal="left" vertical="center" indent="1"/>
    </xf>
    <xf numFmtId="0" fontId="17" fillId="0" borderId="0" xfId="2" applyFont="1" applyFill="1" applyBorder="1">
      <alignment vertical="center"/>
    </xf>
    <xf numFmtId="164" fontId="20" fillId="0" borderId="6" xfId="7" applyFont="1" applyFill="1" applyBorder="1" applyAlignment="1">
      <alignment horizontal="right" vertical="center" indent="1"/>
    </xf>
    <xf numFmtId="10" fontId="20" fillId="0" borderId="5" xfId="6" applyFont="1" applyFill="1" applyBorder="1" applyAlignment="1">
      <alignment horizontal="right" vertical="center" indent="1"/>
    </xf>
    <xf numFmtId="1" fontId="20" fillId="0" borderId="5" xfId="10" applyFont="1" applyFill="1" applyBorder="1" applyAlignment="1">
      <alignment horizontal="right" vertical="center" indent="1"/>
    </xf>
    <xf numFmtId="0" fontId="19" fillId="0" borderId="14" xfId="5" applyFont="1" applyBorder="1" applyAlignment="1">
      <alignment vertical="center"/>
    </xf>
    <xf numFmtId="14" fontId="20" fillId="0" borderId="9" xfId="11" applyFont="1" applyFill="1" applyBorder="1" applyAlignment="1">
      <alignment horizontal="right" vertical="center" indent="1"/>
    </xf>
    <xf numFmtId="0" fontId="21" fillId="0" borderId="0" xfId="5" applyFont="1" applyBorder="1">
      <alignment vertical="center"/>
    </xf>
    <xf numFmtId="164" fontId="19" fillId="0" borderId="0" xfId="7" applyFont="1" applyFill="1" applyBorder="1" applyAlignment="1">
      <alignment horizontal="right" vertical="center" indent="1"/>
    </xf>
    <xf numFmtId="0" fontId="0" fillId="0" borderId="0" xfId="0" applyFont="1"/>
    <xf numFmtId="0" fontId="0" fillId="0" borderId="0" xfId="0" applyFont="1" applyBorder="1"/>
    <xf numFmtId="0" fontId="0" fillId="0" borderId="15" xfId="0" applyFont="1" applyBorder="1" applyAlignment="1">
      <alignment vertical="center"/>
    </xf>
    <xf numFmtId="0" fontId="0" fillId="0" borderId="7" xfId="0" applyFont="1" applyBorder="1"/>
    <xf numFmtId="1" fontId="20" fillId="0" borderId="5" xfId="10" applyFont="1" applyFill="1" applyBorder="1" applyAlignment="1">
      <alignment horizontal="right" vertical="center" indent="1"/>
    </xf>
    <xf numFmtId="0" fontId="23" fillId="0" borderId="0" xfId="15" applyFont="1" applyFill="1" applyBorder="1" applyAlignment="1">
      <alignment horizontal="center" vertical="center" wrapText="1"/>
    </xf>
    <xf numFmtId="1" fontId="16" fillId="0" borderId="0" xfId="10" applyFont="1" applyFill="1" applyBorder="1" applyAlignment="1">
      <alignment horizontal="center" vertical="center"/>
    </xf>
    <xf numFmtId="164" fontId="16" fillId="0" borderId="0" xfId="12" applyFont="1" applyFill="1" applyBorder="1" applyAlignment="1">
      <alignment horizontal="center" vertical="center"/>
    </xf>
    <xf numFmtId="164" fontId="16" fillId="0" borderId="0" xfId="12" applyFont="1" applyFill="1" applyBorder="1" applyAlignment="1">
      <alignment horizontal="right" vertical="center" indent="3"/>
    </xf>
    <xf numFmtId="1" fontId="0" fillId="0" borderId="0" xfId="10" applyFont="1" applyFill="1"/>
    <xf numFmtId="14" fontId="0" fillId="0" borderId="0" xfId="11" applyFont="1" applyFill="1"/>
    <xf numFmtId="164" fontId="0" fillId="0" borderId="0" xfId="12" applyFont="1" applyFill="1">
      <alignment horizontal="right" indent="2"/>
    </xf>
    <xf numFmtId="0" fontId="23" fillId="0" borderId="0" xfId="15" applyFont="1" applyFill="1">
      <alignment horizontal="center" vertical="center" wrapText="1"/>
    </xf>
    <xf numFmtId="0" fontId="0" fillId="0" borderId="7" xfId="0" applyBorder="1"/>
    <xf numFmtId="0" fontId="19" fillId="0" borderId="14" xfId="5" applyFont="1" applyBorder="1">
      <alignment vertical="center"/>
    </xf>
    <xf numFmtId="0" fontId="19" fillId="5" borderId="6" xfId="5" applyFont="1" applyFill="1" applyBorder="1" applyAlignment="1">
      <alignment horizontal="left" vertical="center" indent="1"/>
    </xf>
    <xf numFmtId="0" fontId="19" fillId="5" borderId="10" xfId="5" applyFont="1" applyFill="1" applyBorder="1" applyAlignment="1">
      <alignment horizontal="left" vertical="center" indent="1"/>
    </xf>
    <xf numFmtId="164" fontId="20" fillId="0" borderId="8" xfId="8" applyNumberFormat="1" applyFont="1" applyFill="1" applyBorder="1" applyAlignment="1">
      <alignment horizontal="right" vertical="center" indent="1"/>
    </xf>
    <xf numFmtId="0" fontId="19" fillId="0" borderId="5" xfId="5" applyFont="1" applyFill="1" applyBorder="1" applyAlignment="1">
      <alignment horizontal="left" vertical="center" indent="1"/>
    </xf>
    <xf numFmtId="0" fontId="19" fillId="0" borderId="11" xfId="5" applyFont="1" applyFill="1" applyBorder="1" applyAlignment="1">
      <alignment horizontal="left" vertical="center" indent="1"/>
    </xf>
    <xf numFmtId="1" fontId="20" fillId="0" borderId="5" xfId="10" applyFont="1" applyFill="1" applyBorder="1" applyAlignment="1">
      <alignment horizontal="right" vertical="center" indent="1"/>
    </xf>
    <xf numFmtId="0" fontId="18" fillId="0" borderId="0" xfId="13" applyFont="1" applyFill="1" applyBorder="1" applyAlignment="1">
      <alignment horizontal="left" vertical="center" wrapText="1"/>
    </xf>
    <xf numFmtId="0" fontId="19" fillId="0" borderId="13" xfId="5" applyFont="1" applyBorder="1" applyAlignment="1">
      <alignment horizontal="left" vertical="center" indent="1"/>
    </xf>
    <xf numFmtId="0" fontId="19" fillId="0" borderId="14" xfId="5" applyFont="1" applyBorder="1" applyAlignment="1">
      <alignment horizontal="left" vertical="center" indent="1"/>
    </xf>
    <xf numFmtId="0" fontId="19" fillId="0" borderId="5" xfId="5" applyFont="1" applyBorder="1" applyAlignment="1">
      <alignment horizontal="left" vertical="center" indent="1"/>
    </xf>
    <xf numFmtId="0" fontId="19" fillId="0" borderId="11" xfId="5" applyFont="1" applyBorder="1" applyAlignment="1">
      <alignment horizontal="left" vertical="center" indent="1"/>
    </xf>
    <xf numFmtId="164" fontId="20" fillId="0" borderId="5" xfId="8" applyNumberFormat="1" applyFont="1" applyFill="1" applyBorder="1" applyAlignment="1">
      <alignment horizontal="right" vertical="center" indent="1"/>
    </xf>
    <xf numFmtId="0" fontId="22" fillId="0" borderId="0" xfId="5" applyFont="1" applyFill="1" applyBorder="1" applyAlignment="1">
      <alignment horizontal="left" vertical="center" indent="1"/>
    </xf>
    <xf numFmtId="0" fontId="19" fillId="0" borderId="9" xfId="5" applyFont="1" applyBorder="1" applyAlignment="1">
      <alignment horizontal="left" vertical="center" indent="1"/>
    </xf>
    <xf numFmtId="0" fontId="19" fillId="0" borderId="12" xfId="5" applyFont="1" applyBorder="1" applyAlignment="1">
      <alignment horizontal="left" vertical="center" indent="1"/>
    </xf>
    <xf numFmtId="164" fontId="20" fillId="0" borderId="9" xfId="8" applyNumberFormat="1" applyFont="1" applyFill="1" applyBorder="1" applyAlignment="1">
      <alignment horizontal="right" vertical="center" indent="1"/>
    </xf>
    <xf numFmtId="164" fontId="2" fillId="0" borderId="0" xfId="8" applyNumberFormat="1" applyFont="1" applyFill="1" applyBorder="1" applyAlignment="1">
      <alignment horizontal="right" indent="1"/>
    </xf>
    <xf numFmtId="0" fontId="22" fillId="0" borderId="0" xfId="3" applyFont="1" applyFill="1" applyBorder="1" applyAlignment="1">
      <alignment horizontal="left" vertical="top" indent="1"/>
    </xf>
    <xf numFmtId="0" fontId="19" fillId="0" borderId="0" xfId="3" applyFont="1" applyFill="1" applyBorder="1" applyAlignment="1">
      <alignment horizontal="right" vertical="center" indent="1"/>
    </xf>
    <xf numFmtId="0" fontId="22" fillId="0" borderId="0" xfId="5" applyFont="1" applyBorder="1" applyAlignment="1">
      <alignment horizontal="left" vertical="center" indent="1"/>
    </xf>
    <xf numFmtId="164" fontId="2" fillId="0" borderId="0" xfId="8" applyNumberFormat="1" applyFont="1" applyFill="1" applyAlignment="1">
      <alignment horizontal="right" indent="1"/>
    </xf>
    <xf numFmtId="14" fontId="0" fillId="0" borderId="0" xfId="0" applyNumberFormat="1"/>
    <xf numFmtId="44" fontId="0" fillId="0" borderId="0" xfId="16" applyFont="1"/>
    <xf numFmtId="44" fontId="0" fillId="0" borderId="0" xfId="0" applyNumberFormat="1"/>
  </cellXfs>
  <cellStyles count="17">
    <cellStyle name="Amount" xfId="7" xr:uid="{00000000-0005-0000-0000-000000000000}"/>
    <cellStyle name="Currency" xfId="16" builtinId="4"/>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43">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42"/>
      <tableStyleElement type="headerRow" dxfId="41"/>
      <tableStyleElement type="totalRow" dxfId="4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4.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4.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887730" cy="908050"/>
    <xdr:pic>
      <xdr:nvPicPr>
        <xdr:cNvPr id="2" name="Graphic 1" descr="bank building icon">
          <a:extLst>
            <a:ext uri="{FF2B5EF4-FFF2-40B4-BE49-F238E27FC236}">
              <a16:creationId xmlns:a16="http://schemas.microsoft.com/office/drawing/2014/main" id="{577E44A7-DC65-459F-9255-6B1ADC108D9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0550" y="190500"/>
          <a:ext cx="887730" cy="908050"/>
        </a:xfrm>
        <a:prstGeom prst="rect">
          <a:avLst/>
        </a:prstGeom>
      </xdr:spPr>
    </xdr:pic>
    <xdr:clientData/>
  </xdr:oneCellAnchor>
  <xdr:oneCellAnchor>
    <xdr:from>
      <xdr:col>1</xdr:col>
      <xdr:colOff>0</xdr:colOff>
      <xdr:row>1</xdr:row>
      <xdr:rowOff>0</xdr:rowOff>
    </xdr:from>
    <xdr:ext cx="887730" cy="908050"/>
    <xdr:pic>
      <xdr:nvPicPr>
        <xdr:cNvPr id="3" name="Graphic 2" descr="bank building icon">
          <a:extLst>
            <a:ext uri="{FF2B5EF4-FFF2-40B4-BE49-F238E27FC236}">
              <a16:creationId xmlns:a16="http://schemas.microsoft.com/office/drawing/2014/main" id="{7AEAD9DA-72E7-4550-9CC4-B930CB73F89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590550" y="190500"/>
          <a:ext cx="887730" cy="9080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891540" cy="900430"/>
    <xdr:pic>
      <xdr:nvPicPr>
        <xdr:cNvPr id="2" name="Graphic 1" descr="bank building icon">
          <a:extLst>
            <a:ext uri="{FF2B5EF4-FFF2-40B4-BE49-F238E27FC236}">
              <a16:creationId xmlns:a16="http://schemas.microsoft.com/office/drawing/2014/main" id="{94FF1CA6-5A89-47F5-9BB2-9AF14610274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0550" y="190500"/>
          <a:ext cx="891540" cy="900430"/>
        </a:xfrm>
        <a:prstGeom prst="rect">
          <a:avLst/>
        </a:prstGeom>
      </xdr:spPr>
    </xdr:pic>
    <xdr:clientData/>
  </xdr:oneCellAnchor>
  <xdr:oneCellAnchor>
    <xdr:from>
      <xdr:col>1</xdr:col>
      <xdr:colOff>0</xdr:colOff>
      <xdr:row>1</xdr:row>
      <xdr:rowOff>0</xdr:rowOff>
    </xdr:from>
    <xdr:ext cx="891540" cy="900430"/>
    <xdr:pic>
      <xdr:nvPicPr>
        <xdr:cNvPr id="3" name="Graphic 2" descr="bank building icon">
          <a:extLst>
            <a:ext uri="{FF2B5EF4-FFF2-40B4-BE49-F238E27FC236}">
              <a16:creationId xmlns:a16="http://schemas.microsoft.com/office/drawing/2014/main" id="{73F8F22C-0B7A-4B45-ABA9-023845ECD31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590550" y="190500"/>
          <a:ext cx="891540" cy="90043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oan%20amortization%20schedule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 amortization schedule3"/>
    </sheetNames>
    <definedNames>
      <definedName name="LoanIsGood" refersTo="#REF!"/>
      <definedName name="PaymentsPerYear" refersTo="#REF!"/>
    </defined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48" totalsRowShown="0" headerRowDxfId="39" dataDxfId="38" headerRowCellStyle="Style 6">
  <tableColumns count="10">
    <tableColumn id="1" xr3:uid="{34276CB7-3C34-4F7B-BA90-A3E3BDDC992A}" name="Payment Number" dataDxfId="37"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36"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35"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34" dataCellStyle="Table Amount">
      <calculatedColumnFormula>IF(PaymentSchedule3[[#This Row],[Payment Number]]&lt;&gt;"",ScheduledPayment,"")</calculatedColumnFormula>
    </tableColumn>
    <tableColumn id="5" xr3:uid="{931027E7-8C19-4466-9D4A-F9288DA86D21}" name="Extra_x000a_Payment" dataDxfId="33"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32"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31" dataCellStyle="Table Amount">
      <calculatedColumnFormula>IF(PaymentSchedule3[[#This Row],[Payment Number]]&lt;&gt;"",PaymentSchedule3[[#This Row],[Total
Payment]]-PaymentSchedule3[[#This Row],[Interest]],"")</calculatedColumnFormula>
    </tableColumn>
    <tableColumn id="8" xr3:uid="{4A9CA4D4-2346-4A75-8123-A968977AF4B8}" name="Interest" dataDxfId="30"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29"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28"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576CE4-55A8-436A-92F9-646AEA330C45}" name="PaymentSchedule32" displayName="PaymentSchedule32" ref="B13:K23" totalsRowShown="0" headerRowDxfId="27" dataDxfId="26" headerRowCellStyle="Style 6">
  <tableColumns count="10">
    <tableColumn id="1" xr3:uid="{34276CB7-3C34-4F7B-BA90-A3E3BDDC992A}" name="Payment Number" dataDxfId="25" dataCellStyle="Number">
      <calculatedColumnFormula>IF(LoanIsGood,IF(ROW()-ROW(PaymentSchedule32[[#Headers],[Payment Number]])&gt;ScheduledNumberOfPayments,"",ROW()-ROW(PaymentSchedule32[[#Headers],[Payment Number]])),"")</calculatedColumnFormula>
    </tableColumn>
    <tableColumn id="2" xr3:uid="{1403A054-F61D-429F-B1BB-4476EC6315CE}" name="Payment_x000a_Date" dataDxfId="24" dataCellStyle="Date">
      <calculatedColumnFormula>IF(PaymentSchedule32[[#This Row],[Payment Number]]&lt;&gt;"",EOMONTH(LoanStartDate,ROW(PaymentSchedule32[[#This Row],[Payment Number]])-ROW(PaymentSchedule32[[#Headers],[Payment Number]])-2)+DAY(LoanStartDate),"")</calculatedColumnFormula>
    </tableColumn>
    <tableColumn id="3" xr3:uid="{E67FFDE2-0DC2-4D6E-AF3F-C5A588B48155}" name="Beginning_x000a_Balance" dataDxfId="23" dataCellStyle="Table Amount">
      <calculatedColumnFormula>IF(PaymentSchedule32[[#This Row],[Payment Number]]&lt;&gt;"",IF(ROW()-ROW(PaymentSchedule32[[#Headers],[Beginning
Balance]])=1,LoanAmount,INDEX(PaymentSchedule32[Ending
Balance],ROW()-ROW(PaymentSchedule32[[#Headers],[Beginning
Balance]])-1)),"")</calculatedColumnFormula>
    </tableColumn>
    <tableColumn id="4" xr3:uid="{7F890269-E34F-4DDB-A395-4C6596B64B17}" name="Scheduled Payment" dataDxfId="22" dataCellStyle="Table Amount">
      <calculatedColumnFormula>IF(PaymentSchedule32[[#This Row],[Payment Number]]&lt;&gt;"",ScheduledPayment,"")</calculatedColumnFormula>
    </tableColumn>
    <tableColumn id="5" xr3:uid="{931027E7-8C19-4466-9D4A-F9288DA86D21}" name="Extra_x000a_Payment" dataDxfId="21" dataCellStyle="Table Amount">
      <calculatedColumnFormula>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calculatedColumnFormula>
    </tableColumn>
    <tableColumn id="6" xr3:uid="{CC5B15AD-AB99-402B-813B-ED379DF9B554}" name="Total_x000a_Payment" dataDxfId="20" dataCellStyle="Table Amount">
      <calculatedColumnFormula>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calculatedColumnFormula>
    </tableColumn>
    <tableColumn id="7" xr3:uid="{56A64BC0-073E-48F7-BD63-28B35D636790}" name="Principal" dataDxfId="19" dataCellStyle="Table Amount">
      <calculatedColumnFormula>IF(PaymentSchedule32[[#This Row],[Payment Number]]&lt;&gt;"",PaymentSchedule32[[#This Row],[Total
Payment]]-PaymentSchedule32[[#This Row],[Interest]],"")</calculatedColumnFormula>
    </tableColumn>
    <tableColumn id="8" xr3:uid="{4A9CA4D4-2346-4A75-8123-A968977AF4B8}" name="Interest" dataDxfId="18" dataCellStyle="Table Amount">
      <calculatedColumnFormula>IF(PaymentSchedule32[[#This Row],[Payment Number]]&lt;&gt;"",PaymentSchedule32[[#This Row],[Beginning
Balance]]*(InterestRate/PaymentsPerYear),"")</calculatedColumnFormula>
    </tableColumn>
    <tableColumn id="9" xr3:uid="{C39E71DF-B719-4486-AA13-11B7D11F817D}" name="Ending_x000a_Balance" dataDxfId="17" dataCellStyle="Table Amount">
      <calculatedColumnFormula>IF(PaymentSchedule32[[#This Row],[Payment Number]]&lt;&gt;"",IF(PaymentSchedule32[[#This Row],[Scheduled Payment]]+PaymentSchedule32[[#This Row],[Extra
Payment]]&lt;=PaymentSchedule32[[#This Row],[Beginning
Balance]],PaymentSchedule32[[#This Row],[Beginning
Balance]]-PaymentSchedule32[[#This Row],[Principal]],0),"")</calculatedColumnFormula>
    </tableColumn>
    <tableColumn id="10" xr3:uid="{FF2DDF66-04AB-4B2F-A770-16226B363CDF}" name="Cumulative_x000a_Interest" dataDxfId="16" dataCellStyle="Table Amount">
      <calculatedColumnFormula>IF(PaymentSchedule32[[#This Row],[Payment Number]]&lt;&gt;"",SUM(INDEX(PaymentSchedule32[Interest],1,1):PaymentSchedule32[[#This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D9841F-FBE9-4B2E-B13D-F22B1B7C4FE1}" name="PaymentSchedule34" displayName="PaymentSchedule34" ref="B13:K23" totalsRowShown="0" headerRowDxfId="15" dataDxfId="14" headerRowCellStyle="Style 6">
  <tableColumns count="10">
    <tableColumn id="1" xr3:uid="{34276CB7-3C34-4F7B-BA90-A3E3BDDC992A}" name="Payment Number" dataDxfId="13" dataCellStyle="Number">
      <calculatedColumnFormula>IF(LoanIsGood,IF(ROW()-ROW(PaymentSchedule34[[#Headers],[Payment Number]])&gt;ScheduledNumberOfPayments,"",ROW()-ROW(PaymentSchedule34[[#Headers],[Payment Number]])),"")</calculatedColumnFormula>
    </tableColumn>
    <tableColumn id="2" xr3:uid="{1403A054-F61D-429F-B1BB-4476EC6315CE}" name="Payment_x000a_Date" dataDxfId="12" dataCellStyle="Date">
      <calculatedColumnFormula>IF(PaymentSchedule34[[#This Row],[Payment Number]]&lt;&gt;"",EOMONTH(LoanStartDate,ROW(PaymentSchedule34[[#This Row],[Payment Number]])-ROW(PaymentSchedule34[[#Headers],[Payment Number]])-2)+DAY(LoanStartDate),"")</calculatedColumnFormula>
    </tableColumn>
    <tableColumn id="3" xr3:uid="{E67FFDE2-0DC2-4D6E-AF3F-C5A588B48155}" name="Beginning_x000a_Balance" dataDxfId="11" dataCellStyle="Table Amount">
      <calculatedColumnFormula>IF(PaymentSchedule34[[#This Row],[Payment Number]]&lt;&gt;"",IF(ROW()-ROW(PaymentSchedule34[[#Headers],[Beginning
Balance]])=1,LoanAmount,INDEX(PaymentSchedule34[Ending
Balance],ROW()-ROW(PaymentSchedule34[[#Headers],[Beginning
Balance]])-1)),"")</calculatedColumnFormula>
    </tableColumn>
    <tableColumn id="4" xr3:uid="{7F890269-E34F-4DDB-A395-4C6596B64B17}" name="Scheduled Payment" dataDxfId="10" dataCellStyle="Table Amount">
      <calculatedColumnFormula>IF(PaymentSchedule34[[#This Row],[Payment Number]]&lt;&gt;"",ScheduledPayment,"")</calculatedColumnFormula>
    </tableColumn>
    <tableColumn id="5" xr3:uid="{931027E7-8C19-4466-9D4A-F9288DA86D21}" name="Extra_x000a_Payment" dataDxfId="9" dataCellStyle="Table Amount">
      <calculatedColumnFormula>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calculatedColumnFormula>
    </tableColumn>
    <tableColumn id="6" xr3:uid="{CC5B15AD-AB99-402B-813B-ED379DF9B554}" name="Total_x000a_Payment" dataDxfId="8" dataCellStyle="Table Amount">
      <calculatedColumnFormula>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calculatedColumnFormula>
    </tableColumn>
    <tableColumn id="7" xr3:uid="{56A64BC0-073E-48F7-BD63-28B35D636790}" name="Principal" dataDxfId="7" dataCellStyle="Table Amount">
      <calculatedColumnFormula>IF(PaymentSchedule34[[#This Row],[Payment Number]]&lt;&gt;"",PaymentSchedule34[[#This Row],[Total
Payment]]-PaymentSchedule34[[#This Row],[Interest]],"")</calculatedColumnFormula>
    </tableColumn>
    <tableColumn id="8" xr3:uid="{4A9CA4D4-2346-4A75-8123-A968977AF4B8}" name="Interest" dataDxfId="6" dataCellStyle="Table Amount">
      <calculatedColumnFormula>IF(PaymentSchedule34[[#This Row],[Payment Number]]&lt;&gt;"",PaymentSchedule34[[#This Row],[Beginning
Balance]]*(InterestRate/PaymentsPerYear),"")</calculatedColumnFormula>
    </tableColumn>
    <tableColumn id="9" xr3:uid="{C39E71DF-B719-4486-AA13-11B7D11F817D}" name="Ending_x000a_Balance" dataDxfId="5" dataCellStyle="Table Amount">
      <calculatedColumnFormula>IF(PaymentSchedule34[[#This Row],[Payment Number]]&lt;&gt;"",IF(PaymentSchedule34[[#This Row],[Scheduled Payment]]+PaymentSchedule34[[#This Row],[Extra
Payment]]&lt;=PaymentSchedule34[[#This Row],[Beginning
Balance]],PaymentSchedule34[[#This Row],[Beginning
Balance]]-PaymentSchedule34[[#This Row],[Principal]],0),"")</calculatedColumnFormula>
    </tableColumn>
    <tableColumn id="10" xr3:uid="{FF2DDF66-04AB-4B2F-A770-16226B363CDF}" name="Cumulative_x000a_Interest" dataDxfId="4" dataCellStyle="Table Amount">
      <calculatedColumnFormula>IF(PaymentSchedule34[[#This Row],[Payment Number]]&lt;&gt;"",SUM(INDEX(PaymentSchedule34[Interest],1,1):PaymentSchedule34[[#This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A1:O48"/>
  <sheetViews>
    <sheetView showGridLines="0" zoomScaleNormal="100" workbookViewId="0">
      <selection activeCell="G14" sqref="G14"/>
    </sheetView>
  </sheetViews>
  <sheetFormatPr defaultColWidth="8.85546875" defaultRowHeight="15" x14ac:dyDescent="0.25"/>
  <cols>
    <col min="1" max="1" width="3.5703125" customWidth="1"/>
    <col min="2" max="2" width="12.85546875" customWidth="1"/>
    <col min="3" max="3" width="14.7109375" customWidth="1"/>
    <col min="4" max="4" width="16.7109375" customWidth="1"/>
    <col min="5" max="10" width="15.7109375" customWidth="1"/>
    <col min="11" max="11" width="17.7109375" customWidth="1"/>
  </cols>
  <sheetData>
    <row r="1" spans="1:15" s="1" customFormat="1" ht="21" customHeight="1" x14ac:dyDescent="0.25">
      <c r="B1" s="6"/>
      <c r="C1" s="6"/>
      <c r="D1" s="6"/>
      <c r="E1" s="6"/>
      <c r="F1" s="6"/>
      <c r="G1" s="6"/>
      <c r="H1" s="6"/>
      <c r="I1" s="6"/>
      <c r="J1" s="6"/>
      <c r="K1" s="6"/>
    </row>
    <row r="2" spans="1:15" s="1" customFormat="1" ht="67.900000000000006" customHeight="1" x14ac:dyDescent="0.25">
      <c r="B2" s="6"/>
      <c r="C2" s="45" t="s">
        <v>10</v>
      </c>
      <c r="D2" s="45"/>
      <c r="E2" s="45"/>
      <c r="F2" s="45"/>
      <c r="G2" s="45"/>
      <c r="H2" s="45"/>
      <c r="I2" s="45"/>
      <c r="J2" s="45"/>
      <c r="K2" s="45"/>
    </row>
    <row r="3" spans="1:15" s="1" customFormat="1" ht="24" customHeight="1" x14ac:dyDescent="0.25">
      <c r="B3" s="6"/>
      <c r="C3" s="6"/>
      <c r="D3" s="6"/>
      <c r="E3" s="6"/>
      <c r="F3" s="6"/>
      <c r="G3" s="6"/>
      <c r="H3" s="6"/>
      <c r="I3" s="6"/>
      <c r="J3" s="6"/>
      <c r="K3" s="6"/>
      <c r="O3" s="5"/>
    </row>
    <row r="4" spans="1:15" ht="37.9" customHeight="1" x14ac:dyDescent="0.25">
      <c r="B4" s="15" t="s">
        <v>21</v>
      </c>
      <c r="C4" s="12"/>
      <c r="D4" s="13"/>
      <c r="E4" s="3"/>
      <c r="F4" s="2"/>
      <c r="G4" s="16" t="s">
        <v>11</v>
      </c>
      <c r="H4" s="3"/>
      <c r="I4" s="3"/>
      <c r="J4" s="4"/>
      <c r="O4" s="2"/>
    </row>
    <row r="5" spans="1:15" ht="24" customHeight="1" x14ac:dyDescent="0.25">
      <c r="B5" s="46" t="s">
        <v>0</v>
      </c>
      <c r="C5" s="46"/>
      <c r="D5" s="47"/>
      <c r="E5" s="17">
        <v>2950</v>
      </c>
      <c r="G5" s="39" t="s">
        <v>5</v>
      </c>
      <c r="H5" s="40"/>
      <c r="I5" s="41">
        <f ca="1">IF(LoanIsGood,-PMT(InterestRate/PaymentsPerYear,ScheduledNumberOfPayments,LoanAmount),"")</f>
        <v>118.84790205531803</v>
      </c>
      <c r="J5" s="41"/>
      <c r="K5" s="41"/>
    </row>
    <row r="6" spans="1:15" ht="24" customHeight="1" x14ac:dyDescent="0.25">
      <c r="B6" s="46" t="s">
        <v>1</v>
      </c>
      <c r="C6" s="46"/>
      <c r="D6" s="47"/>
      <c r="E6" s="18">
        <v>0.25994</v>
      </c>
      <c r="G6" s="42" t="s">
        <v>6</v>
      </c>
      <c r="H6" s="43"/>
      <c r="I6" s="44">
        <f ca="1">IF(LoanIsGood,LoanPeriod*PaymentsPerYear,"")</f>
        <v>36</v>
      </c>
      <c r="J6" s="44"/>
      <c r="K6" s="44"/>
    </row>
    <row r="7" spans="1:15" ht="24" customHeight="1" x14ac:dyDescent="0.25">
      <c r="B7" s="46" t="s">
        <v>2</v>
      </c>
      <c r="C7" s="46"/>
      <c r="D7" s="47"/>
      <c r="E7" s="19">
        <v>3</v>
      </c>
      <c r="G7" s="48" t="s">
        <v>7</v>
      </c>
      <c r="H7" s="49"/>
      <c r="I7" s="44">
        <f ca="1">ActualNumberOfPayments</f>
        <v>28</v>
      </c>
      <c r="J7" s="44"/>
      <c r="K7" s="44"/>
    </row>
    <row r="8" spans="1:15" ht="24" customHeight="1" x14ac:dyDescent="0.25">
      <c r="B8" s="46" t="s">
        <v>3</v>
      </c>
      <c r="C8" s="46"/>
      <c r="D8" s="47"/>
      <c r="E8" s="19">
        <v>12</v>
      </c>
      <c r="G8" s="48" t="s">
        <v>8</v>
      </c>
      <c r="H8" s="49"/>
      <c r="I8" s="50">
        <f ca="1">TotalEarlyPayments</f>
        <v>675</v>
      </c>
      <c r="J8" s="50"/>
      <c r="K8" s="50"/>
    </row>
    <row r="9" spans="1:15" ht="24" customHeight="1" x14ac:dyDescent="0.25">
      <c r="B9" s="46" t="s">
        <v>4</v>
      </c>
      <c r="C9" s="46"/>
      <c r="D9" s="20"/>
      <c r="E9" s="21">
        <f ca="1">TODAY()</f>
        <v>44779</v>
      </c>
      <c r="G9" s="52" t="s">
        <v>9</v>
      </c>
      <c r="H9" s="53"/>
      <c r="I9" s="54">
        <f ca="1">TotalInterest</f>
        <v>993.23319801893888</v>
      </c>
      <c r="J9" s="54"/>
      <c r="K9" s="54"/>
    </row>
    <row r="10" spans="1:15" ht="12.4" customHeight="1" x14ac:dyDescent="0.25">
      <c r="C10" s="8"/>
      <c r="D10" s="8"/>
      <c r="E10" s="9"/>
      <c r="G10" s="22"/>
      <c r="H10" s="22"/>
      <c r="I10" s="55"/>
      <c r="J10" s="55"/>
      <c r="K10" s="55"/>
    </row>
    <row r="11" spans="1:15" ht="20.65" customHeight="1" x14ac:dyDescent="0.25">
      <c r="B11" s="51" t="s">
        <v>22</v>
      </c>
      <c r="C11" s="51"/>
      <c r="D11" s="51"/>
      <c r="E11" s="23">
        <v>25</v>
      </c>
      <c r="F11" s="11"/>
      <c r="G11" s="56" t="s">
        <v>23</v>
      </c>
      <c r="H11" s="56"/>
      <c r="I11" s="57" t="s">
        <v>25</v>
      </c>
      <c r="J11" s="57"/>
      <c r="K11" s="57"/>
    </row>
    <row r="12" spans="1:15" ht="31.9" customHeight="1" x14ac:dyDescent="0.25">
      <c r="A12" s="24"/>
      <c r="B12" s="27"/>
      <c r="C12" s="25"/>
      <c r="D12" s="25"/>
      <c r="E12" s="25"/>
      <c r="F12" s="25"/>
      <c r="G12" s="25"/>
      <c r="H12" s="25"/>
      <c r="I12" s="25"/>
      <c r="J12" s="25"/>
      <c r="K12" s="25"/>
      <c r="L12" s="24"/>
      <c r="M12" s="24"/>
      <c r="N12" s="24"/>
      <c r="O12" s="24"/>
    </row>
    <row r="13" spans="1:15" s="14" customFormat="1" ht="48" customHeight="1" x14ac:dyDescent="0.25">
      <c r="A13" s="26"/>
      <c r="B13" s="29" t="s">
        <v>12</v>
      </c>
      <c r="C13" s="29" t="s">
        <v>13</v>
      </c>
      <c r="D13" s="29" t="s">
        <v>14</v>
      </c>
      <c r="E13" s="29" t="s">
        <v>24</v>
      </c>
      <c r="F13" s="29" t="s">
        <v>15</v>
      </c>
      <c r="G13" s="29" t="s">
        <v>16</v>
      </c>
      <c r="H13" s="29" t="s">
        <v>17</v>
      </c>
      <c r="I13" s="29" t="s">
        <v>18</v>
      </c>
      <c r="J13" s="29" t="s">
        <v>19</v>
      </c>
      <c r="K13" s="29" t="s">
        <v>20</v>
      </c>
      <c r="L13" s="26"/>
      <c r="M13" s="26"/>
      <c r="N13" s="26"/>
      <c r="O13" s="26"/>
    </row>
    <row r="14" spans="1:15" ht="24" customHeight="1" x14ac:dyDescent="0.25">
      <c r="A14" s="24"/>
      <c r="B14" s="30">
        <f ca="1">IF(LoanIsGood,IF(ROW()-ROW(PaymentSchedule3[[#Headers],[Payment Number]])&gt;ScheduledNumberOfPayments,"",ROW()-ROW(PaymentSchedule3[[#Headers],[Payment Number]])),"")</f>
        <v>1</v>
      </c>
      <c r="C14" s="10">
        <f ca="1">IF(PaymentSchedule3[[#This Row],[Payment Number]]&lt;&gt;"",EOMONTH(LoanStartDate,ROW(PaymentSchedule3[[#This Row],[Payment Number]])-ROW(PaymentSchedule3[[#Headers],[Payment Number]])-2)+DAY(LoanStartDate),"")</f>
        <v>44779</v>
      </c>
      <c r="D14" s="7">
        <f ca="1">IF(PaymentSchedule3[[#This Row],[Payment Number]]&lt;&gt;"",IF(ROW()-ROW(PaymentSchedule3[[#Headers],[Beginning
Balance]])=1,LoanAmount,INDEX(PaymentSchedule3[Ending
Balance],ROW()-ROW(PaymentSchedule3[[#Headers],[Beginning
Balance]])-1)),"")</f>
        <v>2950</v>
      </c>
      <c r="E14" s="31">
        <f ca="1">IF(PaymentSchedule3[[#This Row],[Payment Number]]&lt;&gt;"",ScheduledPayment,"")</f>
        <v>118.84790205531803</v>
      </c>
      <c r="F1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1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14" s="7">
        <f ca="1">IF(PaymentSchedule3[[#This Row],[Payment Number]]&lt;&gt;"",PaymentSchedule3[[#This Row],[Total
Payment]]-PaymentSchedule3[[#This Row],[Interest]],"")</f>
        <v>79.945985388651366</v>
      </c>
      <c r="I14" s="32">
        <f ca="1">IF(PaymentSchedule3[[#This Row],[Payment Number]]&lt;&gt;"",PaymentSchedule3[[#This Row],[Beginning
Balance]]*(InterestRate/PaymentsPerYear),"")</f>
        <v>63.901916666666665</v>
      </c>
      <c r="J14" s="7">
        <f ca="1">IF(PaymentSchedule3[[#This Row],[Payment Number]]&lt;&gt;"",IF(PaymentSchedule3[[#This Row],[Scheduled Payment]]+PaymentSchedule3[[#This Row],[Extra
Payment]]&lt;=PaymentSchedule3[[#This Row],[Beginning
Balance]],PaymentSchedule3[[#This Row],[Beginning
Balance]]-PaymentSchedule3[[#This Row],[Principal]],0),"")</f>
        <v>2870.0540146113485</v>
      </c>
      <c r="K14" s="32">
        <f ca="1">IF(PaymentSchedule3[[#This Row],[Payment Number]]&lt;&gt;"",SUM(INDEX(PaymentSchedule3[Interest],1,1):PaymentSchedule3[[#This Row],[Interest]]),"")</f>
        <v>63.901916666666665</v>
      </c>
      <c r="L14" s="25"/>
      <c r="M14" s="24"/>
      <c r="N14" s="24"/>
      <c r="O14" s="24"/>
    </row>
    <row r="15" spans="1:15" ht="24" customHeight="1" x14ac:dyDescent="0.25">
      <c r="A15" s="25"/>
      <c r="B15" s="30">
        <f ca="1">IF(LoanIsGood,IF(ROW()-ROW(PaymentSchedule3[[#Headers],[Payment Number]])&gt;ScheduledNumberOfPayments,"",ROW()-ROW(PaymentSchedule3[[#Headers],[Payment Number]])),"")</f>
        <v>2</v>
      </c>
      <c r="C15" s="10">
        <f ca="1">IF(PaymentSchedule3[[#This Row],[Payment Number]]&lt;&gt;"",EOMONTH(LoanStartDate,ROW(PaymentSchedule3[[#This Row],[Payment Number]])-ROW(PaymentSchedule3[[#Headers],[Payment Number]])-2)+DAY(LoanStartDate),"")</f>
        <v>44810</v>
      </c>
      <c r="D15" s="7">
        <f ca="1">IF(PaymentSchedule3[[#This Row],[Payment Number]]&lt;&gt;"",IF(ROW()-ROW(PaymentSchedule3[[#Headers],[Beginning
Balance]])=1,LoanAmount,INDEX(PaymentSchedule3[Ending
Balance],ROW()-ROW(PaymentSchedule3[[#Headers],[Beginning
Balance]])-1)),"")</f>
        <v>2870.0540146113485</v>
      </c>
      <c r="E15" s="31">
        <f ca="1">IF(PaymentSchedule3[[#This Row],[Payment Number]]&lt;&gt;"",ScheduledPayment,"")</f>
        <v>118.84790205531803</v>
      </c>
      <c r="F1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1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15" s="7">
        <f ca="1">IF(PaymentSchedule3[[#This Row],[Payment Number]]&lt;&gt;"",PaymentSchedule3[[#This Row],[Total
Payment]]-PaymentSchedule3[[#This Row],[Interest]],"")</f>
        <v>81.67774867547854</v>
      </c>
      <c r="I15" s="32">
        <f ca="1">IF(PaymentSchedule3[[#This Row],[Payment Number]]&lt;&gt;"",PaymentSchedule3[[#This Row],[Beginning
Balance]]*(InterestRate/PaymentsPerYear),"")</f>
        <v>62.170153379839491</v>
      </c>
      <c r="J15" s="7">
        <f ca="1">IF(PaymentSchedule3[[#This Row],[Payment Number]]&lt;&gt;"",IF(PaymentSchedule3[[#This Row],[Scheduled Payment]]+PaymentSchedule3[[#This Row],[Extra
Payment]]&lt;=PaymentSchedule3[[#This Row],[Beginning
Balance]],PaymentSchedule3[[#This Row],[Beginning
Balance]]-PaymentSchedule3[[#This Row],[Principal]],0),"")</f>
        <v>2788.3762659358699</v>
      </c>
      <c r="K15" s="32">
        <f ca="1">IF(PaymentSchedule3[[#This Row],[Payment Number]]&lt;&gt;"",SUM(INDEX(PaymentSchedule3[Interest],1,1):PaymentSchedule3[[#This Row],[Interest]]),"")</f>
        <v>126.07207004650616</v>
      </c>
      <c r="L15" s="25"/>
      <c r="M15" s="24"/>
      <c r="N15" s="24"/>
      <c r="O15" s="24"/>
    </row>
    <row r="16" spans="1:15" ht="24" customHeight="1" x14ac:dyDescent="0.25">
      <c r="A16" s="24"/>
      <c r="B16" s="30">
        <f ca="1">IF(LoanIsGood,IF(ROW()-ROW(PaymentSchedule3[[#Headers],[Payment Number]])&gt;ScheduledNumberOfPayments,"",ROW()-ROW(PaymentSchedule3[[#Headers],[Payment Number]])),"")</f>
        <v>3</v>
      </c>
      <c r="C16" s="10">
        <f ca="1">IF(PaymentSchedule3[[#This Row],[Payment Number]]&lt;&gt;"",EOMONTH(LoanStartDate,ROW(PaymentSchedule3[[#This Row],[Payment Number]])-ROW(PaymentSchedule3[[#Headers],[Payment Number]])-2)+DAY(LoanStartDate),"")</f>
        <v>44840</v>
      </c>
      <c r="D16" s="7">
        <f ca="1">IF(PaymentSchedule3[[#This Row],[Payment Number]]&lt;&gt;"",IF(ROW()-ROW(PaymentSchedule3[[#Headers],[Beginning
Balance]])=1,LoanAmount,INDEX(PaymentSchedule3[Ending
Balance],ROW()-ROW(PaymentSchedule3[[#Headers],[Beginning
Balance]])-1)),"")</f>
        <v>2788.3762659358699</v>
      </c>
      <c r="E16" s="31">
        <f ca="1">IF(PaymentSchedule3[[#This Row],[Payment Number]]&lt;&gt;"",ScheduledPayment,"")</f>
        <v>118.84790205531803</v>
      </c>
      <c r="F1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1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16" s="7">
        <f ca="1">IF(PaymentSchedule3[[#This Row],[Payment Number]]&lt;&gt;"",PaymentSchedule3[[#This Row],[Total
Payment]]-PaymentSchedule3[[#This Row],[Interest]],"")</f>
        <v>83.447024841370535</v>
      </c>
      <c r="I16" s="32">
        <f ca="1">IF(PaymentSchedule3[[#This Row],[Payment Number]]&lt;&gt;"",PaymentSchedule3[[#This Row],[Beginning
Balance]]*(InterestRate/PaymentsPerYear),"")</f>
        <v>60.400877213947503</v>
      </c>
      <c r="J16" s="7">
        <f ca="1">IF(PaymentSchedule3[[#This Row],[Payment Number]]&lt;&gt;"",IF(PaymentSchedule3[[#This Row],[Scheduled Payment]]+PaymentSchedule3[[#This Row],[Extra
Payment]]&lt;=PaymentSchedule3[[#This Row],[Beginning
Balance]],PaymentSchedule3[[#This Row],[Beginning
Balance]]-PaymentSchedule3[[#This Row],[Principal]],0),"")</f>
        <v>2704.9292410944995</v>
      </c>
      <c r="K16" s="32">
        <f ca="1">IF(PaymentSchedule3[[#This Row],[Payment Number]]&lt;&gt;"",SUM(INDEX(PaymentSchedule3[Interest],1,1):PaymentSchedule3[[#This Row],[Interest]]),"")</f>
        <v>186.47294726045365</v>
      </c>
      <c r="L16" s="25"/>
      <c r="M16" s="24"/>
      <c r="N16" s="24"/>
      <c r="O16" s="24"/>
    </row>
    <row r="17" spans="1:15" ht="24" customHeight="1" x14ac:dyDescent="0.25">
      <c r="A17" s="24"/>
      <c r="B17" s="30">
        <f ca="1">IF(LoanIsGood,IF(ROW()-ROW(PaymentSchedule3[[#Headers],[Payment Number]])&gt;ScheduledNumberOfPayments,"",ROW()-ROW(PaymentSchedule3[[#Headers],[Payment Number]])),"")</f>
        <v>4</v>
      </c>
      <c r="C17" s="10">
        <f ca="1">IF(PaymentSchedule3[[#This Row],[Payment Number]]&lt;&gt;"",EOMONTH(LoanStartDate,ROW(PaymentSchedule3[[#This Row],[Payment Number]])-ROW(PaymentSchedule3[[#Headers],[Payment Number]])-2)+DAY(LoanStartDate),"")</f>
        <v>44871</v>
      </c>
      <c r="D17" s="7">
        <f ca="1">IF(PaymentSchedule3[[#This Row],[Payment Number]]&lt;&gt;"",IF(ROW()-ROW(PaymentSchedule3[[#Headers],[Beginning
Balance]])=1,LoanAmount,INDEX(PaymentSchedule3[Ending
Balance],ROW()-ROW(PaymentSchedule3[[#Headers],[Beginning
Balance]])-1)),"")</f>
        <v>2704.9292410944995</v>
      </c>
      <c r="E17" s="31">
        <f ca="1">IF(PaymentSchedule3[[#This Row],[Payment Number]]&lt;&gt;"",ScheduledPayment,"")</f>
        <v>118.84790205531803</v>
      </c>
      <c r="F1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1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17" s="7">
        <f ca="1">IF(PaymentSchedule3[[#This Row],[Payment Number]]&lt;&gt;"",PaymentSchedule3[[#This Row],[Total
Payment]]-PaymentSchedule3[[#This Row],[Interest]],"")</f>
        <v>85.254626477809353</v>
      </c>
      <c r="I17" s="32">
        <f ca="1">IF(PaymentSchedule3[[#This Row],[Payment Number]]&lt;&gt;"",PaymentSchedule3[[#This Row],[Beginning
Balance]]*(InterestRate/PaymentsPerYear),"")</f>
        <v>58.593275577508685</v>
      </c>
      <c r="J17" s="7">
        <f ca="1">IF(PaymentSchedule3[[#This Row],[Payment Number]]&lt;&gt;"",IF(PaymentSchedule3[[#This Row],[Scheduled Payment]]+PaymentSchedule3[[#This Row],[Extra
Payment]]&lt;=PaymentSchedule3[[#This Row],[Beginning
Balance]],PaymentSchedule3[[#This Row],[Beginning
Balance]]-PaymentSchedule3[[#This Row],[Principal]],0),"")</f>
        <v>2619.6746146166902</v>
      </c>
      <c r="K17" s="32">
        <f ca="1">IF(PaymentSchedule3[[#This Row],[Payment Number]]&lt;&gt;"",SUM(INDEX(PaymentSchedule3[Interest],1,1):PaymentSchedule3[[#This Row],[Interest]]),"")</f>
        <v>245.06622283796233</v>
      </c>
      <c r="L17" s="24"/>
      <c r="M17" s="24"/>
      <c r="N17" s="24"/>
      <c r="O17" s="24"/>
    </row>
    <row r="18" spans="1:15" ht="24" customHeight="1" x14ac:dyDescent="0.25">
      <c r="A18" s="24"/>
      <c r="B18" s="30">
        <f ca="1">IF(LoanIsGood,IF(ROW()-ROW(PaymentSchedule3[[#Headers],[Payment Number]])&gt;ScheduledNumberOfPayments,"",ROW()-ROW(PaymentSchedule3[[#Headers],[Payment Number]])),"")</f>
        <v>5</v>
      </c>
      <c r="C18" s="10">
        <f ca="1">IF(PaymentSchedule3[[#This Row],[Payment Number]]&lt;&gt;"",EOMONTH(LoanStartDate,ROW(PaymentSchedule3[[#This Row],[Payment Number]])-ROW(PaymentSchedule3[[#Headers],[Payment Number]])-2)+DAY(LoanStartDate),"")</f>
        <v>44901</v>
      </c>
      <c r="D18" s="7">
        <f ca="1">IF(PaymentSchedule3[[#This Row],[Payment Number]]&lt;&gt;"",IF(ROW()-ROW(PaymentSchedule3[[#Headers],[Beginning
Balance]])=1,LoanAmount,INDEX(PaymentSchedule3[Ending
Balance],ROW()-ROW(PaymentSchedule3[[#Headers],[Beginning
Balance]])-1)),"")</f>
        <v>2619.6746146166902</v>
      </c>
      <c r="E18" s="31">
        <f ca="1">IF(PaymentSchedule3[[#This Row],[Payment Number]]&lt;&gt;"",ScheduledPayment,"")</f>
        <v>118.84790205531803</v>
      </c>
      <c r="F1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1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18" s="7">
        <f ca="1">IF(PaymentSchedule3[[#This Row],[Payment Number]]&lt;&gt;"",PaymentSchedule3[[#This Row],[Total
Payment]]-PaymentSchedule3[[#This Row],[Interest]],"")</f>
        <v>87.10138377836283</v>
      </c>
      <c r="I18" s="32">
        <f ca="1">IF(PaymentSchedule3[[#This Row],[Payment Number]]&lt;&gt;"",PaymentSchedule3[[#This Row],[Beginning
Balance]]*(InterestRate/PaymentsPerYear),"")</f>
        <v>56.7465182769552</v>
      </c>
      <c r="J18" s="7">
        <f ca="1">IF(PaymentSchedule3[[#This Row],[Payment Number]]&lt;&gt;"",IF(PaymentSchedule3[[#This Row],[Scheduled Payment]]+PaymentSchedule3[[#This Row],[Extra
Payment]]&lt;=PaymentSchedule3[[#This Row],[Beginning
Balance]],PaymentSchedule3[[#This Row],[Beginning
Balance]]-PaymentSchedule3[[#This Row],[Principal]],0),"")</f>
        <v>2532.5732308383272</v>
      </c>
      <c r="K18" s="32">
        <f ca="1">IF(PaymentSchedule3[[#This Row],[Payment Number]]&lt;&gt;"",SUM(INDEX(PaymentSchedule3[Interest],1,1):PaymentSchedule3[[#This Row],[Interest]]),"")</f>
        <v>301.81274111491751</v>
      </c>
      <c r="L18" s="24"/>
      <c r="M18" s="24"/>
      <c r="N18" s="24"/>
      <c r="O18" s="24"/>
    </row>
    <row r="19" spans="1:15" ht="24" customHeight="1" x14ac:dyDescent="0.25">
      <c r="A19" s="24"/>
      <c r="B19" s="30">
        <f ca="1">IF(LoanIsGood,IF(ROW()-ROW(PaymentSchedule3[[#Headers],[Payment Number]])&gt;ScheduledNumberOfPayments,"",ROW()-ROW(PaymentSchedule3[[#Headers],[Payment Number]])),"")</f>
        <v>6</v>
      </c>
      <c r="C19" s="10">
        <f ca="1">IF(PaymentSchedule3[[#This Row],[Payment Number]]&lt;&gt;"",EOMONTH(LoanStartDate,ROW(PaymentSchedule3[[#This Row],[Payment Number]])-ROW(PaymentSchedule3[[#Headers],[Payment Number]])-2)+DAY(LoanStartDate),"")</f>
        <v>44932</v>
      </c>
      <c r="D19" s="7">
        <f ca="1">IF(PaymentSchedule3[[#This Row],[Payment Number]]&lt;&gt;"",IF(ROW()-ROW(PaymentSchedule3[[#Headers],[Beginning
Balance]])=1,LoanAmount,INDEX(PaymentSchedule3[Ending
Balance],ROW()-ROW(PaymentSchedule3[[#Headers],[Beginning
Balance]])-1)),"")</f>
        <v>2532.5732308383272</v>
      </c>
      <c r="E19" s="31">
        <f ca="1">IF(PaymentSchedule3[[#This Row],[Payment Number]]&lt;&gt;"",ScheduledPayment,"")</f>
        <v>118.84790205531803</v>
      </c>
      <c r="F1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1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19" s="7">
        <f ca="1">IF(PaymentSchedule3[[#This Row],[Payment Number]]&lt;&gt;"",PaymentSchedule3[[#This Row],[Total
Payment]]-PaymentSchedule3[[#This Row],[Interest]],"")</f>
        <v>88.988144919975127</v>
      </c>
      <c r="I19" s="32">
        <f ca="1">IF(PaymentSchedule3[[#This Row],[Payment Number]]&lt;&gt;"",PaymentSchedule3[[#This Row],[Beginning
Balance]]*(InterestRate/PaymentsPerYear),"")</f>
        <v>54.859757135342896</v>
      </c>
      <c r="J19" s="7">
        <f ca="1">IF(PaymentSchedule3[[#This Row],[Payment Number]]&lt;&gt;"",IF(PaymentSchedule3[[#This Row],[Scheduled Payment]]+PaymentSchedule3[[#This Row],[Extra
Payment]]&lt;=PaymentSchedule3[[#This Row],[Beginning
Balance]],PaymentSchedule3[[#This Row],[Beginning
Balance]]-PaymentSchedule3[[#This Row],[Principal]],0),"")</f>
        <v>2443.585085918352</v>
      </c>
      <c r="K19" s="32">
        <f ca="1">IF(PaymentSchedule3[[#This Row],[Payment Number]]&lt;&gt;"",SUM(INDEX(PaymentSchedule3[Interest],1,1):PaymentSchedule3[[#This Row],[Interest]]),"")</f>
        <v>356.67249825026039</v>
      </c>
      <c r="L19" s="25"/>
      <c r="M19" s="24"/>
      <c r="N19" s="24"/>
      <c r="O19" s="24"/>
    </row>
    <row r="20" spans="1:15" ht="24" customHeight="1" x14ac:dyDescent="0.25">
      <c r="A20" s="24"/>
      <c r="B20" s="30">
        <f ca="1">IF(LoanIsGood,IF(ROW()-ROW(PaymentSchedule3[[#Headers],[Payment Number]])&gt;ScheduledNumberOfPayments,"",ROW()-ROW(PaymentSchedule3[[#Headers],[Payment Number]])),"")</f>
        <v>7</v>
      </c>
      <c r="C20" s="10">
        <f ca="1">IF(PaymentSchedule3[[#This Row],[Payment Number]]&lt;&gt;"",EOMONTH(LoanStartDate,ROW(PaymentSchedule3[[#This Row],[Payment Number]])-ROW(PaymentSchedule3[[#Headers],[Payment Number]])-2)+DAY(LoanStartDate),"")</f>
        <v>44963</v>
      </c>
      <c r="D20" s="7">
        <f ca="1">IF(PaymentSchedule3[[#This Row],[Payment Number]]&lt;&gt;"",IF(ROW()-ROW(PaymentSchedule3[[#Headers],[Beginning
Balance]])=1,LoanAmount,INDEX(PaymentSchedule3[Ending
Balance],ROW()-ROW(PaymentSchedule3[[#Headers],[Beginning
Balance]])-1)),"")</f>
        <v>2443.585085918352</v>
      </c>
      <c r="E20" s="31">
        <f ca="1">IF(PaymentSchedule3[[#This Row],[Payment Number]]&lt;&gt;"",ScheduledPayment,"")</f>
        <v>118.84790205531803</v>
      </c>
      <c r="F2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0" s="7">
        <f ca="1">IF(PaymentSchedule3[[#This Row],[Payment Number]]&lt;&gt;"",PaymentSchedule3[[#This Row],[Total
Payment]]-PaymentSchedule3[[#This Row],[Interest]],"")</f>
        <v>90.915776452516667</v>
      </c>
      <c r="I20" s="32">
        <f ca="1">IF(PaymentSchedule3[[#This Row],[Payment Number]]&lt;&gt;"",PaymentSchedule3[[#This Row],[Beginning
Balance]]*(InterestRate/PaymentsPerYear),"")</f>
        <v>52.932125602801364</v>
      </c>
      <c r="J20" s="7">
        <f ca="1">IF(PaymentSchedule3[[#This Row],[Payment Number]]&lt;&gt;"",IF(PaymentSchedule3[[#This Row],[Scheduled Payment]]+PaymentSchedule3[[#This Row],[Extra
Payment]]&lt;=PaymentSchedule3[[#This Row],[Beginning
Balance]],PaymentSchedule3[[#This Row],[Beginning
Balance]]-PaymentSchedule3[[#This Row],[Principal]],0),"")</f>
        <v>2352.6693094658353</v>
      </c>
      <c r="K20" s="32">
        <f ca="1">IF(PaymentSchedule3[[#This Row],[Payment Number]]&lt;&gt;"",SUM(INDEX(PaymentSchedule3[Interest],1,1):PaymentSchedule3[[#This Row],[Interest]]),"")</f>
        <v>409.60462385306175</v>
      </c>
      <c r="L20" s="25"/>
      <c r="M20" s="24"/>
      <c r="N20" s="24"/>
      <c r="O20" s="24"/>
    </row>
    <row r="21" spans="1:15" ht="24" customHeight="1" x14ac:dyDescent="0.25">
      <c r="A21" s="24"/>
      <c r="B21" s="30">
        <f ca="1">IF(LoanIsGood,IF(ROW()-ROW(PaymentSchedule3[[#Headers],[Payment Number]])&gt;ScheduledNumberOfPayments,"",ROW()-ROW(PaymentSchedule3[[#Headers],[Payment Number]])),"")</f>
        <v>8</v>
      </c>
      <c r="C21" s="10">
        <f ca="1">IF(PaymentSchedule3[[#This Row],[Payment Number]]&lt;&gt;"",EOMONTH(LoanStartDate,ROW(PaymentSchedule3[[#This Row],[Payment Number]])-ROW(PaymentSchedule3[[#Headers],[Payment Number]])-2)+DAY(LoanStartDate),"")</f>
        <v>44991</v>
      </c>
      <c r="D21" s="7">
        <f ca="1">IF(PaymentSchedule3[[#This Row],[Payment Number]]&lt;&gt;"",IF(ROW()-ROW(PaymentSchedule3[[#Headers],[Beginning
Balance]])=1,LoanAmount,INDEX(PaymentSchedule3[Ending
Balance],ROW()-ROW(PaymentSchedule3[[#Headers],[Beginning
Balance]])-1)),"")</f>
        <v>2352.6693094658353</v>
      </c>
      <c r="E21" s="31">
        <f ca="1">IF(PaymentSchedule3[[#This Row],[Payment Number]]&lt;&gt;"",ScheduledPayment,"")</f>
        <v>118.84790205531803</v>
      </c>
      <c r="F2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1" s="7">
        <f ca="1">IF(PaymentSchedule3[[#This Row],[Payment Number]]&lt;&gt;"",PaymentSchedule3[[#This Row],[Total
Payment]]-PaymentSchedule3[[#This Row],[Interest]],"")</f>
        <v>92.885163696772253</v>
      </c>
      <c r="I21" s="32">
        <f ca="1">IF(PaymentSchedule3[[#This Row],[Payment Number]]&lt;&gt;"",PaymentSchedule3[[#This Row],[Beginning
Balance]]*(InterestRate/PaymentsPerYear),"")</f>
        <v>50.962738358545771</v>
      </c>
      <c r="J21" s="7">
        <f ca="1">IF(PaymentSchedule3[[#This Row],[Payment Number]]&lt;&gt;"",IF(PaymentSchedule3[[#This Row],[Scheduled Payment]]+PaymentSchedule3[[#This Row],[Extra
Payment]]&lt;=PaymentSchedule3[[#This Row],[Beginning
Balance]],PaymentSchedule3[[#This Row],[Beginning
Balance]]-PaymentSchedule3[[#This Row],[Principal]],0),"")</f>
        <v>2259.7841457690629</v>
      </c>
      <c r="K21" s="32">
        <f ca="1">IF(PaymentSchedule3[[#This Row],[Payment Number]]&lt;&gt;"",SUM(INDEX(PaymentSchedule3[Interest],1,1):PaymentSchedule3[[#This Row],[Interest]]),"")</f>
        <v>460.56736221160753</v>
      </c>
      <c r="L21" s="25"/>
      <c r="M21" s="24"/>
      <c r="N21" s="24"/>
      <c r="O21" s="24"/>
    </row>
    <row r="22" spans="1:15" ht="24" customHeight="1" x14ac:dyDescent="0.25">
      <c r="A22" s="24"/>
      <c r="B22" s="30">
        <f ca="1">IF(LoanIsGood,IF(ROW()-ROW(PaymentSchedule3[[#Headers],[Payment Number]])&gt;ScheduledNumberOfPayments,"",ROW()-ROW(PaymentSchedule3[[#Headers],[Payment Number]])),"")</f>
        <v>9</v>
      </c>
      <c r="C22" s="10">
        <f ca="1">IF(PaymentSchedule3[[#This Row],[Payment Number]]&lt;&gt;"",EOMONTH(LoanStartDate,ROW(PaymentSchedule3[[#This Row],[Payment Number]])-ROW(PaymentSchedule3[[#Headers],[Payment Number]])-2)+DAY(LoanStartDate),"")</f>
        <v>45022</v>
      </c>
      <c r="D22" s="7">
        <f ca="1">IF(PaymentSchedule3[[#This Row],[Payment Number]]&lt;&gt;"",IF(ROW()-ROW(PaymentSchedule3[[#Headers],[Beginning
Balance]])=1,LoanAmount,INDEX(PaymentSchedule3[Ending
Balance],ROW()-ROW(PaymentSchedule3[[#Headers],[Beginning
Balance]])-1)),"")</f>
        <v>2259.7841457690629</v>
      </c>
      <c r="E22" s="31">
        <f ca="1">IF(PaymentSchedule3[[#This Row],[Payment Number]]&lt;&gt;"",ScheduledPayment,"")</f>
        <v>118.84790205531803</v>
      </c>
      <c r="F2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2" s="7">
        <f ca="1">IF(PaymentSchedule3[[#This Row],[Payment Number]]&lt;&gt;"",PaymentSchedule3[[#This Row],[Total
Payment]]-PaymentSchedule3[[#This Row],[Interest]],"")</f>
        <v>94.897211151050513</v>
      </c>
      <c r="I22" s="32">
        <f ca="1">IF(PaymentSchedule3[[#This Row],[Payment Number]]&lt;&gt;"",PaymentSchedule3[[#This Row],[Beginning
Balance]]*(InterestRate/PaymentsPerYear),"")</f>
        <v>48.950690904267518</v>
      </c>
      <c r="J22" s="7">
        <f ca="1">IF(PaymentSchedule3[[#This Row],[Payment Number]]&lt;&gt;"",IF(PaymentSchedule3[[#This Row],[Scheduled Payment]]+PaymentSchedule3[[#This Row],[Extra
Payment]]&lt;=PaymentSchedule3[[#This Row],[Beginning
Balance]],PaymentSchedule3[[#This Row],[Beginning
Balance]]-PaymentSchedule3[[#This Row],[Principal]],0),"")</f>
        <v>2164.8869346180122</v>
      </c>
      <c r="K22" s="32">
        <f ca="1">IF(PaymentSchedule3[[#This Row],[Payment Number]]&lt;&gt;"",SUM(INDEX(PaymentSchedule3[Interest],1,1):PaymentSchedule3[[#This Row],[Interest]]),"")</f>
        <v>509.51805311587503</v>
      </c>
      <c r="L22" s="24"/>
      <c r="M22" s="24"/>
      <c r="N22" s="24"/>
      <c r="O22" s="24"/>
    </row>
    <row r="23" spans="1:15" ht="24" customHeight="1" x14ac:dyDescent="0.25">
      <c r="A23" s="25"/>
      <c r="B23" s="30">
        <f ca="1">IF(LoanIsGood,IF(ROW()-ROW(PaymentSchedule3[[#Headers],[Payment Number]])&gt;ScheduledNumberOfPayments,"",ROW()-ROW(PaymentSchedule3[[#Headers],[Payment Number]])),"")</f>
        <v>10</v>
      </c>
      <c r="C23" s="10">
        <f ca="1">IF(PaymentSchedule3[[#This Row],[Payment Number]]&lt;&gt;"",EOMONTH(LoanStartDate,ROW(PaymentSchedule3[[#This Row],[Payment Number]])-ROW(PaymentSchedule3[[#Headers],[Payment Number]])-2)+DAY(LoanStartDate),"")</f>
        <v>45052</v>
      </c>
      <c r="D23" s="7">
        <f ca="1">IF(PaymentSchedule3[[#This Row],[Payment Number]]&lt;&gt;"",IF(ROW()-ROW(PaymentSchedule3[[#Headers],[Beginning
Balance]])=1,LoanAmount,INDEX(PaymentSchedule3[Ending
Balance],ROW()-ROW(PaymentSchedule3[[#Headers],[Beginning
Balance]])-1)),"")</f>
        <v>2164.8869346180122</v>
      </c>
      <c r="E23" s="31">
        <f ca="1">IF(PaymentSchedule3[[#This Row],[Payment Number]]&lt;&gt;"",ScheduledPayment,"")</f>
        <v>118.84790205531803</v>
      </c>
      <c r="F2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3" s="7">
        <f ca="1">IF(PaymentSchedule3[[#This Row],[Payment Number]]&lt;&gt;"",PaymentSchedule3[[#This Row],[Total
Payment]]-PaymentSchedule3[[#This Row],[Interest]],"")</f>
        <v>96.952842906600864</v>
      </c>
      <c r="I23" s="32">
        <f ca="1">IF(PaymentSchedule3[[#This Row],[Payment Number]]&lt;&gt;"",PaymentSchedule3[[#This Row],[Beginning
Balance]]*(InterestRate/PaymentsPerYear),"")</f>
        <v>46.895059148717174</v>
      </c>
      <c r="J23" s="7">
        <f ca="1">IF(PaymentSchedule3[[#This Row],[Payment Number]]&lt;&gt;"",IF(PaymentSchedule3[[#This Row],[Scheduled Payment]]+PaymentSchedule3[[#This Row],[Extra
Payment]]&lt;=PaymentSchedule3[[#This Row],[Beginning
Balance]],PaymentSchedule3[[#This Row],[Beginning
Balance]]-PaymentSchedule3[[#This Row],[Principal]],0),"")</f>
        <v>2067.9340917114114</v>
      </c>
      <c r="K23" s="32">
        <f ca="1">IF(PaymentSchedule3[[#This Row],[Payment Number]]&lt;&gt;"",SUM(INDEX(PaymentSchedule3[Interest],1,1):PaymentSchedule3[[#This Row],[Interest]]),"")</f>
        <v>556.4131122645922</v>
      </c>
      <c r="L23" s="25"/>
      <c r="M23" s="24"/>
      <c r="N23" s="24"/>
      <c r="O23" s="24"/>
    </row>
    <row r="24" spans="1:15" x14ac:dyDescent="0.25">
      <c r="B24" s="33">
        <f ca="1">IF(LoanIsGood,IF(ROW()-ROW(PaymentSchedule3[[#Headers],[Payment Number]])&gt;ScheduledNumberOfPayments,"",ROW()-ROW(PaymentSchedule3[[#Headers],[Payment Number]])),"")</f>
        <v>11</v>
      </c>
      <c r="C24" s="34">
        <f ca="1">IF(PaymentSchedule3[[#This Row],[Payment Number]]&lt;&gt;"",EOMONTH(LoanStartDate,ROW(PaymentSchedule3[[#This Row],[Payment Number]])-ROW(PaymentSchedule3[[#Headers],[Payment Number]])-2)+DAY(LoanStartDate),"")</f>
        <v>45083</v>
      </c>
      <c r="D24" s="35">
        <f ca="1">IF(PaymentSchedule3[[#This Row],[Payment Number]]&lt;&gt;"",IF(ROW()-ROW(PaymentSchedule3[[#Headers],[Beginning
Balance]])=1,LoanAmount,INDEX(PaymentSchedule3[Ending
Balance],ROW()-ROW(PaymentSchedule3[[#Headers],[Beginning
Balance]])-1)),"")</f>
        <v>2067.9340917114114</v>
      </c>
      <c r="E24" s="35">
        <f ca="1">IF(PaymentSchedule3[[#This Row],[Payment Number]]&lt;&gt;"",ScheduledPayment,"")</f>
        <v>118.84790205531803</v>
      </c>
      <c r="F24"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4"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4" s="35">
        <f ca="1">IF(PaymentSchedule3[[#This Row],[Payment Number]]&lt;&gt;"",PaymentSchedule3[[#This Row],[Total
Payment]]-PaymentSchedule3[[#This Row],[Interest]],"")</f>
        <v>99.053003072029341</v>
      </c>
      <c r="I24" s="35">
        <f ca="1">IF(PaymentSchedule3[[#This Row],[Payment Number]]&lt;&gt;"",PaymentSchedule3[[#This Row],[Beginning
Balance]]*(InterestRate/PaymentsPerYear),"")</f>
        <v>44.794898983288689</v>
      </c>
      <c r="J24" s="35">
        <f ca="1">IF(PaymentSchedule3[[#This Row],[Payment Number]]&lt;&gt;"",IF(PaymentSchedule3[[#This Row],[Scheduled Payment]]+PaymentSchedule3[[#This Row],[Extra
Payment]]&lt;=PaymentSchedule3[[#This Row],[Beginning
Balance]],PaymentSchedule3[[#This Row],[Beginning
Balance]]-PaymentSchedule3[[#This Row],[Principal]],0),"")</f>
        <v>1968.8810886393821</v>
      </c>
      <c r="K24" s="35">
        <f ca="1">IF(PaymentSchedule3[[#This Row],[Payment Number]]&lt;&gt;"",SUM(INDEX(PaymentSchedule3[Interest],1,1):PaymentSchedule3[[#This Row],[Interest]]),"")</f>
        <v>601.2080112478809</v>
      </c>
    </row>
    <row r="25" spans="1:15" x14ac:dyDescent="0.25">
      <c r="B25" s="33">
        <f ca="1">IF(LoanIsGood,IF(ROW()-ROW(PaymentSchedule3[[#Headers],[Payment Number]])&gt;ScheduledNumberOfPayments,"",ROW()-ROW(PaymentSchedule3[[#Headers],[Payment Number]])),"")</f>
        <v>12</v>
      </c>
      <c r="C25" s="34">
        <f ca="1">IF(PaymentSchedule3[[#This Row],[Payment Number]]&lt;&gt;"",EOMONTH(LoanStartDate,ROW(PaymentSchedule3[[#This Row],[Payment Number]])-ROW(PaymentSchedule3[[#Headers],[Payment Number]])-2)+DAY(LoanStartDate),"")</f>
        <v>45113</v>
      </c>
      <c r="D25" s="35">
        <f ca="1">IF(PaymentSchedule3[[#This Row],[Payment Number]]&lt;&gt;"",IF(ROW()-ROW(PaymentSchedule3[[#Headers],[Beginning
Balance]])=1,LoanAmount,INDEX(PaymentSchedule3[Ending
Balance],ROW()-ROW(PaymentSchedule3[[#Headers],[Beginning
Balance]])-1)),"")</f>
        <v>1968.8810886393821</v>
      </c>
      <c r="E25" s="35">
        <f ca="1">IF(PaymentSchedule3[[#This Row],[Payment Number]]&lt;&gt;"",ScheduledPayment,"")</f>
        <v>118.84790205531803</v>
      </c>
      <c r="F25"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5"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5" s="35">
        <f ca="1">IF(PaymentSchedule3[[#This Row],[Payment Number]]&lt;&gt;"",PaymentSchedule3[[#This Row],[Total
Payment]]-PaymentSchedule3[[#This Row],[Interest]],"")</f>
        <v>101.19865620690794</v>
      </c>
      <c r="I25" s="35">
        <f ca="1">IF(PaymentSchedule3[[#This Row],[Payment Number]]&lt;&gt;"",PaymentSchedule3[[#This Row],[Beginning
Balance]]*(InterestRate/PaymentsPerYear),"")</f>
        <v>42.649245848410082</v>
      </c>
      <c r="J25" s="35">
        <f ca="1">IF(PaymentSchedule3[[#This Row],[Payment Number]]&lt;&gt;"",IF(PaymentSchedule3[[#This Row],[Scheduled Payment]]+PaymentSchedule3[[#This Row],[Extra
Payment]]&lt;=PaymentSchedule3[[#This Row],[Beginning
Balance]],PaymentSchedule3[[#This Row],[Beginning
Balance]]-PaymentSchedule3[[#This Row],[Principal]],0),"")</f>
        <v>1867.6824324324741</v>
      </c>
      <c r="K25" s="35">
        <f ca="1">IF(PaymentSchedule3[[#This Row],[Payment Number]]&lt;&gt;"",SUM(INDEX(PaymentSchedule3[Interest],1,1):PaymentSchedule3[[#This Row],[Interest]]),"")</f>
        <v>643.85725709629094</v>
      </c>
    </row>
    <row r="26" spans="1:15" x14ac:dyDescent="0.25">
      <c r="B26" s="33">
        <f ca="1">IF(LoanIsGood,IF(ROW()-ROW(PaymentSchedule3[[#Headers],[Payment Number]])&gt;ScheduledNumberOfPayments,"",ROW()-ROW(PaymentSchedule3[[#Headers],[Payment Number]])),"")</f>
        <v>13</v>
      </c>
      <c r="C26" s="34">
        <f ca="1">IF(PaymentSchedule3[[#This Row],[Payment Number]]&lt;&gt;"",EOMONTH(LoanStartDate,ROW(PaymentSchedule3[[#This Row],[Payment Number]])-ROW(PaymentSchedule3[[#Headers],[Payment Number]])-2)+DAY(LoanStartDate),"")</f>
        <v>45144</v>
      </c>
      <c r="D26" s="35">
        <f ca="1">IF(PaymentSchedule3[[#This Row],[Payment Number]]&lt;&gt;"",IF(ROW()-ROW(PaymentSchedule3[[#Headers],[Beginning
Balance]])=1,LoanAmount,INDEX(PaymentSchedule3[Ending
Balance],ROW()-ROW(PaymentSchedule3[[#Headers],[Beginning
Balance]])-1)),"")</f>
        <v>1867.6824324324741</v>
      </c>
      <c r="E26" s="35">
        <f ca="1">IF(PaymentSchedule3[[#This Row],[Payment Number]]&lt;&gt;"",ScheduledPayment,"")</f>
        <v>118.84790205531803</v>
      </c>
      <c r="F26"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6"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6" s="35">
        <f ca="1">IF(PaymentSchedule3[[#This Row],[Payment Number]]&lt;&gt;"",PaymentSchedule3[[#This Row],[Total
Payment]]-PaymentSchedule3[[#This Row],[Interest]],"")</f>
        <v>103.39078776477659</v>
      </c>
      <c r="I26" s="35">
        <f ca="1">IF(PaymentSchedule3[[#This Row],[Payment Number]]&lt;&gt;"",PaymentSchedule3[[#This Row],[Beginning
Balance]]*(InterestRate/PaymentsPerYear),"")</f>
        <v>40.45711429054144</v>
      </c>
      <c r="J26" s="35">
        <f ca="1">IF(PaymentSchedule3[[#This Row],[Payment Number]]&lt;&gt;"",IF(PaymentSchedule3[[#This Row],[Scheduled Payment]]+PaymentSchedule3[[#This Row],[Extra
Payment]]&lt;=PaymentSchedule3[[#This Row],[Beginning
Balance]],PaymentSchedule3[[#This Row],[Beginning
Balance]]-PaymentSchedule3[[#This Row],[Principal]],0),"")</f>
        <v>1764.2916446676975</v>
      </c>
      <c r="K26" s="35">
        <f ca="1">IF(PaymentSchedule3[[#This Row],[Payment Number]]&lt;&gt;"",SUM(INDEX(PaymentSchedule3[Interest],1,1):PaymentSchedule3[[#This Row],[Interest]]),"")</f>
        <v>684.31437138683236</v>
      </c>
    </row>
    <row r="27" spans="1:15" x14ac:dyDescent="0.25">
      <c r="B27" s="33">
        <f ca="1">IF(LoanIsGood,IF(ROW()-ROW(PaymentSchedule3[[#Headers],[Payment Number]])&gt;ScheduledNumberOfPayments,"",ROW()-ROW(PaymentSchedule3[[#Headers],[Payment Number]])),"")</f>
        <v>14</v>
      </c>
      <c r="C27" s="34">
        <f ca="1">IF(PaymentSchedule3[[#This Row],[Payment Number]]&lt;&gt;"",EOMONTH(LoanStartDate,ROW(PaymentSchedule3[[#This Row],[Payment Number]])-ROW(PaymentSchedule3[[#Headers],[Payment Number]])-2)+DAY(LoanStartDate),"")</f>
        <v>45175</v>
      </c>
      <c r="D27" s="35">
        <f ca="1">IF(PaymentSchedule3[[#This Row],[Payment Number]]&lt;&gt;"",IF(ROW()-ROW(PaymentSchedule3[[#Headers],[Beginning
Balance]])=1,LoanAmount,INDEX(PaymentSchedule3[Ending
Balance],ROW()-ROW(PaymentSchedule3[[#Headers],[Beginning
Balance]])-1)),"")</f>
        <v>1764.2916446676975</v>
      </c>
      <c r="E27" s="35">
        <f ca="1">IF(PaymentSchedule3[[#This Row],[Payment Number]]&lt;&gt;"",ScheduledPayment,"")</f>
        <v>118.84790205531803</v>
      </c>
      <c r="F27"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7"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7" s="35">
        <f ca="1">IF(PaymentSchedule3[[#This Row],[Payment Number]]&lt;&gt;"",PaymentSchedule3[[#This Row],[Total
Payment]]-PaymentSchedule3[[#This Row],[Interest]],"")</f>
        <v>105.63040454574126</v>
      </c>
      <c r="I27" s="35">
        <f ca="1">IF(PaymentSchedule3[[#This Row],[Payment Number]]&lt;&gt;"",PaymentSchedule3[[#This Row],[Beginning
Balance]]*(InterestRate/PaymentsPerYear),"")</f>
        <v>38.217497509576773</v>
      </c>
      <c r="J27" s="35">
        <f ca="1">IF(PaymentSchedule3[[#This Row],[Payment Number]]&lt;&gt;"",IF(PaymentSchedule3[[#This Row],[Scheduled Payment]]+PaymentSchedule3[[#This Row],[Extra
Payment]]&lt;=PaymentSchedule3[[#This Row],[Beginning
Balance]],PaymentSchedule3[[#This Row],[Beginning
Balance]]-PaymentSchedule3[[#This Row],[Principal]],0),"")</f>
        <v>1658.6612401219563</v>
      </c>
      <c r="K27" s="35">
        <f ca="1">IF(PaymentSchedule3[[#This Row],[Payment Number]]&lt;&gt;"",SUM(INDEX(PaymentSchedule3[Interest],1,1):PaymentSchedule3[[#This Row],[Interest]]),"")</f>
        <v>722.53186889640915</v>
      </c>
    </row>
    <row r="28" spans="1:15" x14ac:dyDescent="0.25">
      <c r="B28" s="33">
        <f ca="1">IF(LoanIsGood,IF(ROW()-ROW(PaymentSchedule3[[#Headers],[Payment Number]])&gt;ScheduledNumberOfPayments,"",ROW()-ROW(PaymentSchedule3[[#Headers],[Payment Number]])),"")</f>
        <v>15</v>
      </c>
      <c r="C28" s="34">
        <f ca="1">IF(PaymentSchedule3[[#This Row],[Payment Number]]&lt;&gt;"",EOMONTH(LoanStartDate,ROW(PaymentSchedule3[[#This Row],[Payment Number]])-ROW(PaymentSchedule3[[#Headers],[Payment Number]])-2)+DAY(LoanStartDate),"")</f>
        <v>45205</v>
      </c>
      <c r="D28" s="35">
        <f ca="1">IF(PaymentSchedule3[[#This Row],[Payment Number]]&lt;&gt;"",IF(ROW()-ROW(PaymentSchedule3[[#Headers],[Beginning
Balance]])=1,LoanAmount,INDEX(PaymentSchedule3[Ending
Balance],ROW()-ROW(PaymentSchedule3[[#Headers],[Beginning
Balance]])-1)),"")</f>
        <v>1658.6612401219563</v>
      </c>
      <c r="E28" s="35">
        <f ca="1">IF(PaymentSchedule3[[#This Row],[Payment Number]]&lt;&gt;"",ScheduledPayment,"")</f>
        <v>118.84790205531803</v>
      </c>
      <c r="F28"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8"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8" s="35">
        <f ca="1">IF(PaymentSchedule3[[#This Row],[Payment Number]]&lt;&gt;"",PaymentSchedule3[[#This Row],[Total
Payment]]-PaymentSchedule3[[#This Row],[Interest]],"")</f>
        <v>107.91853515887625</v>
      </c>
      <c r="I28" s="35">
        <f ca="1">IF(PaymentSchedule3[[#This Row],[Payment Number]]&lt;&gt;"",PaymentSchedule3[[#This Row],[Beginning
Balance]]*(InterestRate/PaymentsPerYear),"")</f>
        <v>35.929366896441778</v>
      </c>
      <c r="J28" s="35">
        <f ca="1">IF(PaymentSchedule3[[#This Row],[Payment Number]]&lt;&gt;"",IF(PaymentSchedule3[[#This Row],[Scheduled Payment]]+PaymentSchedule3[[#This Row],[Extra
Payment]]&lt;=PaymentSchedule3[[#This Row],[Beginning
Balance]],PaymentSchedule3[[#This Row],[Beginning
Balance]]-PaymentSchedule3[[#This Row],[Principal]],0),"")</f>
        <v>1550.7427049630801</v>
      </c>
      <c r="K28" s="35">
        <f ca="1">IF(PaymentSchedule3[[#This Row],[Payment Number]]&lt;&gt;"",SUM(INDEX(PaymentSchedule3[Interest],1,1):PaymentSchedule3[[#This Row],[Interest]]),"")</f>
        <v>758.46123579285097</v>
      </c>
    </row>
    <row r="29" spans="1:15" x14ac:dyDescent="0.25">
      <c r="B29" s="33">
        <f ca="1">IF(LoanIsGood,IF(ROW()-ROW(PaymentSchedule3[[#Headers],[Payment Number]])&gt;ScheduledNumberOfPayments,"",ROW()-ROW(PaymentSchedule3[[#Headers],[Payment Number]])),"")</f>
        <v>16</v>
      </c>
      <c r="C29" s="34">
        <f ca="1">IF(PaymentSchedule3[[#This Row],[Payment Number]]&lt;&gt;"",EOMONTH(LoanStartDate,ROW(PaymentSchedule3[[#This Row],[Payment Number]])-ROW(PaymentSchedule3[[#Headers],[Payment Number]])-2)+DAY(LoanStartDate),"")</f>
        <v>45236</v>
      </c>
      <c r="D29" s="35">
        <f ca="1">IF(PaymentSchedule3[[#This Row],[Payment Number]]&lt;&gt;"",IF(ROW()-ROW(PaymentSchedule3[[#Headers],[Beginning
Balance]])=1,LoanAmount,INDEX(PaymentSchedule3[Ending
Balance],ROW()-ROW(PaymentSchedule3[[#Headers],[Beginning
Balance]])-1)),"")</f>
        <v>1550.7427049630801</v>
      </c>
      <c r="E29" s="35">
        <f ca="1">IF(PaymentSchedule3[[#This Row],[Payment Number]]&lt;&gt;"",ScheduledPayment,"")</f>
        <v>118.84790205531803</v>
      </c>
      <c r="F29"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29"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29" s="35">
        <f ca="1">IF(PaymentSchedule3[[#This Row],[Payment Number]]&lt;&gt;"",PaymentSchedule3[[#This Row],[Total
Payment]]-PaymentSchedule3[[#This Row],[Interest]],"")</f>
        <v>110.25623049464278</v>
      </c>
      <c r="I29" s="35">
        <f ca="1">IF(PaymentSchedule3[[#This Row],[Payment Number]]&lt;&gt;"",PaymentSchedule3[[#This Row],[Beginning
Balance]]*(InterestRate/PaymentsPerYear),"")</f>
        <v>33.591671560675252</v>
      </c>
      <c r="J29" s="35">
        <f ca="1">IF(PaymentSchedule3[[#This Row],[Payment Number]]&lt;&gt;"",IF(PaymentSchedule3[[#This Row],[Scheduled Payment]]+PaymentSchedule3[[#This Row],[Extra
Payment]]&lt;=PaymentSchedule3[[#This Row],[Beginning
Balance]],PaymentSchedule3[[#This Row],[Beginning
Balance]]-PaymentSchedule3[[#This Row],[Principal]],0),"")</f>
        <v>1440.4864744684373</v>
      </c>
      <c r="K29" s="35">
        <f ca="1">IF(PaymentSchedule3[[#This Row],[Payment Number]]&lt;&gt;"",SUM(INDEX(PaymentSchedule3[Interest],1,1):PaymentSchedule3[[#This Row],[Interest]]),"")</f>
        <v>792.05290735352628</v>
      </c>
    </row>
    <row r="30" spans="1:15" x14ac:dyDescent="0.25">
      <c r="B30" s="33">
        <f ca="1">IF(LoanIsGood,IF(ROW()-ROW(PaymentSchedule3[[#Headers],[Payment Number]])&gt;ScheduledNumberOfPayments,"",ROW()-ROW(PaymentSchedule3[[#Headers],[Payment Number]])),"")</f>
        <v>17</v>
      </c>
      <c r="C30" s="34">
        <f ca="1">IF(PaymentSchedule3[[#This Row],[Payment Number]]&lt;&gt;"",EOMONTH(LoanStartDate,ROW(PaymentSchedule3[[#This Row],[Payment Number]])-ROW(PaymentSchedule3[[#Headers],[Payment Number]])-2)+DAY(LoanStartDate),"")</f>
        <v>45266</v>
      </c>
      <c r="D30" s="35">
        <f ca="1">IF(PaymentSchedule3[[#This Row],[Payment Number]]&lt;&gt;"",IF(ROW()-ROW(PaymentSchedule3[[#Headers],[Beginning
Balance]])=1,LoanAmount,INDEX(PaymentSchedule3[Ending
Balance],ROW()-ROW(PaymentSchedule3[[#Headers],[Beginning
Balance]])-1)),"")</f>
        <v>1440.4864744684373</v>
      </c>
      <c r="E30" s="35">
        <f ca="1">IF(PaymentSchedule3[[#This Row],[Payment Number]]&lt;&gt;"",ScheduledPayment,"")</f>
        <v>118.84790205531803</v>
      </c>
      <c r="F30"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0"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0" s="35">
        <f ca="1">IF(PaymentSchedule3[[#This Row],[Payment Number]]&lt;&gt;"",PaymentSchedule3[[#This Row],[Total
Payment]]-PaymentSchedule3[[#This Row],[Interest]],"")</f>
        <v>112.6445642075409</v>
      </c>
      <c r="I30" s="35">
        <f ca="1">IF(PaymentSchedule3[[#This Row],[Payment Number]]&lt;&gt;"",PaymentSchedule3[[#This Row],[Beginning
Balance]]*(InterestRate/PaymentsPerYear),"")</f>
        <v>31.203337847777131</v>
      </c>
      <c r="J30" s="35">
        <f ca="1">IF(PaymentSchedule3[[#This Row],[Payment Number]]&lt;&gt;"",IF(PaymentSchedule3[[#This Row],[Scheduled Payment]]+PaymentSchedule3[[#This Row],[Extra
Payment]]&lt;=PaymentSchedule3[[#This Row],[Beginning
Balance]],PaymentSchedule3[[#This Row],[Beginning
Balance]]-PaymentSchedule3[[#This Row],[Principal]],0),"")</f>
        <v>1327.8419102608964</v>
      </c>
      <c r="K30" s="35">
        <f ca="1">IF(PaymentSchedule3[[#This Row],[Payment Number]]&lt;&gt;"",SUM(INDEX(PaymentSchedule3[Interest],1,1):PaymentSchedule3[[#This Row],[Interest]]),"")</f>
        <v>823.25624520130339</v>
      </c>
    </row>
    <row r="31" spans="1:15" x14ac:dyDescent="0.25">
      <c r="B31" s="33">
        <f ca="1">IF(LoanIsGood,IF(ROW()-ROW(PaymentSchedule3[[#Headers],[Payment Number]])&gt;ScheduledNumberOfPayments,"",ROW()-ROW(PaymentSchedule3[[#Headers],[Payment Number]])),"")</f>
        <v>18</v>
      </c>
      <c r="C31" s="34">
        <f ca="1">IF(PaymentSchedule3[[#This Row],[Payment Number]]&lt;&gt;"",EOMONTH(LoanStartDate,ROW(PaymentSchedule3[[#This Row],[Payment Number]])-ROW(PaymentSchedule3[[#Headers],[Payment Number]])-2)+DAY(LoanStartDate),"")</f>
        <v>45297</v>
      </c>
      <c r="D31" s="35">
        <f ca="1">IF(PaymentSchedule3[[#This Row],[Payment Number]]&lt;&gt;"",IF(ROW()-ROW(PaymentSchedule3[[#Headers],[Beginning
Balance]])=1,LoanAmount,INDEX(PaymentSchedule3[Ending
Balance],ROW()-ROW(PaymentSchedule3[[#Headers],[Beginning
Balance]])-1)),"")</f>
        <v>1327.8419102608964</v>
      </c>
      <c r="E31" s="35">
        <f ca="1">IF(PaymentSchedule3[[#This Row],[Payment Number]]&lt;&gt;"",ScheduledPayment,"")</f>
        <v>118.84790205531803</v>
      </c>
      <c r="F31"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1"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1" s="35">
        <f ca="1">IF(PaymentSchedule3[[#This Row],[Payment Number]]&lt;&gt;"",PaymentSchedule3[[#This Row],[Total
Payment]]-PaymentSchedule3[[#This Row],[Interest]],"")</f>
        <v>115.08463320921658</v>
      </c>
      <c r="I31" s="35">
        <f ca="1">IF(PaymentSchedule3[[#This Row],[Payment Number]]&lt;&gt;"",PaymentSchedule3[[#This Row],[Beginning
Balance]]*(InterestRate/PaymentsPerYear),"")</f>
        <v>28.76326884610145</v>
      </c>
      <c r="J31" s="35">
        <f ca="1">IF(PaymentSchedule3[[#This Row],[Payment Number]]&lt;&gt;"",IF(PaymentSchedule3[[#This Row],[Scheduled Payment]]+PaymentSchedule3[[#This Row],[Extra
Payment]]&lt;=PaymentSchedule3[[#This Row],[Beginning
Balance]],PaymentSchedule3[[#This Row],[Beginning
Balance]]-PaymentSchedule3[[#This Row],[Principal]],0),"")</f>
        <v>1212.7572770516799</v>
      </c>
      <c r="K31" s="35">
        <f ca="1">IF(PaymentSchedule3[[#This Row],[Payment Number]]&lt;&gt;"",SUM(INDEX(PaymentSchedule3[Interest],1,1):PaymentSchedule3[[#This Row],[Interest]]),"")</f>
        <v>852.01951404740487</v>
      </c>
    </row>
    <row r="32" spans="1:15" x14ac:dyDescent="0.25">
      <c r="B32" s="33">
        <f ca="1">IF(LoanIsGood,IF(ROW()-ROW(PaymentSchedule3[[#Headers],[Payment Number]])&gt;ScheduledNumberOfPayments,"",ROW()-ROW(PaymentSchedule3[[#Headers],[Payment Number]])),"")</f>
        <v>19</v>
      </c>
      <c r="C32" s="34">
        <f ca="1">IF(PaymentSchedule3[[#This Row],[Payment Number]]&lt;&gt;"",EOMONTH(LoanStartDate,ROW(PaymentSchedule3[[#This Row],[Payment Number]])-ROW(PaymentSchedule3[[#Headers],[Payment Number]])-2)+DAY(LoanStartDate),"")</f>
        <v>45328</v>
      </c>
      <c r="D32" s="35">
        <f ca="1">IF(PaymentSchedule3[[#This Row],[Payment Number]]&lt;&gt;"",IF(ROW()-ROW(PaymentSchedule3[[#Headers],[Beginning
Balance]])=1,LoanAmount,INDEX(PaymentSchedule3[Ending
Balance],ROW()-ROW(PaymentSchedule3[[#Headers],[Beginning
Balance]])-1)),"")</f>
        <v>1212.7572770516799</v>
      </c>
      <c r="E32" s="35">
        <f ca="1">IF(PaymentSchedule3[[#This Row],[Payment Number]]&lt;&gt;"",ScheduledPayment,"")</f>
        <v>118.84790205531803</v>
      </c>
      <c r="F32"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2"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2" s="35">
        <f ca="1">IF(PaymentSchedule3[[#This Row],[Payment Number]]&lt;&gt;"",PaymentSchedule3[[#This Row],[Total
Payment]]-PaymentSchedule3[[#This Row],[Interest]],"")</f>
        <v>117.57755817225022</v>
      </c>
      <c r="I32" s="35">
        <f ca="1">IF(PaymentSchedule3[[#This Row],[Payment Number]]&lt;&gt;"",PaymentSchedule3[[#This Row],[Beginning
Balance]]*(InterestRate/PaymentsPerYear),"")</f>
        <v>26.270343883067806</v>
      </c>
      <c r="J32" s="35">
        <f ca="1">IF(PaymentSchedule3[[#This Row],[Payment Number]]&lt;&gt;"",IF(PaymentSchedule3[[#This Row],[Scheduled Payment]]+PaymentSchedule3[[#This Row],[Extra
Payment]]&lt;=PaymentSchedule3[[#This Row],[Beginning
Balance]],PaymentSchedule3[[#This Row],[Beginning
Balance]]-PaymentSchedule3[[#This Row],[Principal]],0),"")</f>
        <v>1095.1797188794296</v>
      </c>
      <c r="K32" s="35">
        <f ca="1">IF(PaymentSchedule3[[#This Row],[Payment Number]]&lt;&gt;"",SUM(INDEX(PaymentSchedule3[Interest],1,1):PaymentSchedule3[[#This Row],[Interest]]),"")</f>
        <v>878.28985793047264</v>
      </c>
    </row>
    <row r="33" spans="2:11" x14ac:dyDescent="0.25">
      <c r="B33" s="33">
        <f ca="1">IF(LoanIsGood,IF(ROW()-ROW(PaymentSchedule3[[#Headers],[Payment Number]])&gt;ScheduledNumberOfPayments,"",ROW()-ROW(PaymentSchedule3[[#Headers],[Payment Number]])),"")</f>
        <v>20</v>
      </c>
      <c r="C33" s="34">
        <f ca="1">IF(PaymentSchedule3[[#This Row],[Payment Number]]&lt;&gt;"",EOMONTH(LoanStartDate,ROW(PaymentSchedule3[[#This Row],[Payment Number]])-ROW(PaymentSchedule3[[#Headers],[Payment Number]])-2)+DAY(LoanStartDate),"")</f>
        <v>45357</v>
      </c>
      <c r="D33" s="35">
        <f ca="1">IF(PaymentSchedule3[[#This Row],[Payment Number]]&lt;&gt;"",IF(ROW()-ROW(PaymentSchedule3[[#Headers],[Beginning
Balance]])=1,LoanAmount,INDEX(PaymentSchedule3[Ending
Balance],ROW()-ROW(PaymentSchedule3[[#Headers],[Beginning
Balance]])-1)),"")</f>
        <v>1095.1797188794296</v>
      </c>
      <c r="E33" s="35">
        <f ca="1">IF(PaymentSchedule3[[#This Row],[Payment Number]]&lt;&gt;"",ScheduledPayment,"")</f>
        <v>118.84790205531803</v>
      </c>
      <c r="F33"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3"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3" s="35">
        <f ca="1">IF(PaymentSchedule3[[#This Row],[Payment Number]]&lt;&gt;"",PaymentSchedule3[[#This Row],[Total
Payment]]-PaymentSchedule3[[#This Row],[Interest]],"")</f>
        <v>120.12448404485812</v>
      </c>
      <c r="I33" s="35">
        <f ca="1">IF(PaymentSchedule3[[#This Row],[Payment Number]]&lt;&gt;"",PaymentSchedule3[[#This Row],[Beginning
Balance]]*(InterestRate/PaymentsPerYear),"")</f>
        <v>23.723418010459909</v>
      </c>
      <c r="J33" s="35">
        <f ca="1">IF(PaymentSchedule3[[#This Row],[Payment Number]]&lt;&gt;"",IF(PaymentSchedule3[[#This Row],[Scheduled Payment]]+PaymentSchedule3[[#This Row],[Extra
Payment]]&lt;=PaymentSchedule3[[#This Row],[Beginning
Balance]],PaymentSchedule3[[#This Row],[Beginning
Balance]]-PaymentSchedule3[[#This Row],[Principal]],0),"")</f>
        <v>975.05523483457148</v>
      </c>
      <c r="K33" s="35">
        <f ca="1">IF(PaymentSchedule3[[#This Row],[Payment Number]]&lt;&gt;"",SUM(INDEX(PaymentSchedule3[Interest],1,1):PaymentSchedule3[[#This Row],[Interest]]),"")</f>
        <v>902.01327594093254</v>
      </c>
    </row>
    <row r="34" spans="2:11" x14ac:dyDescent="0.25">
      <c r="B34" s="33">
        <f ca="1">IF(LoanIsGood,IF(ROW()-ROW(PaymentSchedule3[[#Headers],[Payment Number]])&gt;ScheduledNumberOfPayments,"",ROW()-ROW(PaymentSchedule3[[#Headers],[Payment Number]])),"")</f>
        <v>21</v>
      </c>
      <c r="C34" s="34">
        <f ca="1">IF(PaymentSchedule3[[#This Row],[Payment Number]]&lt;&gt;"",EOMONTH(LoanStartDate,ROW(PaymentSchedule3[[#This Row],[Payment Number]])-ROW(PaymentSchedule3[[#Headers],[Payment Number]])-2)+DAY(LoanStartDate),"")</f>
        <v>45388</v>
      </c>
      <c r="D34" s="35">
        <f ca="1">IF(PaymentSchedule3[[#This Row],[Payment Number]]&lt;&gt;"",IF(ROW()-ROW(PaymentSchedule3[[#Headers],[Beginning
Balance]])=1,LoanAmount,INDEX(PaymentSchedule3[Ending
Balance],ROW()-ROW(PaymentSchedule3[[#Headers],[Beginning
Balance]])-1)),"")</f>
        <v>975.05523483457148</v>
      </c>
      <c r="E34" s="35">
        <f ca="1">IF(PaymentSchedule3[[#This Row],[Payment Number]]&lt;&gt;"",ScheduledPayment,"")</f>
        <v>118.84790205531803</v>
      </c>
      <c r="F34"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4"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4" s="35">
        <f ca="1">IF(PaymentSchedule3[[#This Row],[Payment Number]]&lt;&gt;"",PaymentSchedule3[[#This Row],[Total
Payment]]-PaymentSchedule3[[#This Row],[Interest]],"")</f>
        <v>122.72658057674316</v>
      </c>
      <c r="I34" s="35">
        <f ca="1">IF(PaymentSchedule3[[#This Row],[Payment Number]]&lt;&gt;"",PaymentSchedule3[[#This Row],[Beginning
Balance]]*(InterestRate/PaymentsPerYear),"")</f>
        <v>21.121321478574874</v>
      </c>
      <c r="J34" s="35">
        <f ca="1">IF(PaymentSchedule3[[#This Row],[Payment Number]]&lt;&gt;"",IF(PaymentSchedule3[[#This Row],[Scheduled Payment]]+PaymentSchedule3[[#This Row],[Extra
Payment]]&lt;=PaymentSchedule3[[#This Row],[Beginning
Balance]],PaymentSchedule3[[#This Row],[Beginning
Balance]]-PaymentSchedule3[[#This Row],[Principal]],0),"")</f>
        <v>852.32865425782836</v>
      </c>
      <c r="K34" s="35">
        <f ca="1">IF(PaymentSchedule3[[#This Row],[Payment Number]]&lt;&gt;"",SUM(INDEX(PaymentSchedule3[Interest],1,1):PaymentSchedule3[[#This Row],[Interest]]),"")</f>
        <v>923.13459741950737</v>
      </c>
    </row>
    <row r="35" spans="2:11" x14ac:dyDescent="0.25">
      <c r="B35" s="33">
        <f ca="1">IF(LoanIsGood,IF(ROW()-ROW(PaymentSchedule3[[#Headers],[Payment Number]])&gt;ScheduledNumberOfPayments,"",ROW()-ROW(PaymentSchedule3[[#Headers],[Payment Number]])),"")</f>
        <v>22</v>
      </c>
      <c r="C35" s="34">
        <f ca="1">IF(PaymentSchedule3[[#This Row],[Payment Number]]&lt;&gt;"",EOMONTH(LoanStartDate,ROW(PaymentSchedule3[[#This Row],[Payment Number]])-ROW(PaymentSchedule3[[#Headers],[Payment Number]])-2)+DAY(LoanStartDate),"")</f>
        <v>45418</v>
      </c>
      <c r="D35" s="35">
        <f ca="1">IF(PaymentSchedule3[[#This Row],[Payment Number]]&lt;&gt;"",IF(ROW()-ROW(PaymentSchedule3[[#Headers],[Beginning
Balance]])=1,LoanAmount,INDEX(PaymentSchedule3[Ending
Balance],ROW()-ROW(PaymentSchedule3[[#Headers],[Beginning
Balance]])-1)),"")</f>
        <v>852.32865425782836</v>
      </c>
      <c r="E35" s="35">
        <f ca="1">IF(PaymentSchedule3[[#This Row],[Payment Number]]&lt;&gt;"",ScheduledPayment,"")</f>
        <v>118.84790205531803</v>
      </c>
      <c r="F35"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5"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5" s="35">
        <f ca="1">IF(PaymentSchedule3[[#This Row],[Payment Number]]&lt;&gt;"",PaymentSchedule3[[#This Row],[Total
Payment]]-PaymentSchedule3[[#This Row],[Interest]],"")</f>
        <v>125.38504285633637</v>
      </c>
      <c r="I35" s="35">
        <f ca="1">IF(PaymentSchedule3[[#This Row],[Payment Number]]&lt;&gt;"",PaymentSchedule3[[#This Row],[Beginning
Balance]]*(InterestRate/PaymentsPerYear),"")</f>
        <v>18.462859198981658</v>
      </c>
      <c r="J35" s="35">
        <f ca="1">IF(PaymentSchedule3[[#This Row],[Payment Number]]&lt;&gt;"",IF(PaymentSchedule3[[#This Row],[Scheduled Payment]]+PaymentSchedule3[[#This Row],[Extra
Payment]]&lt;=PaymentSchedule3[[#This Row],[Beginning
Balance]],PaymentSchedule3[[#This Row],[Beginning
Balance]]-PaymentSchedule3[[#This Row],[Principal]],0),"")</f>
        <v>726.94361140149203</v>
      </c>
      <c r="K35" s="35">
        <f ca="1">IF(PaymentSchedule3[[#This Row],[Payment Number]]&lt;&gt;"",SUM(INDEX(PaymentSchedule3[Interest],1,1):PaymentSchedule3[[#This Row],[Interest]]),"")</f>
        <v>941.59745661848899</v>
      </c>
    </row>
    <row r="36" spans="2:11" x14ac:dyDescent="0.25">
      <c r="B36" s="33">
        <f ca="1">IF(LoanIsGood,IF(ROW()-ROW(PaymentSchedule3[[#Headers],[Payment Number]])&gt;ScheduledNumberOfPayments,"",ROW()-ROW(PaymentSchedule3[[#Headers],[Payment Number]])),"")</f>
        <v>23</v>
      </c>
      <c r="C36" s="34">
        <f ca="1">IF(PaymentSchedule3[[#This Row],[Payment Number]]&lt;&gt;"",EOMONTH(LoanStartDate,ROW(PaymentSchedule3[[#This Row],[Payment Number]])-ROW(PaymentSchedule3[[#Headers],[Payment Number]])-2)+DAY(LoanStartDate),"")</f>
        <v>45449</v>
      </c>
      <c r="D36" s="35">
        <f ca="1">IF(PaymentSchedule3[[#This Row],[Payment Number]]&lt;&gt;"",IF(ROW()-ROW(PaymentSchedule3[[#Headers],[Beginning
Balance]])=1,LoanAmount,INDEX(PaymentSchedule3[Ending
Balance],ROW()-ROW(PaymentSchedule3[[#Headers],[Beginning
Balance]])-1)),"")</f>
        <v>726.94361140149203</v>
      </c>
      <c r="E36" s="35">
        <f ca="1">IF(PaymentSchedule3[[#This Row],[Payment Number]]&lt;&gt;"",ScheduledPayment,"")</f>
        <v>118.84790205531803</v>
      </c>
      <c r="F36"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6"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6" s="35">
        <f ca="1">IF(PaymentSchedule3[[#This Row],[Payment Number]]&lt;&gt;"",PaymentSchedule3[[#This Row],[Total
Payment]]-PaymentSchedule3[[#This Row],[Interest]],"")</f>
        <v>128.10109185967605</v>
      </c>
      <c r="I36" s="35">
        <f ca="1">IF(PaymentSchedule3[[#This Row],[Payment Number]]&lt;&gt;"",PaymentSchedule3[[#This Row],[Beginning
Balance]]*(InterestRate/PaymentsPerYear),"")</f>
        <v>15.746810195641986</v>
      </c>
      <c r="J36" s="35">
        <f ca="1">IF(PaymentSchedule3[[#This Row],[Payment Number]]&lt;&gt;"",IF(PaymentSchedule3[[#This Row],[Scheduled Payment]]+PaymentSchedule3[[#This Row],[Extra
Payment]]&lt;=PaymentSchedule3[[#This Row],[Beginning
Balance]],PaymentSchedule3[[#This Row],[Beginning
Balance]]-PaymentSchedule3[[#This Row],[Principal]],0),"")</f>
        <v>598.84251954181605</v>
      </c>
      <c r="K36" s="35">
        <f ca="1">IF(PaymentSchedule3[[#This Row],[Payment Number]]&lt;&gt;"",SUM(INDEX(PaymentSchedule3[Interest],1,1):PaymentSchedule3[[#This Row],[Interest]]),"")</f>
        <v>957.34426681413095</v>
      </c>
    </row>
    <row r="37" spans="2:11" x14ac:dyDescent="0.25">
      <c r="B37" s="33">
        <f ca="1">IF(LoanIsGood,IF(ROW()-ROW(PaymentSchedule3[[#Headers],[Payment Number]])&gt;ScheduledNumberOfPayments,"",ROW()-ROW(PaymentSchedule3[[#Headers],[Payment Number]])),"")</f>
        <v>24</v>
      </c>
      <c r="C37" s="34">
        <f ca="1">IF(PaymentSchedule3[[#This Row],[Payment Number]]&lt;&gt;"",EOMONTH(LoanStartDate,ROW(PaymentSchedule3[[#This Row],[Payment Number]])-ROW(PaymentSchedule3[[#Headers],[Payment Number]])-2)+DAY(LoanStartDate),"")</f>
        <v>45479</v>
      </c>
      <c r="D37" s="35">
        <f ca="1">IF(PaymentSchedule3[[#This Row],[Payment Number]]&lt;&gt;"",IF(ROW()-ROW(PaymentSchedule3[[#Headers],[Beginning
Balance]])=1,LoanAmount,INDEX(PaymentSchedule3[Ending
Balance],ROW()-ROW(PaymentSchedule3[[#Headers],[Beginning
Balance]])-1)),"")</f>
        <v>598.84251954181605</v>
      </c>
      <c r="E37" s="35">
        <f ca="1">IF(PaymentSchedule3[[#This Row],[Payment Number]]&lt;&gt;"",ScheduledPayment,"")</f>
        <v>118.84790205531803</v>
      </c>
      <c r="F37"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7"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7" s="35">
        <f ca="1">IF(PaymentSchedule3[[#This Row],[Payment Number]]&lt;&gt;"",PaymentSchedule3[[#This Row],[Total
Payment]]-PaymentSchedule3[[#This Row],[Interest]],"")</f>
        <v>130.87597501117639</v>
      </c>
      <c r="I37" s="35">
        <f ca="1">IF(PaymentSchedule3[[#This Row],[Payment Number]]&lt;&gt;"",PaymentSchedule3[[#This Row],[Beginning
Balance]]*(InterestRate/PaymentsPerYear),"")</f>
        <v>12.971927044141639</v>
      </c>
      <c r="J37" s="35">
        <f ca="1">IF(PaymentSchedule3[[#This Row],[Payment Number]]&lt;&gt;"",IF(PaymentSchedule3[[#This Row],[Scheduled Payment]]+PaymentSchedule3[[#This Row],[Extra
Payment]]&lt;=PaymentSchedule3[[#This Row],[Beginning
Balance]],PaymentSchedule3[[#This Row],[Beginning
Balance]]-PaymentSchedule3[[#This Row],[Principal]],0),"")</f>
        <v>467.96654453063968</v>
      </c>
      <c r="K37" s="35">
        <f ca="1">IF(PaymentSchedule3[[#This Row],[Payment Number]]&lt;&gt;"",SUM(INDEX(PaymentSchedule3[Interest],1,1):PaymentSchedule3[[#This Row],[Interest]]),"")</f>
        <v>970.31619385827264</v>
      </c>
    </row>
    <row r="38" spans="2:11" x14ac:dyDescent="0.25">
      <c r="B38" s="33">
        <f ca="1">IF(LoanIsGood,IF(ROW()-ROW(PaymentSchedule3[[#Headers],[Payment Number]])&gt;ScheduledNumberOfPayments,"",ROW()-ROW(PaymentSchedule3[[#Headers],[Payment Number]])),"")</f>
        <v>25</v>
      </c>
      <c r="C38" s="34">
        <f ca="1">IF(PaymentSchedule3[[#This Row],[Payment Number]]&lt;&gt;"",EOMONTH(LoanStartDate,ROW(PaymentSchedule3[[#This Row],[Payment Number]])-ROW(PaymentSchedule3[[#Headers],[Payment Number]])-2)+DAY(LoanStartDate),"")</f>
        <v>45510</v>
      </c>
      <c r="D38" s="35">
        <f ca="1">IF(PaymentSchedule3[[#This Row],[Payment Number]]&lt;&gt;"",IF(ROW()-ROW(PaymentSchedule3[[#Headers],[Beginning
Balance]])=1,LoanAmount,INDEX(PaymentSchedule3[Ending
Balance],ROW()-ROW(PaymentSchedule3[[#Headers],[Beginning
Balance]])-1)),"")</f>
        <v>467.96654453063968</v>
      </c>
      <c r="E38" s="35">
        <f ca="1">IF(PaymentSchedule3[[#This Row],[Payment Number]]&lt;&gt;"",ScheduledPayment,"")</f>
        <v>118.84790205531803</v>
      </c>
      <c r="F38"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8"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8" s="35">
        <f ca="1">IF(PaymentSchedule3[[#This Row],[Payment Number]]&lt;&gt;"",PaymentSchedule3[[#This Row],[Total
Payment]]-PaymentSchedule3[[#This Row],[Interest]],"")</f>
        <v>133.71096675654348</v>
      </c>
      <c r="I38" s="35">
        <f ca="1">IF(PaymentSchedule3[[#This Row],[Payment Number]]&lt;&gt;"",PaymentSchedule3[[#This Row],[Beginning
Balance]]*(InterestRate/PaymentsPerYear),"")</f>
        <v>10.136935298774539</v>
      </c>
      <c r="J38" s="35">
        <f ca="1">IF(PaymentSchedule3[[#This Row],[Payment Number]]&lt;&gt;"",IF(PaymentSchedule3[[#This Row],[Scheduled Payment]]+PaymentSchedule3[[#This Row],[Extra
Payment]]&lt;=PaymentSchedule3[[#This Row],[Beginning
Balance]],PaymentSchedule3[[#This Row],[Beginning
Balance]]-PaymentSchedule3[[#This Row],[Principal]],0),"")</f>
        <v>334.2555777740962</v>
      </c>
      <c r="K38" s="35">
        <f ca="1">IF(PaymentSchedule3[[#This Row],[Payment Number]]&lt;&gt;"",SUM(INDEX(PaymentSchedule3[Interest],1,1):PaymentSchedule3[[#This Row],[Interest]]),"")</f>
        <v>980.45312915704721</v>
      </c>
    </row>
    <row r="39" spans="2:11" x14ac:dyDescent="0.25">
      <c r="B39" s="33">
        <f ca="1">IF(LoanIsGood,IF(ROW()-ROW(PaymentSchedule3[[#Headers],[Payment Number]])&gt;ScheduledNumberOfPayments,"",ROW()-ROW(PaymentSchedule3[[#Headers],[Payment Number]])),"")</f>
        <v>26</v>
      </c>
      <c r="C39" s="34">
        <f ca="1">IF(PaymentSchedule3[[#This Row],[Payment Number]]&lt;&gt;"",EOMONTH(LoanStartDate,ROW(PaymentSchedule3[[#This Row],[Payment Number]])-ROW(PaymentSchedule3[[#Headers],[Payment Number]])-2)+DAY(LoanStartDate),"")</f>
        <v>45541</v>
      </c>
      <c r="D39" s="35">
        <f ca="1">IF(PaymentSchedule3[[#This Row],[Payment Number]]&lt;&gt;"",IF(ROW()-ROW(PaymentSchedule3[[#Headers],[Beginning
Balance]])=1,LoanAmount,INDEX(PaymentSchedule3[Ending
Balance],ROW()-ROW(PaymentSchedule3[[#Headers],[Beginning
Balance]])-1)),"")</f>
        <v>334.2555777740962</v>
      </c>
      <c r="E39" s="35">
        <f ca="1">IF(PaymentSchedule3[[#This Row],[Payment Number]]&lt;&gt;"",ScheduledPayment,"")</f>
        <v>118.84790205531803</v>
      </c>
      <c r="F39"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39"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39" s="35">
        <f ca="1">IF(PaymentSchedule3[[#This Row],[Payment Number]]&lt;&gt;"",PaymentSchedule3[[#This Row],[Total
Payment]]-PaymentSchedule3[[#This Row],[Interest]],"")</f>
        <v>136.6073691481015</v>
      </c>
      <c r="I39" s="35">
        <f ca="1">IF(PaymentSchedule3[[#This Row],[Payment Number]]&lt;&gt;"",PaymentSchedule3[[#This Row],[Beginning
Balance]]*(InterestRate/PaymentsPerYear),"")</f>
        <v>7.2405329072165472</v>
      </c>
      <c r="J39" s="35">
        <f ca="1">IF(PaymentSchedule3[[#This Row],[Payment Number]]&lt;&gt;"",IF(PaymentSchedule3[[#This Row],[Scheduled Payment]]+PaymentSchedule3[[#This Row],[Extra
Payment]]&lt;=PaymentSchedule3[[#This Row],[Beginning
Balance]],PaymentSchedule3[[#This Row],[Beginning
Balance]]-PaymentSchedule3[[#This Row],[Principal]],0),"")</f>
        <v>197.6482086259947</v>
      </c>
      <c r="K39" s="35">
        <f ca="1">IF(PaymentSchedule3[[#This Row],[Payment Number]]&lt;&gt;"",SUM(INDEX(PaymentSchedule3[Interest],1,1):PaymentSchedule3[[#This Row],[Interest]]),"")</f>
        <v>987.69366206426378</v>
      </c>
    </row>
    <row r="40" spans="2:11" x14ac:dyDescent="0.25">
      <c r="B40" s="33">
        <f ca="1">IF(LoanIsGood,IF(ROW()-ROW(PaymentSchedule3[[#Headers],[Payment Number]])&gt;ScheduledNumberOfPayments,"",ROW()-ROW(PaymentSchedule3[[#Headers],[Payment Number]])),"")</f>
        <v>27</v>
      </c>
      <c r="C40" s="34">
        <f ca="1">IF(PaymentSchedule3[[#This Row],[Payment Number]]&lt;&gt;"",EOMONTH(LoanStartDate,ROW(PaymentSchedule3[[#This Row],[Payment Number]])-ROW(PaymentSchedule3[[#Headers],[Payment Number]])-2)+DAY(LoanStartDate),"")</f>
        <v>45571</v>
      </c>
      <c r="D40" s="35">
        <f ca="1">IF(PaymentSchedule3[[#This Row],[Payment Number]]&lt;&gt;"",IF(ROW()-ROW(PaymentSchedule3[[#Headers],[Beginning
Balance]])=1,LoanAmount,INDEX(PaymentSchedule3[Ending
Balance],ROW()-ROW(PaymentSchedule3[[#Headers],[Beginning
Balance]])-1)),"")</f>
        <v>197.6482086259947</v>
      </c>
      <c r="E40" s="35">
        <f ca="1">IF(PaymentSchedule3[[#This Row],[Payment Number]]&lt;&gt;"",ScheduledPayment,"")</f>
        <v>118.84790205531803</v>
      </c>
      <c r="F40"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25</v>
      </c>
      <c r="G40"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143.84790205531803</v>
      </c>
      <c r="H40" s="35">
        <f ca="1">IF(PaymentSchedule3[[#This Row],[Payment Number]]&lt;&gt;"",PaymentSchedule3[[#This Row],[Total
Payment]]-PaymentSchedule3[[#This Row],[Interest]],"")</f>
        <v>139.56651244279794</v>
      </c>
      <c r="I40" s="35">
        <f ca="1">IF(PaymentSchedule3[[#This Row],[Payment Number]]&lt;&gt;"",PaymentSchedule3[[#This Row],[Beginning
Balance]]*(InterestRate/PaymentsPerYear),"")</f>
        <v>4.2813896125200888</v>
      </c>
      <c r="J40" s="35">
        <f ca="1">IF(PaymentSchedule3[[#This Row],[Payment Number]]&lt;&gt;"",IF(PaymentSchedule3[[#This Row],[Scheduled Payment]]+PaymentSchedule3[[#This Row],[Extra
Payment]]&lt;=PaymentSchedule3[[#This Row],[Beginning
Balance]],PaymentSchedule3[[#This Row],[Beginning
Balance]]-PaymentSchedule3[[#This Row],[Principal]],0),"")</f>
        <v>58.081696183196755</v>
      </c>
      <c r="K40" s="35">
        <f ca="1">IF(PaymentSchedule3[[#This Row],[Payment Number]]&lt;&gt;"",SUM(INDEX(PaymentSchedule3[Interest],1,1):PaymentSchedule3[[#This Row],[Interest]]),"")</f>
        <v>991.97505167678389</v>
      </c>
    </row>
    <row r="41" spans="2:11" x14ac:dyDescent="0.25">
      <c r="B41" s="33">
        <f ca="1">IF(LoanIsGood,IF(ROW()-ROW(PaymentSchedule3[[#Headers],[Payment Number]])&gt;ScheduledNumberOfPayments,"",ROW()-ROW(PaymentSchedule3[[#Headers],[Payment Number]])),"")</f>
        <v>28</v>
      </c>
      <c r="C41" s="34">
        <f ca="1">IF(PaymentSchedule3[[#This Row],[Payment Number]]&lt;&gt;"",EOMONTH(LoanStartDate,ROW(PaymentSchedule3[[#This Row],[Payment Number]])-ROW(PaymentSchedule3[[#Headers],[Payment Number]])-2)+DAY(LoanStartDate),"")</f>
        <v>45602</v>
      </c>
      <c r="D41" s="35">
        <f ca="1">IF(PaymentSchedule3[[#This Row],[Payment Number]]&lt;&gt;"",IF(ROW()-ROW(PaymentSchedule3[[#Headers],[Beginning
Balance]])=1,LoanAmount,INDEX(PaymentSchedule3[Ending
Balance],ROW()-ROW(PaymentSchedule3[[#Headers],[Beginning
Balance]])-1)),"")</f>
        <v>58.081696183196755</v>
      </c>
      <c r="E41" s="35">
        <f ca="1">IF(PaymentSchedule3[[#This Row],[Payment Number]]&lt;&gt;"",ScheduledPayment,"")</f>
        <v>118.84790205531803</v>
      </c>
      <c r="F41"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1"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58.081696183196755</v>
      </c>
      <c r="H41" s="35">
        <f ca="1">IF(PaymentSchedule3[[#This Row],[Payment Number]]&lt;&gt;"",PaymentSchedule3[[#This Row],[Total
Payment]]-PaymentSchedule3[[#This Row],[Interest]],"")</f>
        <v>56.823549841041739</v>
      </c>
      <c r="I41" s="35">
        <f ca="1">IF(PaymentSchedule3[[#This Row],[Payment Number]]&lt;&gt;"",PaymentSchedule3[[#This Row],[Beginning
Balance]]*(InterestRate/PaymentsPerYear),"")</f>
        <v>1.2581463421550136</v>
      </c>
      <c r="J41" s="35">
        <f ca="1">IF(PaymentSchedule3[[#This Row],[Payment Number]]&lt;&gt;"",IF(PaymentSchedule3[[#This Row],[Scheduled Payment]]+PaymentSchedule3[[#This Row],[Extra
Payment]]&lt;=PaymentSchedule3[[#This Row],[Beginning
Balance]],PaymentSchedule3[[#This Row],[Beginning
Balance]]-PaymentSchedule3[[#This Row],[Principal]],0),"")</f>
        <v>0</v>
      </c>
      <c r="K41" s="35">
        <f ca="1">IF(PaymentSchedule3[[#This Row],[Payment Number]]&lt;&gt;"",SUM(INDEX(PaymentSchedule3[Interest],1,1):PaymentSchedule3[[#This Row],[Interest]]),"")</f>
        <v>993.23319801893888</v>
      </c>
    </row>
    <row r="42" spans="2:11" x14ac:dyDescent="0.25">
      <c r="B42" s="33">
        <f ca="1">IF(LoanIsGood,IF(ROW()-ROW(PaymentSchedule3[[#Headers],[Payment Number]])&gt;ScheduledNumberOfPayments,"",ROW()-ROW(PaymentSchedule3[[#Headers],[Payment Number]])),"")</f>
        <v>29</v>
      </c>
      <c r="C42" s="34">
        <f ca="1">IF(PaymentSchedule3[[#This Row],[Payment Number]]&lt;&gt;"",EOMONTH(LoanStartDate,ROW(PaymentSchedule3[[#This Row],[Payment Number]])-ROW(PaymentSchedule3[[#Headers],[Payment Number]])-2)+DAY(LoanStartDate),"")</f>
        <v>45632</v>
      </c>
      <c r="D42" s="35">
        <f ca="1">IF(PaymentSchedule3[[#This Row],[Payment Number]]&lt;&gt;"",IF(ROW()-ROW(PaymentSchedule3[[#Headers],[Beginning
Balance]])=1,LoanAmount,INDEX(PaymentSchedule3[Ending
Balance],ROW()-ROW(PaymentSchedule3[[#Headers],[Beginning
Balance]])-1)),"")</f>
        <v>0</v>
      </c>
      <c r="E42" s="35">
        <f ca="1">IF(PaymentSchedule3[[#This Row],[Payment Number]]&lt;&gt;"",ScheduledPayment,"")</f>
        <v>118.84790205531803</v>
      </c>
      <c r="F42"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2"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42" s="35">
        <f ca="1">IF(PaymentSchedule3[[#This Row],[Payment Number]]&lt;&gt;"",PaymentSchedule3[[#This Row],[Total
Payment]]-PaymentSchedule3[[#This Row],[Interest]],"")</f>
        <v>0</v>
      </c>
      <c r="I42" s="35">
        <f ca="1">IF(PaymentSchedule3[[#This Row],[Payment Number]]&lt;&gt;"",PaymentSchedule3[[#This Row],[Beginning
Balance]]*(InterestRate/PaymentsPerYear),"")</f>
        <v>0</v>
      </c>
      <c r="J42" s="35">
        <f ca="1">IF(PaymentSchedule3[[#This Row],[Payment Number]]&lt;&gt;"",IF(PaymentSchedule3[[#This Row],[Scheduled Payment]]+PaymentSchedule3[[#This Row],[Extra
Payment]]&lt;=PaymentSchedule3[[#This Row],[Beginning
Balance]],PaymentSchedule3[[#This Row],[Beginning
Balance]]-PaymentSchedule3[[#This Row],[Principal]],0),"")</f>
        <v>0</v>
      </c>
      <c r="K42" s="35">
        <f ca="1">IF(PaymentSchedule3[[#This Row],[Payment Number]]&lt;&gt;"",SUM(INDEX(PaymentSchedule3[Interest],1,1):PaymentSchedule3[[#This Row],[Interest]]),"")</f>
        <v>993.23319801893888</v>
      </c>
    </row>
    <row r="43" spans="2:11" x14ac:dyDescent="0.25">
      <c r="B43" s="33">
        <f ca="1">IF(LoanIsGood,IF(ROW()-ROW(PaymentSchedule3[[#Headers],[Payment Number]])&gt;ScheduledNumberOfPayments,"",ROW()-ROW(PaymentSchedule3[[#Headers],[Payment Number]])),"")</f>
        <v>30</v>
      </c>
      <c r="C43" s="34">
        <f ca="1">IF(PaymentSchedule3[[#This Row],[Payment Number]]&lt;&gt;"",EOMONTH(LoanStartDate,ROW(PaymentSchedule3[[#This Row],[Payment Number]])-ROW(PaymentSchedule3[[#Headers],[Payment Number]])-2)+DAY(LoanStartDate),"")</f>
        <v>45663</v>
      </c>
      <c r="D43" s="35">
        <f ca="1">IF(PaymentSchedule3[[#This Row],[Payment Number]]&lt;&gt;"",IF(ROW()-ROW(PaymentSchedule3[[#Headers],[Beginning
Balance]])=1,LoanAmount,INDEX(PaymentSchedule3[Ending
Balance],ROW()-ROW(PaymentSchedule3[[#Headers],[Beginning
Balance]])-1)),"")</f>
        <v>0</v>
      </c>
      <c r="E43" s="35">
        <f ca="1">IF(PaymentSchedule3[[#This Row],[Payment Number]]&lt;&gt;"",ScheduledPayment,"")</f>
        <v>118.84790205531803</v>
      </c>
      <c r="F43"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3"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43" s="35">
        <f ca="1">IF(PaymentSchedule3[[#This Row],[Payment Number]]&lt;&gt;"",PaymentSchedule3[[#This Row],[Total
Payment]]-PaymentSchedule3[[#This Row],[Interest]],"")</f>
        <v>0</v>
      </c>
      <c r="I43" s="35">
        <f ca="1">IF(PaymentSchedule3[[#This Row],[Payment Number]]&lt;&gt;"",PaymentSchedule3[[#This Row],[Beginning
Balance]]*(InterestRate/PaymentsPerYear),"")</f>
        <v>0</v>
      </c>
      <c r="J43" s="35">
        <f ca="1">IF(PaymentSchedule3[[#This Row],[Payment Number]]&lt;&gt;"",IF(PaymentSchedule3[[#This Row],[Scheduled Payment]]+PaymentSchedule3[[#This Row],[Extra
Payment]]&lt;=PaymentSchedule3[[#This Row],[Beginning
Balance]],PaymentSchedule3[[#This Row],[Beginning
Balance]]-PaymentSchedule3[[#This Row],[Principal]],0),"")</f>
        <v>0</v>
      </c>
      <c r="K43" s="35">
        <f ca="1">IF(PaymentSchedule3[[#This Row],[Payment Number]]&lt;&gt;"",SUM(INDEX(PaymentSchedule3[Interest],1,1):PaymentSchedule3[[#This Row],[Interest]]),"")</f>
        <v>993.23319801893888</v>
      </c>
    </row>
    <row r="44" spans="2:11" x14ac:dyDescent="0.25">
      <c r="B44" s="33">
        <f ca="1">IF(LoanIsGood,IF(ROW()-ROW(PaymentSchedule3[[#Headers],[Payment Number]])&gt;ScheduledNumberOfPayments,"",ROW()-ROW(PaymentSchedule3[[#Headers],[Payment Number]])),"")</f>
        <v>31</v>
      </c>
      <c r="C44" s="34">
        <f ca="1">IF(PaymentSchedule3[[#This Row],[Payment Number]]&lt;&gt;"",EOMONTH(LoanStartDate,ROW(PaymentSchedule3[[#This Row],[Payment Number]])-ROW(PaymentSchedule3[[#Headers],[Payment Number]])-2)+DAY(LoanStartDate),"")</f>
        <v>45694</v>
      </c>
      <c r="D44" s="35">
        <f ca="1">IF(PaymentSchedule3[[#This Row],[Payment Number]]&lt;&gt;"",IF(ROW()-ROW(PaymentSchedule3[[#Headers],[Beginning
Balance]])=1,LoanAmount,INDEX(PaymentSchedule3[Ending
Balance],ROW()-ROW(PaymentSchedule3[[#Headers],[Beginning
Balance]])-1)),"")</f>
        <v>0</v>
      </c>
      <c r="E44" s="35">
        <f ca="1">IF(PaymentSchedule3[[#This Row],[Payment Number]]&lt;&gt;"",ScheduledPayment,"")</f>
        <v>118.84790205531803</v>
      </c>
      <c r="F44"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4"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44" s="35">
        <f ca="1">IF(PaymentSchedule3[[#This Row],[Payment Number]]&lt;&gt;"",PaymentSchedule3[[#This Row],[Total
Payment]]-PaymentSchedule3[[#This Row],[Interest]],"")</f>
        <v>0</v>
      </c>
      <c r="I44" s="35">
        <f ca="1">IF(PaymentSchedule3[[#This Row],[Payment Number]]&lt;&gt;"",PaymentSchedule3[[#This Row],[Beginning
Balance]]*(InterestRate/PaymentsPerYear),"")</f>
        <v>0</v>
      </c>
      <c r="J44" s="35">
        <f ca="1">IF(PaymentSchedule3[[#This Row],[Payment Number]]&lt;&gt;"",IF(PaymentSchedule3[[#This Row],[Scheduled Payment]]+PaymentSchedule3[[#This Row],[Extra
Payment]]&lt;=PaymentSchedule3[[#This Row],[Beginning
Balance]],PaymentSchedule3[[#This Row],[Beginning
Balance]]-PaymentSchedule3[[#This Row],[Principal]],0),"")</f>
        <v>0</v>
      </c>
      <c r="K44" s="35">
        <f ca="1">IF(PaymentSchedule3[[#This Row],[Payment Number]]&lt;&gt;"",SUM(INDEX(PaymentSchedule3[Interest],1,1):PaymentSchedule3[[#This Row],[Interest]]),"")</f>
        <v>993.23319801893888</v>
      </c>
    </row>
    <row r="45" spans="2:11" x14ac:dyDescent="0.25">
      <c r="B45" s="33">
        <f ca="1">IF(LoanIsGood,IF(ROW()-ROW(PaymentSchedule3[[#Headers],[Payment Number]])&gt;ScheduledNumberOfPayments,"",ROW()-ROW(PaymentSchedule3[[#Headers],[Payment Number]])),"")</f>
        <v>32</v>
      </c>
      <c r="C45" s="34">
        <f ca="1">IF(PaymentSchedule3[[#This Row],[Payment Number]]&lt;&gt;"",EOMONTH(LoanStartDate,ROW(PaymentSchedule3[[#This Row],[Payment Number]])-ROW(PaymentSchedule3[[#Headers],[Payment Number]])-2)+DAY(LoanStartDate),"")</f>
        <v>45722</v>
      </c>
      <c r="D45" s="35">
        <f ca="1">IF(PaymentSchedule3[[#This Row],[Payment Number]]&lt;&gt;"",IF(ROW()-ROW(PaymentSchedule3[[#Headers],[Beginning
Balance]])=1,LoanAmount,INDEX(PaymentSchedule3[Ending
Balance],ROW()-ROW(PaymentSchedule3[[#Headers],[Beginning
Balance]])-1)),"")</f>
        <v>0</v>
      </c>
      <c r="E45" s="35">
        <f ca="1">IF(PaymentSchedule3[[#This Row],[Payment Number]]&lt;&gt;"",ScheduledPayment,"")</f>
        <v>118.84790205531803</v>
      </c>
      <c r="F45"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5"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45" s="35">
        <f ca="1">IF(PaymentSchedule3[[#This Row],[Payment Number]]&lt;&gt;"",PaymentSchedule3[[#This Row],[Total
Payment]]-PaymentSchedule3[[#This Row],[Interest]],"")</f>
        <v>0</v>
      </c>
      <c r="I45" s="35">
        <f ca="1">IF(PaymentSchedule3[[#This Row],[Payment Number]]&lt;&gt;"",PaymentSchedule3[[#This Row],[Beginning
Balance]]*(InterestRate/PaymentsPerYear),"")</f>
        <v>0</v>
      </c>
      <c r="J45" s="35">
        <f ca="1">IF(PaymentSchedule3[[#This Row],[Payment Number]]&lt;&gt;"",IF(PaymentSchedule3[[#This Row],[Scheduled Payment]]+PaymentSchedule3[[#This Row],[Extra
Payment]]&lt;=PaymentSchedule3[[#This Row],[Beginning
Balance]],PaymentSchedule3[[#This Row],[Beginning
Balance]]-PaymentSchedule3[[#This Row],[Principal]],0),"")</f>
        <v>0</v>
      </c>
      <c r="K45" s="35">
        <f ca="1">IF(PaymentSchedule3[[#This Row],[Payment Number]]&lt;&gt;"",SUM(INDEX(PaymentSchedule3[Interest],1,1):PaymentSchedule3[[#This Row],[Interest]]),"")</f>
        <v>993.23319801893888</v>
      </c>
    </row>
    <row r="46" spans="2:11" x14ac:dyDescent="0.25">
      <c r="B46" s="33">
        <f ca="1">IF(LoanIsGood,IF(ROW()-ROW(PaymentSchedule3[[#Headers],[Payment Number]])&gt;ScheduledNumberOfPayments,"",ROW()-ROW(PaymentSchedule3[[#Headers],[Payment Number]])),"")</f>
        <v>33</v>
      </c>
      <c r="C46" s="34">
        <f ca="1">IF(PaymentSchedule3[[#This Row],[Payment Number]]&lt;&gt;"",EOMONTH(LoanStartDate,ROW(PaymentSchedule3[[#This Row],[Payment Number]])-ROW(PaymentSchedule3[[#Headers],[Payment Number]])-2)+DAY(LoanStartDate),"")</f>
        <v>45753</v>
      </c>
      <c r="D46" s="35">
        <f ca="1">IF(PaymentSchedule3[[#This Row],[Payment Number]]&lt;&gt;"",IF(ROW()-ROW(PaymentSchedule3[[#Headers],[Beginning
Balance]])=1,LoanAmount,INDEX(PaymentSchedule3[Ending
Balance],ROW()-ROW(PaymentSchedule3[[#Headers],[Beginning
Balance]])-1)),"")</f>
        <v>0</v>
      </c>
      <c r="E46" s="35">
        <f ca="1">IF(PaymentSchedule3[[#This Row],[Payment Number]]&lt;&gt;"",ScheduledPayment,"")</f>
        <v>118.84790205531803</v>
      </c>
      <c r="F46"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6"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46" s="35">
        <f ca="1">IF(PaymentSchedule3[[#This Row],[Payment Number]]&lt;&gt;"",PaymentSchedule3[[#This Row],[Total
Payment]]-PaymentSchedule3[[#This Row],[Interest]],"")</f>
        <v>0</v>
      </c>
      <c r="I46" s="35">
        <f ca="1">IF(PaymentSchedule3[[#This Row],[Payment Number]]&lt;&gt;"",PaymentSchedule3[[#This Row],[Beginning
Balance]]*(InterestRate/PaymentsPerYear),"")</f>
        <v>0</v>
      </c>
      <c r="J46" s="35">
        <f ca="1">IF(PaymentSchedule3[[#This Row],[Payment Number]]&lt;&gt;"",IF(PaymentSchedule3[[#This Row],[Scheduled Payment]]+PaymentSchedule3[[#This Row],[Extra
Payment]]&lt;=PaymentSchedule3[[#This Row],[Beginning
Balance]],PaymentSchedule3[[#This Row],[Beginning
Balance]]-PaymentSchedule3[[#This Row],[Principal]],0),"")</f>
        <v>0</v>
      </c>
      <c r="K46" s="35">
        <f ca="1">IF(PaymentSchedule3[[#This Row],[Payment Number]]&lt;&gt;"",SUM(INDEX(PaymentSchedule3[Interest],1,1):PaymentSchedule3[[#This Row],[Interest]]),"")</f>
        <v>993.23319801893888</v>
      </c>
    </row>
    <row r="47" spans="2:11" x14ac:dyDescent="0.25">
      <c r="B47" s="33">
        <f ca="1">IF(LoanIsGood,IF(ROW()-ROW(PaymentSchedule3[[#Headers],[Payment Number]])&gt;ScheduledNumberOfPayments,"",ROW()-ROW(PaymentSchedule3[[#Headers],[Payment Number]])),"")</f>
        <v>34</v>
      </c>
      <c r="C47" s="34">
        <f ca="1">IF(PaymentSchedule3[[#This Row],[Payment Number]]&lt;&gt;"",EOMONTH(LoanStartDate,ROW(PaymentSchedule3[[#This Row],[Payment Number]])-ROW(PaymentSchedule3[[#Headers],[Payment Number]])-2)+DAY(LoanStartDate),"")</f>
        <v>45783</v>
      </c>
      <c r="D47" s="35">
        <f ca="1">IF(PaymentSchedule3[[#This Row],[Payment Number]]&lt;&gt;"",IF(ROW()-ROW(PaymentSchedule3[[#Headers],[Beginning
Balance]])=1,LoanAmount,INDEX(PaymentSchedule3[Ending
Balance],ROW()-ROW(PaymentSchedule3[[#Headers],[Beginning
Balance]])-1)),"")</f>
        <v>0</v>
      </c>
      <c r="E47" s="35">
        <f ca="1">IF(PaymentSchedule3[[#This Row],[Payment Number]]&lt;&gt;"",ScheduledPayment,"")</f>
        <v>118.84790205531803</v>
      </c>
      <c r="F47"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7"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47" s="35">
        <f ca="1">IF(PaymentSchedule3[[#This Row],[Payment Number]]&lt;&gt;"",PaymentSchedule3[[#This Row],[Total
Payment]]-PaymentSchedule3[[#This Row],[Interest]],"")</f>
        <v>0</v>
      </c>
      <c r="I47" s="35">
        <f ca="1">IF(PaymentSchedule3[[#This Row],[Payment Number]]&lt;&gt;"",PaymentSchedule3[[#This Row],[Beginning
Balance]]*(InterestRate/PaymentsPerYear),"")</f>
        <v>0</v>
      </c>
      <c r="J47" s="35">
        <f ca="1">IF(PaymentSchedule3[[#This Row],[Payment Number]]&lt;&gt;"",IF(PaymentSchedule3[[#This Row],[Scheduled Payment]]+PaymentSchedule3[[#This Row],[Extra
Payment]]&lt;=PaymentSchedule3[[#This Row],[Beginning
Balance]],PaymentSchedule3[[#This Row],[Beginning
Balance]]-PaymentSchedule3[[#This Row],[Principal]],0),"")</f>
        <v>0</v>
      </c>
      <c r="K47" s="35">
        <f ca="1">IF(PaymentSchedule3[[#This Row],[Payment Number]]&lt;&gt;"",SUM(INDEX(PaymentSchedule3[Interest],1,1):PaymentSchedule3[[#This Row],[Interest]]),"")</f>
        <v>993.23319801893888</v>
      </c>
    </row>
    <row r="48" spans="2:11" x14ac:dyDescent="0.25">
      <c r="B48" s="33">
        <f ca="1">IF(LoanIsGood,IF(ROW()-ROW(PaymentSchedule3[[#Headers],[Payment Number]])&gt;ScheduledNumberOfPayments,"",ROW()-ROW(PaymentSchedule3[[#Headers],[Payment Number]])),"")</f>
        <v>35</v>
      </c>
      <c r="C48" s="34">
        <f ca="1">IF(PaymentSchedule3[[#This Row],[Payment Number]]&lt;&gt;"",EOMONTH(LoanStartDate,ROW(PaymentSchedule3[[#This Row],[Payment Number]])-ROW(PaymentSchedule3[[#Headers],[Payment Number]])-2)+DAY(LoanStartDate),"")</f>
        <v>45814</v>
      </c>
      <c r="D48" s="35">
        <f ca="1">IF(PaymentSchedule3[[#This Row],[Payment Number]]&lt;&gt;"",IF(ROW()-ROW(PaymentSchedule3[[#Headers],[Beginning
Balance]])=1,LoanAmount,INDEX(PaymentSchedule3[Ending
Balance],ROW()-ROW(PaymentSchedule3[[#Headers],[Beginning
Balance]])-1)),"")</f>
        <v>0</v>
      </c>
      <c r="E48" s="35">
        <f ca="1">IF(PaymentSchedule3[[#This Row],[Payment Number]]&lt;&gt;"",ScheduledPayment,"")</f>
        <v>118.84790205531803</v>
      </c>
      <c r="F48" s="3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8" s="3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48" s="35">
        <f ca="1">IF(PaymentSchedule3[[#This Row],[Payment Number]]&lt;&gt;"",PaymentSchedule3[[#This Row],[Total
Payment]]-PaymentSchedule3[[#This Row],[Interest]],"")</f>
        <v>0</v>
      </c>
      <c r="I48" s="35">
        <f ca="1">IF(PaymentSchedule3[[#This Row],[Payment Number]]&lt;&gt;"",PaymentSchedule3[[#This Row],[Beginning
Balance]]*(InterestRate/PaymentsPerYear),"")</f>
        <v>0</v>
      </c>
      <c r="J48" s="35">
        <f ca="1">IF(PaymentSchedule3[[#This Row],[Payment Number]]&lt;&gt;"",IF(PaymentSchedule3[[#This Row],[Scheduled Payment]]+PaymentSchedule3[[#This Row],[Extra
Payment]]&lt;=PaymentSchedule3[[#This Row],[Beginning
Balance]],PaymentSchedule3[[#This Row],[Beginning
Balance]]-PaymentSchedule3[[#This Row],[Principal]],0),"")</f>
        <v>0</v>
      </c>
      <c r="K48" s="35">
        <f ca="1">IF(PaymentSchedule3[[#This Row],[Payment Number]]&lt;&gt;"",SUM(INDEX(PaymentSchedule3[Interest],1,1):PaymentSchedule3[[#This Row],[Interest]]),"")</f>
        <v>993.23319801893888</v>
      </c>
    </row>
  </sheetData>
  <mergeCells count="20">
    <mergeCell ref="B9:C9"/>
    <mergeCell ref="B11:D11"/>
    <mergeCell ref="G9:H9"/>
    <mergeCell ref="I9:K9"/>
    <mergeCell ref="I10:K10"/>
    <mergeCell ref="G11:H11"/>
    <mergeCell ref="I11:K11"/>
    <mergeCell ref="B7:D7"/>
    <mergeCell ref="G7:H7"/>
    <mergeCell ref="I7:K7"/>
    <mergeCell ref="G8:H8"/>
    <mergeCell ref="I8:K8"/>
    <mergeCell ref="B8:D8"/>
    <mergeCell ref="G5:H5"/>
    <mergeCell ref="I5:K5"/>
    <mergeCell ref="G6:H6"/>
    <mergeCell ref="I6:K6"/>
    <mergeCell ref="C2:K2"/>
    <mergeCell ref="B5:D5"/>
    <mergeCell ref="B6:D6"/>
  </mergeCells>
  <conditionalFormatting sqref="B14:K48">
    <cfRule type="expression" dxfId="3"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94FD-755D-4B35-8A38-BC336413A6F1}">
  <sheetPr>
    <tabColor theme="4" tint="-0.499984740745262"/>
    <pageSetUpPr autoPageBreaks="0" fitToPage="1"/>
  </sheetPr>
  <dimension ref="B1:K23"/>
  <sheetViews>
    <sheetView showGridLines="0" topLeftCell="A3" zoomScaleNormal="100" workbookViewId="0">
      <selection activeCell="I12" sqref="I12"/>
    </sheetView>
  </sheetViews>
  <sheetFormatPr defaultColWidth="8.85546875" defaultRowHeight="15" x14ac:dyDescent="0.25"/>
  <cols>
    <col min="1" max="1" width="3.5703125" customWidth="1"/>
    <col min="2" max="2" width="12.85546875" customWidth="1"/>
    <col min="3" max="3" width="14.7109375" customWidth="1"/>
    <col min="4" max="4" width="16.7109375" customWidth="1"/>
    <col min="5" max="10" width="15.7109375" customWidth="1"/>
    <col min="11" max="11" width="17.7109375" customWidth="1"/>
  </cols>
  <sheetData>
    <row r="1" spans="2:11" s="1" customFormat="1" ht="21" customHeight="1" x14ac:dyDescent="0.25">
      <c r="B1" s="6"/>
      <c r="C1" s="6"/>
      <c r="D1" s="6"/>
      <c r="E1" s="6"/>
      <c r="F1" s="6"/>
      <c r="G1" s="6"/>
      <c r="H1" s="6"/>
      <c r="I1" s="6"/>
      <c r="J1" s="6"/>
      <c r="K1" s="6"/>
    </row>
    <row r="2" spans="2:11" s="1" customFormat="1" ht="67.900000000000006" customHeight="1" x14ac:dyDescent="0.25">
      <c r="B2" s="6"/>
      <c r="C2" s="45" t="s">
        <v>10</v>
      </c>
      <c r="D2" s="45"/>
      <c r="E2" s="45"/>
      <c r="F2" s="45"/>
      <c r="G2" s="45"/>
      <c r="H2" s="45"/>
      <c r="I2" s="45"/>
      <c r="J2" s="45"/>
      <c r="K2" s="45"/>
    </row>
    <row r="3" spans="2:11" s="1" customFormat="1" ht="24" customHeight="1" x14ac:dyDescent="0.25">
      <c r="B3" s="6"/>
      <c r="C3" s="6"/>
      <c r="D3" s="6"/>
      <c r="E3" s="6"/>
      <c r="F3" s="6"/>
      <c r="G3" s="6"/>
      <c r="H3" s="6"/>
      <c r="I3" s="6"/>
      <c r="J3" s="6"/>
      <c r="K3" s="6"/>
    </row>
    <row r="4" spans="2:11" ht="37.9" customHeight="1" x14ac:dyDescent="0.25">
      <c r="B4" s="15" t="s">
        <v>21</v>
      </c>
      <c r="C4" s="12"/>
      <c r="D4" s="13"/>
      <c r="E4" s="3"/>
      <c r="G4" s="16" t="s">
        <v>11</v>
      </c>
      <c r="H4" s="3"/>
      <c r="I4" s="3"/>
      <c r="J4" s="4"/>
    </row>
    <row r="5" spans="2:11" ht="24" customHeight="1" x14ac:dyDescent="0.25">
      <c r="B5" s="46" t="s">
        <v>0</v>
      </c>
      <c r="C5" s="46"/>
      <c r="D5" s="47"/>
      <c r="E5" s="17">
        <v>1963.64</v>
      </c>
      <c r="G5" s="39" t="s">
        <v>5</v>
      </c>
      <c r="H5" s="40"/>
      <c r="I5" s="41">
        <f ca="1">IF(LoanIsGood,-PMT(InterestRate/PaymentsPerYear,ScheduledNumberOfPayments,LoanAmount),"")</f>
        <v>77.286860725348134</v>
      </c>
      <c r="J5" s="41"/>
      <c r="K5" s="41"/>
    </row>
    <row r="6" spans="2:11" ht="24" customHeight="1" x14ac:dyDescent="0.25">
      <c r="B6" s="46" t="s">
        <v>1</v>
      </c>
      <c r="C6" s="46"/>
      <c r="D6" s="47"/>
      <c r="E6" s="18">
        <v>0.2424</v>
      </c>
      <c r="G6" s="48" t="s">
        <v>6</v>
      </c>
      <c r="H6" s="49"/>
      <c r="I6" s="44">
        <f ca="1">IF(LoanIsGood,LoanPeriod*PaymentsPerYear,"")</f>
        <v>36</v>
      </c>
      <c r="J6" s="44"/>
      <c r="K6" s="44"/>
    </row>
    <row r="7" spans="2:11" ht="24" customHeight="1" x14ac:dyDescent="0.25">
      <c r="B7" s="46" t="s">
        <v>2</v>
      </c>
      <c r="C7" s="46"/>
      <c r="D7" s="47"/>
      <c r="E7" s="28">
        <v>3</v>
      </c>
      <c r="G7" s="48" t="s">
        <v>7</v>
      </c>
      <c r="H7" s="49"/>
      <c r="I7" s="44" t="str">
        <f>ActualNumberOfPayments</f>
        <v/>
      </c>
      <c r="J7" s="44"/>
      <c r="K7" s="44"/>
    </row>
    <row r="8" spans="2:11" ht="24" customHeight="1" x14ac:dyDescent="0.25">
      <c r="B8" s="46" t="s">
        <v>3</v>
      </c>
      <c r="C8" s="46"/>
      <c r="D8" s="47"/>
      <c r="E8" s="28">
        <v>12</v>
      </c>
      <c r="G8" s="48" t="s">
        <v>8</v>
      </c>
      <c r="H8" s="49"/>
      <c r="I8" s="50">
        <f ca="1">TotalEarlyPayments</f>
        <v>0</v>
      </c>
      <c r="J8" s="50"/>
      <c r="K8" s="50"/>
    </row>
    <row r="9" spans="2:11" ht="24" customHeight="1" x14ac:dyDescent="0.25">
      <c r="B9" s="46" t="s">
        <v>4</v>
      </c>
      <c r="C9" s="46"/>
      <c r="D9" s="38"/>
      <c r="E9" s="21">
        <f ca="1">TODAY()</f>
        <v>44779</v>
      </c>
      <c r="G9" s="52" t="s">
        <v>9</v>
      </c>
      <c r="H9" s="53"/>
      <c r="I9" s="54">
        <f ca="1">TotalInterest</f>
        <v>360.54864317729738</v>
      </c>
      <c r="J9" s="54"/>
      <c r="K9" s="54"/>
    </row>
    <row r="10" spans="2:11" ht="12.4" customHeight="1" x14ac:dyDescent="0.25">
      <c r="C10" s="8"/>
      <c r="D10" s="8"/>
      <c r="E10" s="9"/>
      <c r="G10" s="22"/>
      <c r="H10" s="22"/>
      <c r="I10" s="59"/>
      <c r="J10" s="59"/>
      <c r="K10" s="59"/>
    </row>
    <row r="11" spans="2:11" ht="20.65" customHeight="1" x14ac:dyDescent="0.25">
      <c r="B11" s="58" t="s">
        <v>22</v>
      </c>
      <c r="C11" s="58"/>
      <c r="D11" s="58"/>
      <c r="E11" s="23">
        <v>0</v>
      </c>
      <c r="F11" s="11"/>
      <c r="G11" s="56" t="s">
        <v>23</v>
      </c>
      <c r="H11" s="56"/>
      <c r="I11" s="57" t="s">
        <v>26</v>
      </c>
      <c r="J11" s="57"/>
      <c r="K11" s="57"/>
    </row>
    <row r="12" spans="2:11" ht="31.9" customHeight="1" x14ac:dyDescent="0.25">
      <c r="B12" s="37"/>
    </row>
    <row r="13" spans="2:11" s="14" customFormat="1" ht="48" customHeight="1" x14ac:dyDescent="0.25">
      <c r="B13" s="36" t="s">
        <v>12</v>
      </c>
      <c r="C13" s="36" t="s">
        <v>13</v>
      </c>
      <c r="D13" s="36" t="s">
        <v>14</v>
      </c>
      <c r="E13" s="36" t="s">
        <v>24</v>
      </c>
      <c r="F13" s="36" t="s">
        <v>15</v>
      </c>
      <c r="G13" s="36" t="s">
        <v>16</v>
      </c>
      <c r="H13" s="36" t="s">
        <v>17</v>
      </c>
      <c r="I13" s="36" t="s">
        <v>18</v>
      </c>
      <c r="J13" s="36" t="s">
        <v>19</v>
      </c>
      <c r="K13" s="36" t="s">
        <v>20</v>
      </c>
    </row>
    <row r="14" spans="2:11" ht="24" customHeight="1" x14ac:dyDescent="0.25">
      <c r="B14" s="30">
        <f ca="1">IF(LoanIsGood,IF(ROW()-ROW(PaymentSchedule32[[#Headers],[Payment Number]])&gt;ScheduledNumberOfPayments,"",ROW()-ROW(PaymentSchedule32[[#Headers],[Payment Number]])),"")</f>
        <v>1</v>
      </c>
      <c r="C14" s="10">
        <f ca="1">IF(PaymentSchedule32[[#This Row],[Payment Number]]&lt;&gt;"",EOMONTH(LoanStartDate,ROW(PaymentSchedule32[[#This Row],[Payment Number]])-ROW(PaymentSchedule32[[#Headers],[Payment Number]])-2)+DAY(LoanStartDate),"")</f>
        <v>44779</v>
      </c>
      <c r="D14" s="7">
        <f ca="1">IF(PaymentSchedule32[[#This Row],[Payment Number]]&lt;&gt;"",IF(ROW()-ROW(PaymentSchedule32[[#Headers],[Beginning
Balance]])=1,LoanAmount,INDEX(PaymentSchedule32[Ending
Balance],ROW()-ROW(PaymentSchedule32[[#Headers],[Beginning
Balance]])-1)),"")</f>
        <v>1963.64</v>
      </c>
      <c r="E14" s="31">
        <f ca="1">IF(PaymentSchedule32[[#This Row],[Payment Number]]&lt;&gt;"",ScheduledPayment,"")</f>
        <v>77.286860725348134</v>
      </c>
      <c r="F14"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14"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14" s="7">
        <f ca="1">IF(PaymentSchedule32[[#This Row],[Payment Number]]&lt;&gt;"",PaymentSchedule32[[#This Row],[Total
Payment]]-PaymentSchedule32[[#This Row],[Interest]],"")</f>
        <v>37.621332725348132</v>
      </c>
      <c r="I14" s="32">
        <f ca="1">IF(PaymentSchedule32[[#This Row],[Payment Number]]&lt;&gt;"",PaymentSchedule32[[#This Row],[Beginning
Balance]]*(InterestRate/PaymentsPerYear),"")</f>
        <v>39.665528000000002</v>
      </c>
      <c r="J14" s="7">
        <f ca="1">IF(PaymentSchedule32[[#This Row],[Payment Number]]&lt;&gt;"",IF(PaymentSchedule32[[#This Row],[Scheduled Payment]]+PaymentSchedule32[[#This Row],[Extra
Payment]]&lt;=PaymentSchedule32[[#This Row],[Beginning
Balance]],PaymentSchedule32[[#This Row],[Beginning
Balance]]-PaymentSchedule32[[#This Row],[Principal]],0),"")</f>
        <v>1926.018667274652</v>
      </c>
      <c r="K14" s="32">
        <f ca="1">IF(PaymentSchedule32[[#This Row],[Payment Number]]&lt;&gt;"",SUM(INDEX(PaymentSchedule32[Interest],1,1):PaymentSchedule32[[#This Row],[Interest]]),"")</f>
        <v>39.665528000000002</v>
      </c>
    </row>
    <row r="15" spans="2:11" ht="24" customHeight="1" x14ac:dyDescent="0.25">
      <c r="B15" s="30">
        <f ca="1">IF(LoanIsGood,IF(ROW()-ROW(PaymentSchedule32[[#Headers],[Payment Number]])&gt;ScheduledNumberOfPayments,"",ROW()-ROW(PaymentSchedule32[[#Headers],[Payment Number]])),"")</f>
        <v>2</v>
      </c>
      <c r="C15" s="10">
        <f ca="1">IF(PaymentSchedule32[[#This Row],[Payment Number]]&lt;&gt;"",EOMONTH(LoanStartDate,ROW(PaymentSchedule32[[#This Row],[Payment Number]])-ROW(PaymentSchedule32[[#Headers],[Payment Number]])-2)+DAY(LoanStartDate),"")</f>
        <v>44810</v>
      </c>
      <c r="D15" s="7">
        <f ca="1">IF(PaymentSchedule32[[#This Row],[Payment Number]]&lt;&gt;"",IF(ROW()-ROW(PaymentSchedule32[[#Headers],[Beginning
Balance]])=1,LoanAmount,INDEX(PaymentSchedule32[Ending
Balance],ROW()-ROW(PaymentSchedule32[[#Headers],[Beginning
Balance]])-1)),"")</f>
        <v>1926.018667274652</v>
      </c>
      <c r="E15" s="31">
        <f ca="1">IF(PaymentSchedule32[[#This Row],[Payment Number]]&lt;&gt;"",ScheduledPayment,"")</f>
        <v>77.286860725348134</v>
      </c>
      <c r="F15"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15"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15" s="7">
        <f ca="1">IF(PaymentSchedule32[[#This Row],[Payment Number]]&lt;&gt;"",PaymentSchedule32[[#This Row],[Total
Payment]]-PaymentSchedule32[[#This Row],[Interest]],"")</f>
        <v>38.381283646400163</v>
      </c>
      <c r="I15" s="32">
        <f ca="1">IF(PaymentSchedule32[[#This Row],[Payment Number]]&lt;&gt;"",PaymentSchedule32[[#This Row],[Beginning
Balance]]*(InterestRate/PaymentsPerYear),"")</f>
        <v>38.905577078947971</v>
      </c>
      <c r="J15" s="7">
        <f ca="1">IF(PaymentSchedule32[[#This Row],[Payment Number]]&lt;&gt;"",IF(PaymentSchedule32[[#This Row],[Scheduled Payment]]+PaymentSchedule32[[#This Row],[Extra
Payment]]&lt;=PaymentSchedule32[[#This Row],[Beginning
Balance]],PaymentSchedule32[[#This Row],[Beginning
Balance]]-PaymentSchedule32[[#This Row],[Principal]],0),"")</f>
        <v>1887.6373836282519</v>
      </c>
      <c r="K15" s="32">
        <f ca="1">IF(PaymentSchedule32[[#This Row],[Payment Number]]&lt;&gt;"",SUM(INDEX(PaymentSchedule32[Interest],1,1):PaymentSchedule32[[#This Row],[Interest]]),"")</f>
        <v>78.571105078947966</v>
      </c>
    </row>
    <row r="16" spans="2:11" ht="24" customHeight="1" x14ac:dyDescent="0.25">
      <c r="B16" s="30">
        <f ca="1">IF(LoanIsGood,IF(ROW()-ROW(PaymentSchedule32[[#Headers],[Payment Number]])&gt;ScheduledNumberOfPayments,"",ROW()-ROW(PaymentSchedule32[[#Headers],[Payment Number]])),"")</f>
        <v>3</v>
      </c>
      <c r="C16" s="10">
        <f ca="1">IF(PaymentSchedule32[[#This Row],[Payment Number]]&lt;&gt;"",EOMONTH(LoanStartDate,ROW(PaymentSchedule32[[#This Row],[Payment Number]])-ROW(PaymentSchedule32[[#Headers],[Payment Number]])-2)+DAY(LoanStartDate),"")</f>
        <v>44840</v>
      </c>
      <c r="D16" s="7">
        <f ca="1">IF(PaymentSchedule32[[#This Row],[Payment Number]]&lt;&gt;"",IF(ROW()-ROW(PaymentSchedule32[[#Headers],[Beginning
Balance]])=1,LoanAmount,INDEX(PaymentSchedule32[Ending
Balance],ROW()-ROW(PaymentSchedule32[[#Headers],[Beginning
Balance]])-1)),"")</f>
        <v>1887.6373836282519</v>
      </c>
      <c r="E16" s="31">
        <f ca="1">IF(PaymentSchedule32[[#This Row],[Payment Number]]&lt;&gt;"",ScheduledPayment,"")</f>
        <v>77.286860725348134</v>
      </c>
      <c r="F16"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16"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16" s="7">
        <f ca="1">IF(PaymentSchedule32[[#This Row],[Payment Number]]&lt;&gt;"",PaymentSchedule32[[#This Row],[Total
Payment]]-PaymentSchedule32[[#This Row],[Interest]],"")</f>
        <v>39.156585576057445</v>
      </c>
      <c r="I16" s="32">
        <f ca="1">IF(PaymentSchedule32[[#This Row],[Payment Number]]&lt;&gt;"",PaymentSchedule32[[#This Row],[Beginning
Balance]]*(InterestRate/PaymentsPerYear),"")</f>
        <v>38.130275149290689</v>
      </c>
      <c r="J16" s="7">
        <f ca="1">IF(PaymentSchedule32[[#This Row],[Payment Number]]&lt;&gt;"",IF(PaymentSchedule32[[#This Row],[Scheduled Payment]]+PaymentSchedule32[[#This Row],[Extra
Payment]]&lt;=PaymentSchedule32[[#This Row],[Beginning
Balance]],PaymentSchedule32[[#This Row],[Beginning
Balance]]-PaymentSchedule32[[#This Row],[Principal]],0),"")</f>
        <v>1848.4807980521944</v>
      </c>
      <c r="K16" s="32">
        <f ca="1">IF(PaymentSchedule32[[#This Row],[Payment Number]]&lt;&gt;"",SUM(INDEX(PaymentSchedule32[Interest],1,1):PaymentSchedule32[[#This Row],[Interest]]),"")</f>
        <v>116.70138022823866</v>
      </c>
    </row>
    <row r="17" spans="2:11" ht="24" customHeight="1" x14ac:dyDescent="0.25">
      <c r="B17" s="30">
        <f ca="1">IF(LoanIsGood,IF(ROW()-ROW(PaymentSchedule32[[#Headers],[Payment Number]])&gt;ScheduledNumberOfPayments,"",ROW()-ROW(PaymentSchedule32[[#Headers],[Payment Number]])),"")</f>
        <v>4</v>
      </c>
      <c r="C17" s="10">
        <f ca="1">IF(PaymentSchedule32[[#This Row],[Payment Number]]&lt;&gt;"",EOMONTH(LoanStartDate,ROW(PaymentSchedule32[[#This Row],[Payment Number]])-ROW(PaymentSchedule32[[#Headers],[Payment Number]])-2)+DAY(LoanStartDate),"")</f>
        <v>44871</v>
      </c>
      <c r="D17" s="7">
        <f ca="1">IF(PaymentSchedule32[[#This Row],[Payment Number]]&lt;&gt;"",IF(ROW()-ROW(PaymentSchedule32[[#Headers],[Beginning
Balance]])=1,LoanAmount,INDEX(PaymentSchedule32[Ending
Balance],ROW()-ROW(PaymentSchedule32[[#Headers],[Beginning
Balance]])-1)),"")</f>
        <v>1848.4807980521944</v>
      </c>
      <c r="E17" s="31">
        <f ca="1">IF(PaymentSchedule32[[#This Row],[Payment Number]]&lt;&gt;"",ScheduledPayment,"")</f>
        <v>77.286860725348134</v>
      </c>
      <c r="F17"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17"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17" s="7">
        <f ca="1">IF(PaymentSchedule32[[#This Row],[Payment Number]]&lt;&gt;"",PaymentSchedule32[[#This Row],[Total
Payment]]-PaymentSchedule32[[#This Row],[Interest]],"")</f>
        <v>39.947548604693807</v>
      </c>
      <c r="I17" s="32">
        <f ca="1">IF(PaymentSchedule32[[#This Row],[Payment Number]]&lt;&gt;"",PaymentSchedule32[[#This Row],[Beginning
Balance]]*(InterestRate/PaymentsPerYear),"")</f>
        <v>37.339312120654327</v>
      </c>
      <c r="J17" s="7">
        <f ca="1">IF(PaymentSchedule32[[#This Row],[Payment Number]]&lt;&gt;"",IF(PaymentSchedule32[[#This Row],[Scheduled Payment]]+PaymentSchedule32[[#This Row],[Extra
Payment]]&lt;=PaymentSchedule32[[#This Row],[Beginning
Balance]],PaymentSchedule32[[#This Row],[Beginning
Balance]]-PaymentSchedule32[[#This Row],[Principal]],0),"")</f>
        <v>1808.5332494475006</v>
      </c>
      <c r="K17" s="32">
        <f ca="1">IF(PaymentSchedule32[[#This Row],[Payment Number]]&lt;&gt;"",SUM(INDEX(PaymentSchedule32[Interest],1,1):PaymentSchedule32[[#This Row],[Interest]]),"")</f>
        <v>154.040692348893</v>
      </c>
    </row>
    <row r="18" spans="2:11" ht="24" customHeight="1" x14ac:dyDescent="0.25">
      <c r="B18" s="30">
        <f ca="1">IF(LoanIsGood,IF(ROW()-ROW(PaymentSchedule32[[#Headers],[Payment Number]])&gt;ScheduledNumberOfPayments,"",ROW()-ROW(PaymentSchedule32[[#Headers],[Payment Number]])),"")</f>
        <v>5</v>
      </c>
      <c r="C18" s="10">
        <f ca="1">IF(PaymentSchedule32[[#This Row],[Payment Number]]&lt;&gt;"",EOMONTH(LoanStartDate,ROW(PaymentSchedule32[[#This Row],[Payment Number]])-ROW(PaymentSchedule32[[#Headers],[Payment Number]])-2)+DAY(LoanStartDate),"")</f>
        <v>44901</v>
      </c>
      <c r="D18" s="7">
        <f ca="1">IF(PaymentSchedule32[[#This Row],[Payment Number]]&lt;&gt;"",IF(ROW()-ROW(PaymentSchedule32[[#Headers],[Beginning
Balance]])=1,LoanAmount,INDEX(PaymentSchedule32[Ending
Balance],ROW()-ROW(PaymentSchedule32[[#Headers],[Beginning
Balance]])-1)),"")</f>
        <v>1808.5332494475006</v>
      </c>
      <c r="E18" s="31">
        <f ca="1">IF(PaymentSchedule32[[#This Row],[Payment Number]]&lt;&gt;"",ScheduledPayment,"")</f>
        <v>77.286860725348134</v>
      </c>
      <c r="F18"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18"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18" s="7">
        <f ca="1">IF(PaymentSchedule32[[#This Row],[Payment Number]]&lt;&gt;"",PaymentSchedule32[[#This Row],[Total
Payment]]-PaymentSchedule32[[#This Row],[Interest]],"")</f>
        <v>40.754489086508627</v>
      </c>
      <c r="I18" s="32">
        <f ca="1">IF(PaymentSchedule32[[#This Row],[Payment Number]]&lt;&gt;"",PaymentSchedule32[[#This Row],[Beginning
Balance]]*(InterestRate/PaymentsPerYear),"")</f>
        <v>36.532371638839507</v>
      </c>
      <c r="J18" s="7">
        <f ca="1">IF(PaymentSchedule32[[#This Row],[Payment Number]]&lt;&gt;"",IF(PaymentSchedule32[[#This Row],[Scheduled Payment]]+PaymentSchedule32[[#This Row],[Extra
Payment]]&lt;=PaymentSchedule32[[#This Row],[Beginning
Balance]],PaymentSchedule32[[#This Row],[Beginning
Balance]]-PaymentSchedule32[[#This Row],[Principal]],0),"")</f>
        <v>1767.778760360992</v>
      </c>
      <c r="K18" s="32">
        <f ca="1">IF(PaymentSchedule32[[#This Row],[Payment Number]]&lt;&gt;"",SUM(INDEX(PaymentSchedule32[Interest],1,1):PaymentSchedule32[[#This Row],[Interest]]),"")</f>
        <v>190.5730639877325</v>
      </c>
    </row>
    <row r="19" spans="2:11" ht="24" customHeight="1" x14ac:dyDescent="0.25">
      <c r="B19" s="30">
        <f ca="1">IF(LoanIsGood,IF(ROW()-ROW(PaymentSchedule32[[#Headers],[Payment Number]])&gt;ScheduledNumberOfPayments,"",ROW()-ROW(PaymentSchedule32[[#Headers],[Payment Number]])),"")</f>
        <v>6</v>
      </c>
      <c r="C19" s="10">
        <f ca="1">IF(PaymentSchedule32[[#This Row],[Payment Number]]&lt;&gt;"",EOMONTH(LoanStartDate,ROW(PaymentSchedule32[[#This Row],[Payment Number]])-ROW(PaymentSchedule32[[#Headers],[Payment Number]])-2)+DAY(LoanStartDate),"")</f>
        <v>44932</v>
      </c>
      <c r="D19" s="7">
        <f ca="1">IF(PaymentSchedule32[[#This Row],[Payment Number]]&lt;&gt;"",IF(ROW()-ROW(PaymentSchedule32[[#Headers],[Beginning
Balance]])=1,LoanAmount,INDEX(PaymentSchedule32[Ending
Balance],ROW()-ROW(PaymentSchedule32[[#Headers],[Beginning
Balance]])-1)),"")</f>
        <v>1767.778760360992</v>
      </c>
      <c r="E19" s="31">
        <f ca="1">IF(PaymentSchedule32[[#This Row],[Payment Number]]&lt;&gt;"",ScheduledPayment,"")</f>
        <v>77.286860725348134</v>
      </c>
      <c r="F19"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19"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19" s="7">
        <f ca="1">IF(PaymentSchedule32[[#This Row],[Payment Number]]&lt;&gt;"",PaymentSchedule32[[#This Row],[Total
Payment]]-PaymentSchedule32[[#This Row],[Interest]],"")</f>
        <v>41.577729766056095</v>
      </c>
      <c r="I19" s="32">
        <f ca="1">IF(PaymentSchedule32[[#This Row],[Payment Number]]&lt;&gt;"",PaymentSchedule32[[#This Row],[Beginning
Balance]]*(InterestRate/PaymentsPerYear),"")</f>
        <v>35.70913095929204</v>
      </c>
      <c r="J19" s="7">
        <f ca="1">IF(PaymentSchedule32[[#This Row],[Payment Number]]&lt;&gt;"",IF(PaymentSchedule32[[#This Row],[Scheduled Payment]]+PaymentSchedule32[[#This Row],[Extra
Payment]]&lt;=PaymentSchedule32[[#This Row],[Beginning
Balance]],PaymentSchedule32[[#This Row],[Beginning
Balance]]-PaymentSchedule32[[#This Row],[Principal]],0),"")</f>
        <v>1726.2010305949359</v>
      </c>
      <c r="K19" s="32">
        <f ca="1">IF(PaymentSchedule32[[#This Row],[Payment Number]]&lt;&gt;"",SUM(INDEX(PaymentSchedule32[Interest],1,1):PaymentSchedule32[[#This Row],[Interest]]),"")</f>
        <v>226.28219494702455</v>
      </c>
    </row>
    <row r="20" spans="2:11" ht="24" customHeight="1" x14ac:dyDescent="0.25">
      <c r="B20" s="30">
        <f ca="1">IF(LoanIsGood,IF(ROW()-ROW(PaymentSchedule32[[#Headers],[Payment Number]])&gt;ScheduledNumberOfPayments,"",ROW()-ROW(PaymentSchedule32[[#Headers],[Payment Number]])),"")</f>
        <v>7</v>
      </c>
      <c r="C20" s="10">
        <f ca="1">IF(PaymentSchedule32[[#This Row],[Payment Number]]&lt;&gt;"",EOMONTH(LoanStartDate,ROW(PaymentSchedule32[[#This Row],[Payment Number]])-ROW(PaymentSchedule32[[#Headers],[Payment Number]])-2)+DAY(LoanStartDate),"")</f>
        <v>44963</v>
      </c>
      <c r="D20" s="7">
        <f ca="1">IF(PaymentSchedule32[[#This Row],[Payment Number]]&lt;&gt;"",IF(ROW()-ROW(PaymentSchedule32[[#Headers],[Beginning
Balance]])=1,LoanAmount,INDEX(PaymentSchedule32[Ending
Balance],ROW()-ROW(PaymentSchedule32[[#Headers],[Beginning
Balance]])-1)),"")</f>
        <v>1726.2010305949359</v>
      </c>
      <c r="E20" s="31">
        <f ca="1">IF(PaymentSchedule32[[#This Row],[Payment Number]]&lt;&gt;"",ScheduledPayment,"")</f>
        <v>77.286860725348134</v>
      </c>
      <c r="F20"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20"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20" s="7">
        <f ca="1">IF(PaymentSchedule32[[#This Row],[Payment Number]]&lt;&gt;"",PaymentSchedule32[[#This Row],[Total
Payment]]-PaymentSchedule32[[#This Row],[Interest]],"")</f>
        <v>42.417599907330434</v>
      </c>
      <c r="I20" s="32">
        <f ca="1">IF(PaymentSchedule32[[#This Row],[Payment Number]]&lt;&gt;"",PaymentSchedule32[[#This Row],[Beginning
Balance]]*(InterestRate/PaymentsPerYear),"")</f>
        <v>34.8692608180177</v>
      </c>
      <c r="J20" s="7">
        <f ca="1">IF(PaymentSchedule32[[#This Row],[Payment Number]]&lt;&gt;"",IF(PaymentSchedule32[[#This Row],[Scheduled Payment]]+PaymentSchedule32[[#This Row],[Extra
Payment]]&lt;=PaymentSchedule32[[#This Row],[Beginning
Balance]],PaymentSchedule32[[#This Row],[Beginning
Balance]]-PaymentSchedule32[[#This Row],[Principal]],0),"")</f>
        <v>1683.7834306876055</v>
      </c>
      <c r="K20" s="32">
        <f ca="1">IF(PaymentSchedule32[[#This Row],[Payment Number]]&lt;&gt;"",SUM(INDEX(PaymentSchedule32[Interest],1,1):PaymentSchedule32[[#This Row],[Interest]]),"")</f>
        <v>261.15145576504227</v>
      </c>
    </row>
    <row r="21" spans="2:11" ht="24" customHeight="1" x14ac:dyDescent="0.25">
      <c r="B21" s="30">
        <f ca="1">IF(LoanIsGood,IF(ROW()-ROW(PaymentSchedule32[[#Headers],[Payment Number]])&gt;ScheduledNumberOfPayments,"",ROW()-ROW(PaymentSchedule32[[#Headers],[Payment Number]])),"")</f>
        <v>8</v>
      </c>
      <c r="C21" s="10">
        <f ca="1">IF(PaymentSchedule32[[#This Row],[Payment Number]]&lt;&gt;"",EOMONTH(LoanStartDate,ROW(PaymentSchedule32[[#This Row],[Payment Number]])-ROW(PaymentSchedule32[[#Headers],[Payment Number]])-2)+DAY(LoanStartDate),"")</f>
        <v>44991</v>
      </c>
      <c r="D21" s="7">
        <f ca="1">IF(PaymentSchedule32[[#This Row],[Payment Number]]&lt;&gt;"",IF(ROW()-ROW(PaymentSchedule32[[#Headers],[Beginning
Balance]])=1,LoanAmount,INDEX(PaymentSchedule32[Ending
Balance],ROW()-ROW(PaymentSchedule32[[#Headers],[Beginning
Balance]])-1)),"")</f>
        <v>1683.7834306876055</v>
      </c>
      <c r="E21" s="31">
        <f ca="1">IF(PaymentSchedule32[[#This Row],[Payment Number]]&lt;&gt;"",ScheduledPayment,"")</f>
        <v>77.286860725348134</v>
      </c>
      <c r="F21"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21"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21" s="7">
        <f ca="1">IF(PaymentSchedule32[[#This Row],[Payment Number]]&lt;&gt;"",PaymentSchedule32[[#This Row],[Total
Payment]]-PaymentSchedule32[[#This Row],[Interest]],"")</f>
        <v>43.274435425458506</v>
      </c>
      <c r="I21" s="32">
        <f ca="1">IF(PaymentSchedule32[[#This Row],[Payment Number]]&lt;&gt;"",PaymentSchedule32[[#This Row],[Beginning
Balance]]*(InterestRate/PaymentsPerYear),"")</f>
        <v>34.012425299889628</v>
      </c>
      <c r="J21" s="7">
        <f ca="1">IF(PaymentSchedule32[[#This Row],[Payment Number]]&lt;&gt;"",IF(PaymentSchedule32[[#This Row],[Scheduled Payment]]+PaymentSchedule32[[#This Row],[Extra
Payment]]&lt;=PaymentSchedule32[[#This Row],[Beginning
Balance]],PaymentSchedule32[[#This Row],[Beginning
Balance]]-PaymentSchedule32[[#This Row],[Principal]],0),"")</f>
        <v>1640.508995262147</v>
      </c>
      <c r="K21" s="32">
        <f ca="1">IF(PaymentSchedule32[[#This Row],[Payment Number]]&lt;&gt;"",SUM(INDEX(PaymentSchedule32[Interest],1,1):PaymentSchedule32[[#This Row],[Interest]]),"")</f>
        <v>295.1638810649319</v>
      </c>
    </row>
    <row r="22" spans="2:11" ht="24" customHeight="1" x14ac:dyDescent="0.25">
      <c r="B22" s="30">
        <f ca="1">IF(LoanIsGood,IF(ROW()-ROW(PaymentSchedule32[[#Headers],[Payment Number]])&gt;ScheduledNumberOfPayments,"",ROW()-ROW(PaymentSchedule32[[#Headers],[Payment Number]])),"")</f>
        <v>9</v>
      </c>
      <c r="C22" s="10">
        <f ca="1">IF(PaymentSchedule32[[#This Row],[Payment Number]]&lt;&gt;"",EOMONTH(LoanStartDate,ROW(PaymentSchedule32[[#This Row],[Payment Number]])-ROW(PaymentSchedule32[[#Headers],[Payment Number]])-2)+DAY(LoanStartDate),"")</f>
        <v>45022</v>
      </c>
      <c r="D22" s="7">
        <f ca="1">IF(PaymentSchedule32[[#This Row],[Payment Number]]&lt;&gt;"",IF(ROW()-ROW(PaymentSchedule32[[#Headers],[Beginning
Balance]])=1,LoanAmount,INDEX(PaymentSchedule32[Ending
Balance],ROW()-ROW(PaymentSchedule32[[#Headers],[Beginning
Balance]])-1)),"")</f>
        <v>1640.508995262147</v>
      </c>
      <c r="E22" s="31">
        <f ca="1">IF(PaymentSchedule32[[#This Row],[Payment Number]]&lt;&gt;"",ScheduledPayment,"")</f>
        <v>77.286860725348134</v>
      </c>
      <c r="F22"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22"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22" s="7">
        <f ca="1">IF(PaymentSchedule32[[#This Row],[Payment Number]]&lt;&gt;"",PaymentSchedule32[[#This Row],[Total
Payment]]-PaymentSchedule32[[#This Row],[Interest]],"")</f>
        <v>44.148579021052768</v>
      </c>
      <c r="I22" s="32">
        <f ca="1">IF(PaymentSchedule32[[#This Row],[Payment Number]]&lt;&gt;"",PaymentSchedule32[[#This Row],[Beginning
Balance]]*(InterestRate/PaymentsPerYear),"")</f>
        <v>33.138281704295366</v>
      </c>
      <c r="J22" s="7">
        <f ca="1">IF(PaymentSchedule32[[#This Row],[Payment Number]]&lt;&gt;"",IF(PaymentSchedule32[[#This Row],[Scheduled Payment]]+PaymentSchedule32[[#This Row],[Extra
Payment]]&lt;=PaymentSchedule32[[#This Row],[Beginning
Balance]],PaymentSchedule32[[#This Row],[Beginning
Balance]]-PaymentSchedule32[[#This Row],[Principal]],0),"")</f>
        <v>1596.3604162410943</v>
      </c>
      <c r="K22" s="32">
        <f ca="1">IF(PaymentSchedule32[[#This Row],[Payment Number]]&lt;&gt;"",SUM(INDEX(PaymentSchedule32[Interest],1,1):PaymentSchedule32[[#This Row],[Interest]]),"")</f>
        <v>328.30216276922727</v>
      </c>
    </row>
    <row r="23" spans="2:11" ht="24" customHeight="1" x14ac:dyDescent="0.25">
      <c r="B23" s="30">
        <f ca="1">IF(LoanIsGood,IF(ROW()-ROW(PaymentSchedule32[[#Headers],[Payment Number]])&gt;ScheduledNumberOfPayments,"",ROW()-ROW(PaymentSchedule32[[#Headers],[Payment Number]])),"")</f>
        <v>10</v>
      </c>
      <c r="C23" s="10">
        <f ca="1">IF(PaymentSchedule32[[#This Row],[Payment Number]]&lt;&gt;"",EOMONTH(LoanStartDate,ROW(PaymentSchedule32[[#This Row],[Payment Number]])-ROW(PaymentSchedule32[[#Headers],[Payment Number]])-2)+DAY(LoanStartDate),"")</f>
        <v>45052</v>
      </c>
      <c r="D23" s="7">
        <f ca="1">IF(PaymentSchedule32[[#This Row],[Payment Number]]&lt;&gt;"",IF(ROW()-ROW(PaymentSchedule32[[#Headers],[Beginning
Balance]])=1,LoanAmount,INDEX(PaymentSchedule32[Ending
Balance],ROW()-ROW(PaymentSchedule32[[#Headers],[Beginning
Balance]])-1)),"")</f>
        <v>1596.3604162410943</v>
      </c>
      <c r="E23" s="31">
        <f ca="1">IF(PaymentSchedule32[[#This Row],[Payment Number]]&lt;&gt;"",ScheduledPayment,"")</f>
        <v>77.286860725348134</v>
      </c>
      <c r="F23" s="7">
        <f ca="1">IF(PaymentSchedule32[[#This Row],[Payment Number]]&lt;&gt;"",IF(PaymentSchedule32[[#This Row],[Scheduled Payment]]+ExtraPayments&lt;PaymentSchedule32[[#This Row],[Beginning
Balance]],ExtraPayments,IF(PaymentSchedule32[[#This Row],[Beginning
Balance]]-PaymentSchedule32[[#This Row],[Scheduled Payment]]&gt;0,PaymentSchedule32[[#This Row],[Beginning
Balance]]-PaymentSchedule32[[#This Row],[Scheduled Payment]],0)),"")</f>
        <v>0</v>
      </c>
      <c r="G23" s="7">
        <f ca="1">IF(PaymentSchedule32[[#This Row],[Payment Number]]&lt;&gt;"",IF(PaymentSchedule32[[#This Row],[Scheduled Payment]]+PaymentSchedule32[[#This Row],[Extra
Payment]]&lt;=PaymentSchedule32[[#This Row],[Beginning
Balance]],PaymentSchedule32[[#This Row],[Scheduled Payment]]+PaymentSchedule32[[#This Row],[Extra
Payment]],PaymentSchedule32[[#This Row],[Beginning
Balance]]),"")</f>
        <v>77.286860725348134</v>
      </c>
      <c r="H23" s="7">
        <f ca="1">IF(PaymentSchedule32[[#This Row],[Payment Number]]&lt;&gt;"",PaymentSchedule32[[#This Row],[Total
Payment]]-PaymentSchedule32[[#This Row],[Interest]],"")</f>
        <v>45.040380317278029</v>
      </c>
      <c r="I23" s="32">
        <f ca="1">IF(PaymentSchedule32[[#This Row],[Payment Number]]&lt;&gt;"",PaymentSchedule32[[#This Row],[Beginning
Balance]]*(InterestRate/PaymentsPerYear),"")</f>
        <v>32.246480408070106</v>
      </c>
      <c r="J23" s="7">
        <f ca="1">IF(PaymentSchedule32[[#This Row],[Payment Number]]&lt;&gt;"",IF(PaymentSchedule32[[#This Row],[Scheduled Payment]]+PaymentSchedule32[[#This Row],[Extra
Payment]]&lt;=PaymentSchedule32[[#This Row],[Beginning
Balance]],PaymentSchedule32[[#This Row],[Beginning
Balance]]-PaymentSchedule32[[#This Row],[Principal]],0),"")</f>
        <v>1551.3200359238162</v>
      </c>
      <c r="K23" s="32">
        <f ca="1">IF(PaymentSchedule32[[#This Row],[Payment Number]]&lt;&gt;"",SUM(INDEX(PaymentSchedule32[Interest],1,1):PaymentSchedule32[[#This Row],[Interest]]),"")</f>
        <v>360.54864317729738</v>
      </c>
    </row>
  </sheetData>
  <mergeCells count="20">
    <mergeCell ref="G5:H5"/>
    <mergeCell ref="I5:K5"/>
    <mergeCell ref="G6:H6"/>
    <mergeCell ref="I6:K6"/>
    <mergeCell ref="C2:K2"/>
    <mergeCell ref="B5:D5"/>
    <mergeCell ref="B6:D6"/>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23">
    <cfRule type="expression" dxfId="2" priority="1">
      <formula>($B14="")+(($D14=0)*($F14=0))</formula>
    </cfRule>
  </conditionalFormatting>
  <dataValidations count="25">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Enter Loan Amount in this cell" sqref="E5" xr:uid="{A8FD2C6B-0619-4385-9C1B-BB9E89167B95}"/>
    <dataValidation allowBlank="1" showInputMessage="1" showErrorMessage="1" prompt="Enter interest rate to be paid annually in this cell" sqref="E6" xr:uid="{D4A44E56-2418-495E-9BCA-5BCFE5E96E74}"/>
    <dataValidation allowBlank="1" showInputMessage="1" showErrorMessage="1" prompt="Enter loan period in years in this cell" sqref="E7" xr:uid="{0397BDA9-9E78-4890-A6B2-28C2D9B7E9A3}"/>
    <dataValidation allowBlank="1" showInputMessage="1" showErrorMessage="1" prompt="Enter the number of payments to be made in a year in this cell" sqref="E8" xr:uid="{6080DD76-3A8E-4C1B-8CE2-553DA61F4240}"/>
    <dataValidation allowBlank="1" showInputMessage="1" showErrorMessage="1" prompt="Enter the start date of loan in this cell" sqref="E9" xr:uid="{FC353A50-0E99-4F96-BF86-15FD00A62E5B}"/>
    <dataValidation allowBlank="1" showInputMessage="1" showErrorMessage="1" prompt="Enter the amount of extra payment in this cell" sqref="E11" xr:uid="{E7BD987D-D7CA-4DBA-99CC-298791804D75}"/>
    <dataValidation allowBlank="1" showInputMessage="1" showErrorMessage="1" prompt="Automatically calculated total interest" sqref="I9" xr:uid="{B6A179D9-4B93-4C7C-810A-F12B7FC8EE4B}"/>
    <dataValidation allowBlank="1" showInputMessage="1" showErrorMessage="1" prompt="Automatically updated scheduled payment amount" sqref="I5" xr:uid="{F2DD4887-845B-455E-BAEB-57AC02B59F2F}"/>
    <dataValidation allowBlank="1" showInputMessage="1" showErrorMessage="1" prompt="Automatically updated scheduled number of payments" sqref="I6" xr:uid="{9388C63A-AFBA-4C17-AB2F-0D309F8CB992}"/>
    <dataValidation allowBlank="1" showInputMessage="1" showErrorMessage="1" prompt="Automatically updated actual number of payments" sqref="I7" xr:uid="{600C4CB5-0E5A-4CEE-BC4A-375DABB3F52A}"/>
    <dataValidation allowBlank="1" showInputMessage="1" showErrorMessage="1" prompt="Automatically updated total early payments" sqref="I8" xr:uid="{3883319A-5381-4298-8BB5-27FAE8093B26}"/>
    <dataValidation allowBlank="1" showInputMessage="1" showErrorMessage="1" prompt="Payment number is automatically updated in this column" sqref="B13" xr:uid="{7CD0DAF3-B8F5-4728-9D9A-857ACB918E70}"/>
    <dataValidation allowBlank="1" showInputMessage="1" showErrorMessage="1" prompt="Payment date is automatically updated in this column" sqref="C13" xr:uid="{325B9C27-C801-4377-A9FF-2E51A0980179}"/>
    <dataValidation allowBlank="1" showInputMessage="1" showErrorMessage="1" prompt="Beginning balance is automatically updated in this column" sqref="D13" xr:uid="{2E0465BF-3149-4770-AEF5-578C39256318}"/>
    <dataValidation allowBlank="1" showInputMessage="1" showErrorMessage="1" prompt="Scheduled payment is automatically updated in this column" sqref="E13" xr:uid="{AC827F85-C60C-4034-B766-81C176B18CAB}"/>
    <dataValidation allowBlank="1" showInputMessage="1" showErrorMessage="1" prompt="Extra payment is automatically updated in this column" sqref="F13" xr:uid="{9319C4EA-8B01-41B2-8CEC-4840852D26BD}"/>
    <dataValidation allowBlank="1" showInputMessage="1" showErrorMessage="1" prompt="Total payment is automatically updated in this column" sqref="G13" xr:uid="{879F7196-49CB-4D6D-AF3E-A97252EA5D0E}"/>
    <dataValidation allowBlank="1" showInputMessage="1" showErrorMessage="1" prompt="Principal is automatically updated in this column" sqref="H13" xr:uid="{06FC0B54-F6BE-4962-88AF-58C6CF8BFA28}"/>
    <dataValidation allowBlank="1" showInputMessage="1" showErrorMessage="1" prompt="Interest is automatically updated in this column" sqref="I13" xr:uid="{46B3C13B-2AD3-488F-B3D3-CDE3BD29EE21}"/>
    <dataValidation allowBlank="1" showInputMessage="1" showErrorMessage="1" prompt="Ending balance is automatically updated in this column" sqref="J13" xr:uid="{9E9FE9EC-8AAF-4F4C-8DD9-0DD4E618C907}"/>
    <dataValidation allowBlank="1" showInputMessage="1" showErrorMessage="1" prompt="Cumulative interest is automatically updated in this column" sqref="K13" xr:uid="{39FCF65A-8BF2-4A41-956A-9264E8590921}"/>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04E1-F517-4F9F-A637-7B2592A68219}">
  <sheetPr>
    <tabColor theme="4" tint="-0.499984740745262"/>
    <pageSetUpPr autoPageBreaks="0" fitToPage="1"/>
  </sheetPr>
  <dimension ref="B1:K23"/>
  <sheetViews>
    <sheetView showGridLines="0" zoomScaleNormal="100" workbookViewId="0">
      <selection activeCell="G14" sqref="G14"/>
    </sheetView>
  </sheetViews>
  <sheetFormatPr defaultColWidth="8.85546875" defaultRowHeight="15" x14ac:dyDescent="0.25"/>
  <cols>
    <col min="1" max="1" width="3.5703125" customWidth="1"/>
    <col min="2" max="2" width="12.85546875" customWidth="1"/>
    <col min="3" max="3" width="14.7109375" customWidth="1"/>
    <col min="4" max="4" width="16.7109375" customWidth="1"/>
    <col min="5" max="10" width="15.7109375" customWidth="1"/>
    <col min="11" max="11" width="17.7109375" customWidth="1"/>
  </cols>
  <sheetData>
    <row r="1" spans="2:11" s="1" customFormat="1" ht="21" customHeight="1" x14ac:dyDescent="0.25">
      <c r="B1" s="6"/>
      <c r="C1" s="6"/>
      <c r="D1" s="6"/>
      <c r="E1" s="6"/>
      <c r="F1" s="6"/>
      <c r="G1" s="6"/>
      <c r="H1" s="6"/>
      <c r="I1" s="6"/>
      <c r="J1" s="6"/>
      <c r="K1" s="6"/>
    </row>
    <row r="2" spans="2:11" s="1" customFormat="1" ht="67.900000000000006" customHeight="1" x14ac:dyDescent="0.25">
      <c r="B2" s="6"/>
      <c r="C2" s="45" t="s">
        <v>10</v>
      </c>
      <c r="D2" s="45"/>
      <c r="E2" s="45"/>
      <c r="F2" s="45"/>
      <c r="G2" s="45"/>
      <c r="H2" s="45"/>
      <c r="I2" s="45"/>
      <c r="J2" s="45"/>
      <c r="K2" s="45"/>
    </row>
    <row r="3" spans="2:11" s="1" customFormat="1" ht="24" customHeight="1" x14ac:dyDescent="0.25">
      <c r="B3" s="6"/>
      <c r="C3" s="6"/>
      <c r="D3" s="6"/>
      <c r="E3" s="6"/>
      <c r="F3" s="6"/>
      <c r="G3" s="6"/>
      <c r="H3" s="6"/>
      <c r="I3" s="6"/>
      <c r="J3" s="6"/>
      <c r="K3" s="6"/>
    </row>
    <row r="4" spans="2:11" ht="37.9" customHeight="1" x14ac:dyDescent="0.25">
      <c r="B4" s="15" t="s">
        <v>21</v>
      </c>
      <c r="C4" s="12"/>
      <c r="D4" s="13"/>
      <c r="E4" s="3"/>
      <c r="G4" s="16" t="s">
        <v>11</v>
      </c>
      <c r="H4" s="3"/>
      <c r="I4" s="3"/>
      <c r="J4" s="4"/>
    </row>
    <row r="5" spans="2:11" ht="24" customHeight="1" x14ac:dyDescent="0.25">
      <c r="B5" s="46" t="s">
        <v>0</v>
      </c>
      <c r="C5" s="46"/>
      <c r="D5" s="47"/>
      <c r="E5" s="17">
        <v>3252.35</v>
      </c>
      <c r="G5" s="39" t="s">
        <v>5</v>
      </c>
      <c r="H5" s="40"/>
      <c r="I5" s="41">
        <f ca="1">IF(LoanIsGood,-PMT(InterestRate/PaymentsPerYear,ScheduledNumberOfPayments,LoanAmount),"")</f>
        <v>115.95514837160805</v>
      </c>
      <c r="J5" s="41"/>
      <c r="K5" s="41"/>
    </row>
    <row r="6" spans="2:11" ht="24" customHeight="1" x14ac:dyDescent="0.25">
      <c r="B6" s="46" t="s">
        <v>1</v>
      </c>
      <c r="C6" s="46"/>
      <c r="D6" s="47"/>
      <c r="E6" s="18">
        <v>0.17</v>
      </c>
      <c r="G6" s="48" t="s">
        <v>6</v>
      </c>
      <c r="H6" s="49"/>
      <c r="I6" s="44">
        <f ca="1">IF(LoanIsGood,LoanPeriod*PaymentsPerYear,"")</f>
        <v>36</v>
      </c>
      <c r="J6" s="44"/>
      <c r="K6" s="44"/>
    </row>
    <row r="7" spans="2:11" ht="24" customHeight="1" x14ac:dyDescent="0.25">
      <c r="B7" s="46" t="s">
        <v>2</v>
      </c>
      <c r="C7" s="46"/>
      <c r="D7" s="47"/>
      <c r="E7" s="28">
        <v>3</v>
      </c>
      <c r="G7" s="48" t="s">
        <v>7</v>
      </c>
      <c r="H7" s="49"/>
      <c r="I7" s="44" t="str">
        <f>ActualNumberOfPayments</f>
        <v/>
      </c>
      <c r="J7" s="44"/>
      <c r="K7" s="44"/>
    </row>
    <row r="8" spans="2:11" ht="24" customHeight="1" x14ac:dyDescent="0.25">
      <c r="B8" s="46" t="s">
        <v>3</v>
      </c>
      <c r="C8" s="46"/>
      <c r="D8" s="47"/>
      <c r="E8" s="28">
        <v>12</v>
      </c>
      <c r="G8" s="48" t="s">
        <v>8</v>
      </c>
      <c r="H8" s="49"/>
      <c r="I8" s="50">
        <f ca="1">TotalEarlyPayments</f>
        <v>0</v>
      </c>
      <c r="J8" s="50"/>
      <c r="K8" s="50"/>
    </row>
    <row r="9" spans="2:11" ht="24" customHeight="1" x14ac:dyDescent="0.25">
      <c r="B9" s="46" t="s">
        <v>4</v>
      </c>
      <c r="C9" s="46"/>
      <c r="D9" s="38"/>
      <c r="E9" s="21">
        <f ca="1">TODAY()</f>
        <v>44779</v>
      </c>
      <c r="G9" s="52" t="s">
        <v>9</v>
      </c>
      <c r="H9" s="53"/>
      <c r="I9" s="54">
        <f ca="1">TotalInterest</f>
        <v>414.47557345608067</v>
      </c>
      <c r="J9" s="54"/>
      <c r="K9" s="54"/>
    </row>
    <row r="10" spans="2:11" ht="12.4" customHeight="1" x14ac:dyDescent="0.25">
      <c r="C10" s="8"/>
      <c r="D10" s="8"/>
      <c r="E10" s="9"/>
      <c r="G10" s="22"/>
      <c r="H10" s="22"/>
      <c r="I10" s="59"/>
      <c r="J10" s="59"/>
      <c r="K10" s="59"/>
    </row>
    <row r="11" spans="2:11" ht="20.65" customHeight="1" x14ac:dyDescent="0.25">
      <c r="B11" s="58" t="s">
        <v>22</v>
      </c>
      <c r="C11" s="58"/>
      <c r="D11" s="58"/>
      <c r="E11" s="23"/>
      <c r="F11" s="11"/>
      <c r="G11" s="56" t="s">
        <v>23</v>
      </c>
      <c r="H11" s="56"/>
      <c r="I11" s="57" t="s">
        <v>27</v>
      </c>
      <c r="J11" s="57"/>
      <c r="K11" s="57"/>
    </row>
    <row r="12" spans="2:11" ht="31.9" customHeight="1" x14ac:dyDescent="0.25">
      <c r="B12" s="37"/>
    </row>
    <row r="13" spans="2:11" s="14" customFormat="1" ht="48" customHeight="1" x14ac:dyDescent="0.25">
      <c r="B13" s="36" t="s">
        <v>12</v>
      </c>
      <c r="C13" s="36" t="s">
        <v>13</v>
      </c>
      <c r="D13" s="36" t="s">
        <v>14</v>
      </c>
      <c r="E13" s="36" t="s">
        <v>24</v>
      </c>
      <c r="F13" s="36" t="s">
        <v>15</v>
      </c>
      <c r="G13" s="36" t="s">
        <v>16</v>
      </c>
      <c r="H13" s="36" t="s">
        <v>17</v>
      </c>
      <c r="I13" s="36" t="s">
        <v>18</v>
      </c>
      <c r="J13" s="36" t="s">
        <v>19</v>
      </c>
      <c r="K13" s="36" t="s">
        <v>20</v>
      </c>
    </row>
    <row r="14" spans="2:11" ht="24" customHeight="1" x14ac:dyDescent="0.25">
      <c r="B14" s="30">
        <f ca="1">IF(LoanIsGood,IF(ROW()-ROW(PaymentSchedule34[[#Headers],[Payment Number]])&gt;ScheduledNumberOfPayments,"",ROW()-ROW(PaymentSchedule34[[#Headers],[Payment Number]])),"")</f>
        <v>1</v>
      </c>
      <c r="C14" s="10">
        <f ca="1">IF(PaymentSchedule34[[#This Row],[Payment Number]]&lt;&gt;"",EOMONTH(LoanStartDate,ROW(PaymentSchedule34[[#This Row],[Payment Number]])-ROW(PaymentSchedule34[[#Headers],[Payment Number]])-2)+DAY(LoanStartDate),"")</f>
        <v>44779</v>
      </c>
      <c r="D14" s="7">
        <f ca="1">IF(PaymentSchedule34[[#This Row],[Payment Number]]&lt;&gt;"",IF(ROW()-ROW(PaymentSchedule34[[#Headers],[Beginning
Balance]])=1,LoanAmount,INDEX(PaymentSchedule34[Ending
Balance],ROW()-ROW(PaymentSchedule34[[#Headers],[Beginning
Balance]])-1)),"")</f>
        <v>3252.35</v>
      </c>
      <c r="E14" s="31">
        <f ca="1">IF(PaymentSchedule34[[#This Row],[Payment Number]]&lt;&gt;"",ScheduledPayment,"")</f>
        <v>115.95514837160805</v>
      </c>
      <c r="F14"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14"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14" s="7">
        <f ca="1">IF(PaymentSchedule34[[#This Row],[Payment Number]]&lt;&gt;"",PaymentSchedule34[[#This Row],[Total
Payment]]-PaymentSchedule34[[#This Row],[Interest]],"")</f>
        <v>69.880190038274719</v>
      </c>
      <c r="I14" s="32">
        <f ca="1">IF(PaymentSchedule34[[#This Row],[Payment Number]]&lt;&gt;"",PaymentSchedule34[[#This Row],[Beginning
Balance]]*(InterestRate/PaymentsPerYear),"")</f>
        <v>46.074958333333335</v>
      </c>
      <c r="J14" s="7">
        <f ca="1">IF(PaymentSchedule34[[#This Row],[Payment Number]]&lt;&gt;"",IF(PaymentSchedule34[[#This Row],[Scheduled Payment]]+PaymentSchedule34[[#This Row],[Extra
Payment]]&lt;=PaymentSchedule34[[#This Row],[Beginning
Balance]],PaymentSchedule34[[#This Row],[Beginning
Balance]]-PaymentSchedule34[[#This Row],[Principal]],0),"")</f>
        <v>3182.4698099617253</v>
      </c>
      <c r="K14" s="32">
        <f ca="1">IF(PaymentSchedule34[[#This Row],[Payment Number]]&lt;&gt;"",SUM(INDEX(PaymentSchedule34[Interest],1,1):PaymentSchedule34[[#This Row],[Interest]]),"")</f>
        <v>46.074958333333335</v>
      </c>
    </row>
    <row r="15" spans="2:11" ht="24" customHeight="1" x14ac:dyDescent="0.25">
      <c r="B15" s="30">
        <f ca="1">IF(LoanIsGood,IF(ROW()-ROW(PaymentSchedule34[[#Headers],[Payment Number]])&gt;ScheduledNumberOfPayments,"",ROW()-ROW(PaymentSchedule34[[#Headers],[Payment Number]])),"")</f>
        <v>2</v>
      </c>
      <c r="C15" s="10">
        <f ca="1">IF(PaymentSchedule34[[#This Row],[Payment Number]]&lt;&gt;"",EOMONTH(LoanStartDate,ROW(PaymentSchedule34[[#This Row],[Payment Number]])-ROW(PaymentSchedule34[[#Headers],[Payment Number]])-2)+DAY(LoanStartDate),"")</f>
        <v>44810</v>
      </c>
      <c r="D15" s="7">
        <f ca="1">IF(PaymentSchedule34[[#This Row],[Payment Number]]&lt;&gt;"",IF(ROW()-ROW(PaymentSchedule34[[#Headers],[Beginning
Balance]])=1,LoanAmount,INDEX(PaymentSchedule34[Ending
Balance],ROW()-ROW(PaymentSchedule34[[#Headers],[Beginning
Balance]])-1)),"")</f>
        <v>3182.4698099617253</v>
      </c>
      <c r="E15" s="31">
        <f ca="1">IF(PaymentSchedule34[[#This Row],[Payment Number]]&lt;&gt;"",ScheduledPayment,"")</f>
        <v>115.95514837160805</v>
      </c>
      <c r="F15"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15"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15" s="7">
        <f ca="1">IF(PaymentSchedule34[[#This Row],[Payment Number]]&lt;&gt;"",PaymentSchedule34[[#This Row],[Total
Payment]]-PaymentSchedule34[[#This Row],[Interest]],"")</f>
        <v>70.870159397150275</v>
      </c>
      <c r="I15" s="32">
        <f ca="1">IF(PaymentSchedule34[[#This Row],[Payment Number]]&lt;&gt;"",PaymentSchedule34[[#This Row],[Beginning
Balance]]*(InterestRate/PaymentsPerYear),"")</f>
        <v>45.084988974457779</v>
      </c>
      <c r="J15" s="7">
        <f ca="1">IF(PaymentSchedule34[[#This Row],[Payment Number]]&lt;&gt;"",IF(PaymentSchedule34[[#This Row],[Scheduled Payment]]+PaymentSchedule34[[#This Row],[Extra
Payment]]&lt;=PaymentSchedule34[[#This Row],[Beginning
Balance]],PaymentSchedule34[[#This Row],[Beginning
Balance]]-PaymentSchedule34[[#This Row],[Principal]],0),"")</f>
        <v>3111.5996505645749</v>
      </c>
      <c r="K15" s="32">
        <f ca="1">IF(PaymentSchedule34[[#This Row],[Payment Number]]&lt;&gt;"",SUM(INDEX(PaymentSchedule34[Interest],1,1):PaymentSchedule34[[#This Row],[Interest]]),"")</f>
        <v>91.159947307791114</v>
      </c>
    </row>
    <row r="16" spans="2:11" ht="24" customHeight="1" x14ac:dyDescent="0.25">
      <c r="B16" s="30">
        <f ca="1">IF(LoanIsGood,IF(ROW()-ROW(PaymentSchedule34[[#Headers],[Payment Number]])&gt;ScheduledNumberOfPayments,"",ROW()-ROW(PaymentSchedule34[[#Headers],[Payment Number]])),"")</f>
        <v>3</v>
      </c>
      <c r="C16" s="10">
        <f ca="1">IF(PaymentSchedule34[[#This Row],[Payment Number]]&lt;&gt;"",EOMONTH(LoanStartDate,ROW(PaymentSchedule34[[#This Row],[Payment Number]])-ROW(PaymentSchedule34[[#Headers],[Payment Number]])-2)+DAY(LoanStartDate),"")</f>
        <v>44840</v>
      </c>
      <c r="D16" s="7">
        <f ca="1">IF(PaymentSchedule34[[#This Row],[Payment Number]]&lt;&gt;"",IF(ROW()-ROW(PaymentSchedule34[[#Headers],[Beginning
Balance]])=1,LoanAmount,INDEX(PaymentSchedule34[Ending
Balance],ROW()-ROW(PaymentSchedule34[[#Headers],[Beginning
Balance]])-1)),"")</f>
        <v>3111.5996505645749</v>
      </c>
      <c r="E16" s="31">
        <f ca="1">IF(PaymentSchedule34[[#This Row],[Payment Number]]&lt;&gt;"",ScheduledPayment,"")</f>
        <v>115.95514837160805</v>
      </c>
      <c r="F16"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16"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16" s="7">
        <f ca="1">IF(PaymentSchedule34[[#This Row],[Payment Number]]&lt;&gt;"",PaymentSchedule34[[#This Row],[Total
Payment]]-PaymentSchedule34[[#This Row],[Interest]],"")</f>
        <v>71.874153321943226</v>
      </c>
      <c r="I16" s="32">
        <f ca="1">IF(PaymentSchedule34[[#This Row],[Payment Number]]&lt;&gt;"",PaymentSchedule34[[#This Row],[Beginning
Balance]]*(InterestRate/PaymentsPerYear),"")</f>
        <v>44.080995049664814</v>
      </c>
      <c r="J16" s="7">
        <f ca="1">IF(PaymentSchedule34[[#This Row],[Payment Number]]&lt;&gt;"",IF(PaymentSchedule34[[#This Row],[Scheduled Payment]]+PaymentSchedule34[[#This Row],[Extra
Payment]]&lt;=PaymentSchedule34[[#This Row],[Beginning
Balance]],PaymentSchedule34[[#This Row],[Beginning
Balance]]-PaymentSchedule34[[#This Row],[Principal]],0),"")</f>
        <v>3039.7254972426317</v>
      </c>
      <c r="K16" s="32">
        <f ca="1">IF(PaymentSchedule34[[#This Row],[Payment Number]]&lt;&gt;"",SUM(INDEX(PaymentSchedule34[Interest],1,1):PaymentSchedule34[[#This Row],[Interest]]),"")</f>
        <v>135.24094235745594</v>
      </c>
    </row>
    <row r="17" spans="2:11" ht="24" customHeight="1" x14ac:dyDescent="0.25">
      <c r="B17" s="30">
        <f ca="1">IF(LoanIsGood,IF(ROW()-ROW(PaymentSchedule34[[#Headers],[Payment Number]])&gt;ScheduledNumberOfPayments,"",ROW()-ROW(PaymentSchedule34[[#Headers],[Payment Number]])),"")</f>
        <v>4</v>
      </c>
      <c r="C17" s="10">
        <f ca="1">IF(PaymentSchedule34[[#This Row],[Payment Number]]&lt;&gt;"",EOMONTH(LoanStartDate,ROW(PaymentSchedule34[[#This Row],[Payment Number]])-ROW(PaymentSchedule34[[#Headers],[Payment Number]])-2)+DAY(LoanStartDate),"")</f>
        <v>44871</v>
      </c>
      <c r="D17" s="7">
        <f ca="1">IF(PaymentSchedule34[[#This Row],[Payment Number]]&lt;&gt;"",IF(ROW()-ROW(PaymentSchedule34[[#Headers],[Beginning
Balance]])=1,LoanAmount,INDEX(PaymentSchedule34[Ending
Balance],ROW()-ROW(PaymentSchedule34[[#Headers],[Beginning
Balance]])-1)),"")</f>
        <v>3039.7254972426317</v>
      </c>
      <c r="E17" s="31">
        <f ca="1">IF(PaymentSchedule34[[#This Row],[Payment Number]]&lt;&gt;"",ScheduledPayment,"")</f>
        <v>115.95514837160805</v>
      </c>
      <c r="F17"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17"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17" s="7">
        <f ca="1">IF(PaymentSchedule34[[#This Row],[Payment Number]]&lt;&gt;"",PaymentSchedule34[[#This Row],[Total
Payment]]-PaymentSchedule34[[#This Row],[Interest]],"")</f>
        <v>72.892370494004098</v>
      </c>
      <c r="I17" s="32">
        <f ca="1">IF(PaymentSchedule34[[#This Row],[Payment Number]]&lt;&gt;"",PaymentSchedule34[[#This Row],[Beginning
Balance]]*(InterestRate/PaymentsPerYear),"")</f>
        <v>43.062777877603949</v>
      </c>
      <c r="J17" s="7">
        <f ca="1">IF(PaymentSchedule34[[#This Row],[Payment Number]]&lt;&gt;"",IF(PaymentSchedule34[[#This Row],[Scheduled Payment]]+PaymentSchedule34[[#This Row],[Extra
Payment]]&lt;=PaymentSchedule34[[#This Row],[Beginning
Balance]],PaymentSchedule34[[#This Row],[Beginning
Balance]]-PaymentSchedule34[[#This Row],[Principal]],0),"")</f>
        <v>2966.8331267486278</v>
      </c>
      <c r="K17" s="32">
        <f ca="1">IF(PaymentSchedule34[[#This Row],[Payment Number]]&lt;&gt;"",SUM(INDEX(PaymentSchedule34[Interest],1,1):PaymentSchedule34[[#This Row],[Interest]]),"")</f>
        <v>178.30372023505987</v>
      </c>
    </row>
    <row r="18" spans="2:11" ht="24" customHeight="1" x14ac:dyDescent="0.25">
      <c r="B18" s="30">
        <f ca="1">IF(LoanIsGood,IF(ROW()-ROW(PaymentSchedule34[[#Headers],[Payment Number]])&gt;ScheduledNumberOfPayments,"",ROW()-ROW(PaymentSchedule34[[#Headers],[Payment Number]])),"")</f>
        <v>5</v>
      </c>
      <c r="C18" s="10">
        <f ca="1">IF(PaymentSchedule34[[#This Row],[Payment Number]]&lt;&gt;"",EOMONTH(LoanStartDate,ROW(PaymentSchedule34[[#This Row],[Payment Number]])-ROW(PaymentSchedule34[[#Headers],[Payment Number]])-2)+DAY(LoanStartDate),"")</f>
        <v>44901</v>
      </c>
      <c r="D18" s="7">
        <f ca="1">IF(PaymentSchedule34[[#This Row],[Payment Number]]&lt;&gt;"",IF(ROW()-ROW(PaymentSchedule34[[#Headers],[Beginning
Balance]])=1,LoanAmount,INDEX(PaymentSchedule34[Ending
Balance],ROW()-ROW(PaymentSchedule34[[#Headers],[Beginning
Balance]])-1)),"")</f>
        <v>2966.8331267486278</v>
      </c>
      <c r="E18" s="31">
        <f ca="1">IF(PaymentSchedule34[[#This Row],[Payment Number]]&lt;&gt;"",ScheduledPayment,"")</f>
        <v>115.95514837160805</v>
      </c>
      <c r="F18"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18"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18" s="7">
        <f ca="1">IF(PaymentSchedule34[[#This Row],[Payment Number]]&lt;&gt;"",PaymentSchedule34[[#This Row],[Total
Payment]]-PaymentSchedule34[[#This Row],[Interest]],"")</f>
        <v>73.925012409335807</v>
      </c>
      <c r="I18" s="32">
        <f ca="1">IF(PaymentSchedule34[[#This Row],[Payment Number]]&lt;&gt;"",PaymentSchedule34[[#This Row],[Beginning
Balance]]*(InterestRate/PaymentsPerYear),"")</f>
        <v>42.030135962272233</v>
      </c>
      <c r="J18" s="7">
        <f ca="1">IF(PaymentSchedule34[[#This Row],[Payment Number]]&lt;&gt;"",IF(PaymentSchedule34[[#This Row],[Scheduled Payment]]+PaymentSchedule34[[#This Row],[Extra
Payment]]&lt;=PaymentSchedule34[[#This Row],[Beginning
Balance]],PaymentSchedule34[[#This Row],[Beginning
Balance]]-PaymentSchedule34[[#This Row],[Principal]],0),"")</f>
        <v>2892.9081143392918</v>
      </c>
      <c r="K18" s="32">
        <f ca="1">IF(PaymentSchedule34[[#This Row],[Payment Number]]&lt;&gt;"",SUM(INDEX(PaymentSchedule34[Interest],1,1):PaymentSchedule34[[#This Row],[Interest]]),"")</f>
        <v>220.3338561973321</v>
      </c>
    </row>
    <row r="19" spans="2:11" ht="24" customHeight="1" x14ac:dyDescent="0.25">
      <c r="B19" s="30">
        <f ca="1">IF(LoanIsGood,IF(ROW()-ROW(PaymentSchedule34[[#Headers],[Payment Number]])&gt;ScheduledNumberOfPayments,"",ROW()-ROW(PaymentSchedule34[[#Headers],[Payment Number]])),"")</f>
        <v>6</v>
      </c>
      <c r="C19" s="10">
        <f ca="1">IF(PaymentSchedule34[[#This Row],[Payment Number]]&lt;&gt;"",EOMONTH(LoanStartDate,ROW(PaymentSchedule34[[#This Row],[Payment Number]])-ROW(PaymentSchedule34[[#Headers],[Payment Number]])-2)+DAY(LoanStartDate),"")</f>
        <v>44932</v>
      </c>
      <c r="D19" s="7">
        <f ca="1">IF(PaymentSchedule34[[#This Row],[Payment Number]]&lt;&gt;"",IF(ROW()-ROW(PaymentSchedule34[[#Headers],[Beginning
Balance]])=1,LoanAmount,INDEX(PaymentSchedule34[Ending
Balance],ROW()-ROW(PaymentSchedule34[[#Headers],[Beginning
Balance]])-1)),"")</f>
        <v>2892.9081143392918</v>
      </c>
      <c r="E19" s="31">
        <f ca="1">IF(PaymentSchedule34[[#This Row],[Payment Number]]&lt;&gt;"",ScheduledPayment,"")</f>
        <v>115.95514837160805</v>
      </c>
      <c r="F19"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19"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19" s="7">
        <f ca="1">IF(PaymentSchedule34[[#This Row],[Payment Number]]&lt;&gt;"",PaymentSchedule34[[#This Row],[Total
Payment]]-PaymentSchedule34[[#This Row],[Interest]],"")</f>
        <v>74.972283418468066</v>
      </c>
      <c r="I19" s="32">
        <f ca="1">IF(PaymentSchedule34[[#This Row],[Payment Number]]&lt;&gt;"",PaymentSchedule34[[#This Row],[Beginning
Balance]]*(InterestRate/PaymentsPerYear),"")</f>
        <v>40.982864953139973</v>
      </c>
      <c r="J19" s="7">
        <f ca="1">IF(PaymentSchedule34[[#This Row],[Payment Number]]&lt;&gt;"",IF(PaymentSchedule34[[#This Row],[Scheduled Payment]]+PaymentSchedule34[[#This Row],[Extra
Payment]]&lt;=PaymentSchedule34[[#This Row],[Beginning
Balance]],PaymentSchedule34[[#This Row],[Beginning
Balance]]-PaymentSchedule34[[#This Row],[Principal]],0),"")</f>
        <v>2817.9358309208237</v>
      </c>
      <c r="K19" s="32">
        <f ca="1">IF(PaymentSchedule34[[#This Row],[Payment Number]]&lt;&gt;"",SUM(INDEX(PaymentSchedule34[Interest],1,1):PaymentSchedule34[[#This Row],[Interest]]),"")</f>
        <v>261.31672115047206</v>
      </c>
    </row>
    <row r="20" spans="2:11" ht="24" customHeight="1" x14ac:dyDescent="0.25">
      <c r="B20" s="30">
        <f ca="1">IF(LoanIsGood,IF(ROW()-ROW(PaymentSchedule34[[#Headers],[Payment Number]])&gt;ScheduledNumberOfPayments,"",ROW()-ROW(PaymentSchedule34[[#Headers],[Payment Number]])),"")</f>
        <v>7</v>
      </c>
      <c r="C20" s="10">
        <f ca="1">IF(PaymentSchedule34[[#This Row],[Payment Number]]&lt;&gt;"",EOMONTH(LoanStartDate,ROW(PaymentSchedule34[[#This Row],[Payment Number]])-ROW(PaymentSchedule34[[#Headers],[Payment Number]])-2)+DAY(LoanStartDate),"")</f>
        <v>44963</v>
      </c>
      <c r="D20" s="7">
        <f ca="1">IF(PaymentSchedule34[[#This Row],[Payment Number]]&lt;&gt;"",IF(ROW()-ROW(PaymentSchedule34[[#Headers],[Beginning
Balance]])=1,LoanAmount,INDEX(PaymentSchedule34[Ending
Balance],ROW()-ROW(PaymentSchedule34[[#Headers],[Beginning
Balance]])-1)),"")</f>
        <v>2817.9358309208237</v>
      </c>
      <c r="E20" s="31">
        <f ca="1">IF(PaymentSchedule34[[#This Row],[Payment Number]]&lt;&gt;"",ScheduledPayment,"")</f>
        <v>115.95514837160805</v>
      </c>
      <c r="F20"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20"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20" s="7">
        <f ca="1">IF(PaymentSchedule34[[#This Row],[Payment Number]]&lt;&gt;"",PaymentSchedule34[[#This Row],[Total
Payment]]-PaymentSchedule34[[#This Row],[Interest]],"")</f>
        <v>76.034390766896365</v>
      </c>
      <c r="I20" s="32">
        <f ca="1">IF(PaymentSchedule34[[#This Row],[Payment Number]]&lt;&gt;"",PaymentSchedule34[[#This Row],[Beginning
Balance]]*(InterestRate/PaymentsPerYear),"")</f>
        <v>39.920757604711675</v>
      </c>
      <c r="J20" s="7">
        <f ca="1">IF(PaymentSchedule34[[#This Row],[Payment Number]]&lt;&gt;"",IF(PaymentSchedule34[[#This Row],[Scheduled Payment]]+PaymentSchedule34[[#This Row],[Extra
Payment]]&lt;=PaymentSchedule34[[#This Row],[Beginning
Balance]],PaymentSchedule34[[#This Row],[Beginning
Balance]]-PaymentSchedule34[[#This Row],[Principal]],0),"")</f>
        <v>2741.9014401539275</v>
      </c>
      <c r="K20" s="32">
        <f ca="1">IF(PaymentSchedule34[[#This Row],[Payment Number]]&lt;&gt;"",SUM(INDEX(PaymentSchedule34[Interest],1,1):PaymentSchedule34[[#This Row],[Interest]]),"")</f>
        <v>301.23747875518376</v>
      </c>
    </row>
    <row r="21" spans="2:11" ht="24" customHeight="1" x14ac:dyDescent="0.25">
      <c r="B21" s="30">
        <f ca="1">IF(LoanIsGood,IF(ROW()-ROW(PaymentSchedule34[[#Headers],[Payment Number]])&gt;ScheduledNumberOfPayments,"",ROW()-ROW(PaymentSchedule34[[#Headers],[Payment Number]])),"")</f>
        <v>8</v>
      </c>
      <c r="C21" s="10">
        <f ca="1">IF(PaymentSchedule34[[#This Row],[Payment Number]]&lt;&gt;"",EOMONTH(LoanStartDate,ROW(PaymentSchedule34[[#This Row],[Payment Number]])-ROW(PaymentSchedule34[[#Headers],[Payment Number]])-2)+DAY(LoanStartDate),"")</f>
        <v>44991</v>
      </c>
      <c r="D21" s="7">
        <f ca="1">IF(PaymentSchedule34[[#This Row],[Payment Number]]&lt;&gt;"",IF(ROW()-ROW(PaymentSchedule34[[#Headers],[Beginning
Balance]])=1,LoanAmount,INDEX(PaymentSchedule34[Ending
Balance],ROW()-ROW(PaymentSchedule34[[#Headers],[Beginning
Balance]])-1)),"")</f>
        <v>2741.9014401539275</v>
      </c>
      <c r="E21" s="31">
        <f ca="1">IF(PaymentSchedule34[[#This Row],[Payment Number]]&lt;&gt;"",ScheduledPayment,"")</f>
        <v>115.95514837160805</v>
      </c>
      <c r="F21"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21"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21" s="7">
        <f ca="1">IF(PaymentSchedule34[[#This Row],[Payment Number]]&lt;&gt;"",PaymentSchedule34[[#This Row],[Total
Payment]]-PaymentSchedule34[[#This Row],[Interest]],"")</f>
        <v>77.111544636094067</v>
      </c>
      <c r="I21" s="32">
        <f ca="1">IF(PaymentSchedule34[[#This Row],[Payment Number]]&lt;&gt;"",PaymentSchedule34[[#This Row],[Beginning
Balance]]*(InterestRate/PaymentsPerYear),"")</f>
        <v>38.843603735513973</v>
      </c>
      <c r="J21" s="7">
        <f ca="1">IF(PaymentSchedule34[[#This Row],[Payment Number]]&lt;&gt;"",IF(PaymentSchedule34[[#This Row],[Scheduled Payment]]+PaymentSchedule34[[#This Row],[Extra
Payment]]&lt;=PaymentSchedule34[[#This Row],[Beginning
Balance]],PaymentSchedule34[[#This Row],[Beginning
Balance]]-PaymentSchedule34[[#This Row],[Principal]],0),"")</f>
        <v>2664.7898955178334</v>
      </c>
      <c r="K21" s="32">
        <f ca="1">IF(PaymentSchedule34[[#This Row],[Payment Number]]&lt;&gt;"",SUM(INDEX(PaymentSchedule34[Interest],1,1):PaymentSchedule34[[#This Row],[Interest]]),"")</f>
        <v>340.08108249069772</v>
      </c>
    </row>
    <row r="22" spans="2:11" ht="24" customHeight="1" x14ac:dyDescent="0.25">
      <c r="B22" s="30">
        <f ca="1">IF(LoanIsGood,IF(ROW()-ROW(PaymentSchedule34[[#Headers],[Payment Number]])&gt;ScheduledNumberOfPayments,"",ROW()-ROW(PaymentSchedule34[[#Headers],[Payment Number]])),"")</f>
        <v>9</v>
      </c>
      <c r="C22" s="10">
        <f ca="1">IF(PaymentSchedule34[[#This Row],[Payment Number]]&lt;&gt;"",EOMONTH(LoanStartDate,ROW(PaymentSchedule34[[#This Row],[Payment Number]])-ROW(PaymentSchedule34[[#Headers],[Payment Number]])-2)+DAY(LoanStartDate),"")</f>
        <v>45022</v>
      </c>
      <c r="D22" s="7">
        <f ca="1">IF(PaymentSchedule34[[#This Row],[Payment Number]]&lt;&gt;"",IF(ROW()-ROW(PaymentSchedule34[[#Headers],[Beginning
Balance]])=1,LoanAmount,INDEX(PaymentSchedule34[Ending
Balance],ROW()-ROW(PaymentSchedule34[[#Headers],[Beginning
Balance]])-1)),"")</f>
        <v>2664.7898955178334</v>
      </c>
      <c r="E22" s="31">
        <f ca="1">IF(PaymentSchedule34[[#This Row],[Payment Number]]&lt;&gt;"",ScheduledPayment,"")</f>
        <v>115.95514837160805</v>
      </c>
      <c r="F22"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22"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22" s="7">
        <f ca="1">IF(PaymentSchedule34[[#This Row],[Payment Number]]&lt;&gt;"",PaymentSchedule34[[#This Row],[Total
Payment]]-PaymentSchedule34[[#This Row],[Interest]],"")</f>
        <v>78.203958185105407</v>
      </c>
      <c r="I22" s="32">
        <f ca="1">IF(PaymentSchedule34[[#This Row],[Payment Number]]&lt;&gt;"",PaymentSchedule34[[#This Row],[Beginning
Balance]]*(InterestRate/PaymentsPerYear),"")</f>
        <v>37.75119018650264</v>
      </c>
      <c r="J22" s="7">
        <f ca="1">IF(PaymentSchedule34[[#This Row],[Payment Number]]&lt;&gt;"",IF(PaymentSchedule34[[#This Row],[Scheduled Payment]]+PaymentSchedule34[[#This Row],[Extra
Payment]]&lt;=PaymentSchedule34[[#This Row],[Beginning
Balance]],PaymentSchedule34[[#This Row],[Beginning
Balance]]-PaymentSchedule34[[#This Row],[Principal]],0),"")</f>
        <v>2586.585937332728</v>
      </c>
      <c r="K22" s="32">
        <f ca="1">IF(PaymentSchedule34[[#This Row],[Payment Number]]&lt;&gt;"",SUM(INDEX(PaymentSchedule34[Interest],1,1):PaymentSchedule34[[#This Row],[Interest]]),"")</f>
        <v>377.83227267720036</v>
      </c>
    </row>
    <row r="23" spans="2:11" ht="24" customHeight="1" x14ac:dyDescent="0.25">
      <c r="B23" s="30">
        <f ca="1">IF(LoanIsGood,IF(ROW()-ROW(PaymentSchedule34[[#Headers],[Payment Number]])&gt;ScheduledNumberOfPayments,"",ROW()-ROW(PaymentSchedule34[[#Headers],[Payment Number]])),"")</f>
        <v>10</v>
      </c>
      <c r="C23" s="10">
        <f ca="1">IF(PaymentSchedule34[[#This Row],[Payment Number]]&lt;&gt;"",EOMONTH(LoanStartDate,ROW(PaymentSchedule34[[#This Row],[Payment Number]])-ROW(PaymentSchedule34[[#Headers],[Payment Number]])-2)+DAY(LoanStartDate),"")</f>
        <v>45052</v>
      </c>
      <c r="D23" s="7">
        <f ca="1">IF(PaymentSchedule34[[#This Row],[Payment Number]]&lt;&gt;"",IF(ROW()-ROW(PaymentSchedule34[[#Headers],[Beginning
Balance]])=1,LoanAmount,INDEX(PaymentSchedule34[Ending
Balance],ROW()-ROW(PaymentSchedule34[[#Headers],[Beginning
Balance]])-1)),"")</f>
        <v>2586.585937332728</v>
      </c>
      <c r="E23" s="31">
        <f ca="1">IF(PaymentSchedule34[[#This Row],[Payment Number]]&lt;&gt;"",ScheduledPayment,"")</f>
        <v>115.95514837160805</v>
      </c>
      <c r="F23" s="7">
        <f ca="1">IF(PaymentSchedule34[[#This Row],[Payment Number]]&lt;&gt;"",IF(PaymentSchedule34[[#This Row],[Scheduled Payment]]+ExtraPayments&lt;PaymentSchedule34[[#This Row],[Beginning
Balance]],ExtraPayments,IF(PaymentSchedule34[[#This Row],[Beginning
Balance]]-PaymentSchedule34[[#This Row],[Scheduled Payment]]&gt;0,PaymentSchedule34[[#This Row],[Beginning
Balance]]-PaymentSchedule34[[#This Row],[Scheduled Payment]],0)),"")</f>
        <v>0</v>
      </c>
      <c r="G23" s="7">
        <f ca="1">IF(PaymentSchedule34[[#This Row],[Payment Number]]&lt;&gt;"",IF(PaymentSchedule34[[#This Row],[Scheduled Payment]]+PaymentSchedule34[[#This Row],[Extra
Payment]]&lt;=PaymentSchedule34[[#This Row],[Beginning
Balance]],PaymentSchedule34[[#This Row],[Scheduled Payment]]+PaymentSchedule34[[#This Row],[Extra
Payment]],PaymentSchedule34[[#This Row],[Beginning
Balance]]),"")</f>
        <v>115.95514837160805</v>
      </c>
      <c r="H23" s="7">
        <f ca="1">IF(PaymentSchedule34[[#This Row],[Payment Number]]&lt;&gt;"",PaymentSchedule34[[#This Row],[Total
Payment]]-PaymentSchedule34[[#This Row],[Interest]],"")</f>
        <v>79.31184759272773</v>
      </c>
      <c r="I23" s="32">
        <f ca="1">IF(PaymentSchedule34[[#This Row],[Payment Number]]&lt;&gt;"",PaymentSchedule34[[#This Row],[Beginning
Balance]]*(InterestRate/PaymentsPerYear),"")</f>
        <v>36.643300778880317</v>
      </c>
      <c r="J23" s="7">
        <f ca="1">IF(PaymentSchedule34[[#This Row],[Payment Number]]&lt;&gt;"",IF(PaymentSchedule34[[#This Row],[Scheduled Payment]]+PaymentSchedule34[[#This Row],[Extra
Payment]]&lt;=PaymentSchedule34[[#This Row],[Beginning
Balance]],PaymentSchedule34[[#This Row],[Beginning
Balance]]-PaymentSchedule34[[#This Row],[Principal]],0),"")</f>
        <v>2507.2740897400004</v>
      </c>
      <c r="K23" s="32">
        <f ca="1">IF(PaymentSchedule34[[#This Row],[Payment Number]]&lt;&gt;"",SUM(INDEX(PaymentSchedule34[Interest],1,1):PaymentSchedule34[[#This Row],[Interest]]),"")</f>
        <v>414.47557345608067</v>
      </c>
    </row>
  </sheetData>
  <mergeCells count="20">
    <mergeCell ref="G5:H5"/>
    <mergeCell ref="I5:K5"/>
    <mergeCell ref="G6:H6"/>
    <mergeCell ref="I6:K6"/>
    <mergeCell ref="C2:K2"/>
    <mergeCell ref="B5:D5"/>
    <mergeCell ref="B6:D6"/>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23">
    <cfRule type="expression" dxfId="1" priority="1">
      <formula>($B14="")+(($D14=0)*($F14=0))</formula>
    </cfRule>
  </conditionalFormatting>
  <dataValidations count="25">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Enter Loan Amount in this cell" sqref="E5" xr:uid="{A8FD2C6B-0619-4385-9C1B-BB9E89167B95}"/>
    <dataValidation allowBlank="1" showInputMessage="1" showErrorMessage="1" prompt="Enter interest rate to be paid annually in this cell" sqref="E6" xr:uid="{D4A44E56-2418-495E-9BCA-5BCFE5E96E74}"/>
    <dataValidation allowBlank="1" showInputMessage="1" showErrorMessage="1" prompt="Enter loan period in years in this cell" sqref="E7" xr:uid="{0397BDA9-9E78-4890-A6B2-28C2D9B7E9A3}"/>
    <dataValidation allowBlank="1" showInputMessage="1" showErrorMessage="1" prompt="Enter the number of payments to be made in a year in this cell" sqref="E8" xr:uid="{6080DD76-3A8E-4C1B-8CE2-553DA61F4240}"/>
    <dataValidation allowBlank="1" showInputMessage="1" showErrorMessage="1" prompt="Enter the start date of loan in this cell" sqref="E9" xr:uid="{FC353A50-0E99-4F96-BF86-15FD00A62E5B}"/>
    <dataValidation allowBlank="1" showInputMessage="1" showErrorMessage="1" prompt="Enter the amount of extra payment in this cell" sqref="E11" xr:uid="{E7BD987D-D7CA-4DBA-99CC-298791804D75}"/>
    <dataValidation allowBlank="1" showInputMessage="1" showErrorMessage="1" prompt="Automatically calculated total interest" sqref="I9" xr:uid="{B6A179D9-4B93-4C7C-810A-F12B7FC8EE4B}"/>
    <dataValidation allowBlank="1" showInputMessage="1" showErrorMessage="1" prompt="Automatically updated scheduled payment amount" sqref="I5" xr:uid="{F2DD4887-845B-455E-BAEB-57AC02B59F2F}"/>
    <dataValidation allowBlank="1" showInputMessage="1" showErrorMessage="1" prompt="Automatically updated scheduled number of payments" sqref="I6" xr:uid="{9388C63A-AFBA-4C17-AB2F-0D309F8CB992}"/>
    <dataValidation allowBlank="1" showInputMessage="1" showErrorMessage="1" prompt="Automatically updated actual number of payments" sqref="I7" xr:uid="{600C4CB5-0E5A-4CEE-BC4A-375DABB3F52A}"/>
    <dataValidation allowBlank="1" showInputMessage="1" showErrorMessage="1" prompt="Automatically updated total early payments" sqref="I8" xr:uid="{3883319A-5381-4298-8BB5-27FAE8093B26}"/>
    <dataValidation allowBlank="1" showInputMessage="1" showErrorMessage="1" prompt="Payment number is automatically updated in this column" sqref="B13" xr:uid="{7CD0DAF3-B8F5-4728-9D9A-857ACB918E70}"/>
    <dataValidation allowBlank="1" showInputMessage="1" showErrorMessage="1" prompt="Payment date is automatically updated in this column" sqref="C13" xr:uid="{325B9C27-C801-4377-A9FF-2E51A0980179}"/>
    <dataValidation allowBlank="1" showInputMessage="1" showErrorMessage="1" prompt="Beginning balance is automatically updated in this column" sqref="D13" xr:uid="{2E0465BF-3149-4770-AEF5-578C39256318}"/>
    <dataValidation allowBlank="1" showInputMessage="1" showErrorMessage="1" prompt="Scheduled payment is automatically updated in this column" sqref="E13" xr:uid="{AC827F85-C60C-4034-B766-81C176B18CAB}"/>
    <dataValidation allowBlank="1" showInputMessage="1" showErrorMessage="1" prompt="Extra payment is automatically updated in this column" sqref="F13" xr:uid="{9319C4EA-8B01-41B2-8CEC-4840852D26BD}"/>
    <dataValidation allowBlank="1" showInputMessage="1" showErrorMessage="1" prompt="Total payment is automatically updated in this column" sqref="G13" xr:uid="{879F7196-49CB-4D6D-AF3E-A97252EA5D0E}"/>
    <dataValidation allowBlank="1" showInputMessage="1" showErrorMessage="1" prompt="Principal is automatically updated in this column" sqref="H13" xr:uid="{06FC0B54-F6BE-4962-88AF-58C6CF8BFA28}"/>
    <dataValidation allowBlank="1" showInputMessage="1" showErrorMessage="1" prompt="Interest is automatically updated in this column" sqref="I13" xr:uid="{46B3C13B-2AD3-488F-B3D3-CDE3BD29EE21}"/>
    <dataValidation allowBlank="1" showInputMessage="1" showErrorMessage="1" prompt="Ending balance is automatically updated in this column" sqref="J13" xr:uid="{9E9FE9EC-8AAF-4F4C-8DD9-0DD4E618C907}"/>
    <dataValidation allowBlank="1" showInputMessage="1" showErrorMessage="1" prompt="Cumulative interest is automatically updated in this column" sqref="K13" xr:uid="{39FCF65A-8BF2-4A41-956A-9264E8590921}"/>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480F-5BF0-4BDB-9DE0-18C31F697D38}">
  <dimension ref="A2:J34"/>
  <sheetViews>
    <sheetView tabSelected="1" workbookViewId="0">
      <selection activeCell="N8" sqref="N8"/>
    </sheetView>
  </sheetViews>
  <sheetFormatPr defaultRowHeight="15" x14ac:dyDescent="0.25"/>
  <cols>
    <col min="1" max="1" width="14.42578125" customWidth="1"/>
    <col min="2" max="2" width="13.7109375" customWidth="1"/>
    <col min="3" max="3" width="14.42578125" customWidth="1"/>
    <col min="4" max="4" width="16.140625" customWidth="1"/>
    <col min="5" max="5" width="15.7109375" customWidth="1"/>
    <col min="6" max="6" width="14.28515625" customWidth="1"/>
    <col min="7" max="7" width="14.42578125" customWidth="1"/>
    <col min="8" max="8" width="13.7109375" customWidth="1"/>
    <col min="9" max="9" width="13" customWidth="1"/>
    <col min="10" max="10" width="14.42578125" customWidth="1"/>
  </cols>
  <sheetData>
    <row r="2" spans="1:10" ht="75" x14ac:dyDescent="0.25">
      <c r="A2" s="36" t="s">
        <v>12</v>
      </c>
      <c r="B2" s="36" t="s">
        <v>13</v>
      </c>
      <c r="C2" s="36" t="s">
        <v>14</v>
      </c>
      <c r="D2" s="36" t="s">
        <v>24</v>
      </c>
      <c r="E2" s="36" t="s">
        <v>15</v>
      </c>
      <c r="F2" s="36" t="s">
        <v>16</v>
      </c>
      <c r="G2" s="36" t="s">
        <v>17</v>
      </c>
      <c r="H2" s="36" t="s">
        <v>18</v>
      </c>
      <c r="I2" s="36" t="s">
        <v>19</v>
      </c>
      <c r="J2" s="36" t="s">
        <v>20</v>
      </c>
    </row>
    <row r="3" spans="1:10" x14ac:dyDescent="0.25">
      <c r="A3">
        <v>1</v>
      </c>
      <c r="B3" s="60">
        <v>44779</v>
      </c>
      <c r="C3" s="61">
        <v>8459</v>
      </c>
      <c r="D3" s="61">
        <v>253.25</v>
      </c>
      <c r="E3" s="61">
        <v>25</v>
      </c>
      <c r="F3" s="61">
        <f>D3+E3</f>
        <v>278.25</v>
      </c>
      <c r="G3" s="61">
        <f>F3-H3</f>
        <v>243.00416666666666</v>
      </c>
      <c r="H3" s="62">
        <f>C3*(0.05/12)</f>
        <v>35.24583333333333</v>
      </c>
      <c r="I3" s="62">
        <f>C3-G3</f>
        <v>8215.9958333333325</v>
      </c>
      <c r="J3" s="62">
        <f>SUM(H3:H3)</f>
        <v>35.24583333333333</v>
      </c>
    </row>
    <row r="4" spans="1:10" x14ac:dyDescent="0.25">
      <c r="A4">
        <v>2</v>
      </c>
      <c r="B4" s="60">
        <v>44810</v>
      </c>
      <c r="C4" s="61">
        <f>I3</f>
        <v>8215.9958333333325</v>
      </c>
      <c r="D4" s="61">
        <v>253.25</v>
      </c>
      <c r="E4" s="61">
        <v>25</v>
      </c>
      <c r="F4" s="61">
        <f t="shared" ref="F4:F34" si="0">D4+E4</f>
        <v>278.25</v>
      </c>
      <c r="G4" s="61">
        <f t="shared" ref="G4:G34" si="1">F4-H4</f>
        <v>244.01668402777779</v>
      </c>
      <c r="H4" s="62">
        <f t="shared" ref="H4:H34" si="2">C4*(0.05/12)</f>
        <v>34.233315972222215</v>
      </c>
      <c r="I4" s="62">
        <f t="shared" ref="I4:I34" si="3">C4-G4</f>
        <v>7971.9791493055545</v>
      </c>
      <c r="J4" s="62">
        <f>SUM($H$3:H4)</f>
        <v>69.479149305555552</v>
      </c>
    </row>
    <row r="5" spans="1:10" x14ac:dyDescent="0.25">
      <c r="A5">
        <v>3</v>
      </c>
      <c r="B5" s="60">
        <v>44840</v>
      </c>
      <c r="C5" s="61">
        <f t="shared" ref="C5:C34" si="4">I4</f>
        <v>7971.9791493055545</v>
      </c>
      <c r="D5" s="61">
        <v>253.25</v>
      </c>
      <c r="E5" s="61">
        <v>25</v>
      </c>
      <c r="F5" s="61">
        <f t="shared" si="0"/>
        <v>278.25</v>
      </c>
      <c r="G5" s="61">
        <f t="shared" si="1"/>
        <v>245.03342021122685</v>
      </c>
      <c r="H5" s="62">
        <f t="shared" si="2"/>
        <v>33.216579788773146</v>
      </c>
      <c r="I5" s="62">
        <f t="shared" si="3"/>
        <v>7726.9457290943274</v>
      </c>
      <c r="J5" s="62">
        <f>SUM($H$3:H5)</f>
        <v>102.6957290943287</v>
      </c>
    </row>
    <row r="6" spans="1:10" x14ac:dyDescent="0.25">
      <c r="A6">
        <v>4</v>
      </c>
      <c r="B6" s="60">
        <v>44871</v>
      </c>
      <c r="C6" s="61">
        <f t="shared" si="4"/>
        <v>7726.9457290943274</v>
      </c>
      <c r="D6" s="61">
        <v>253.25</v>
      </c>
      <c r="E6" s="61">
        <v>25</v>
      </c>
      <c r="F6" s="61">
        <f t="shared" si="0"/>
        <v>278.25</v>
      </c>
      <c r="G6" s="61">
        <f t="shared" si="1"/>
        <v>246.05439279544029</v>
      </c>
      <c r="H6" s="62">
        <f t="shared" si="2"/>
        <v>32.1956072045597</v>
      </c>
      <c r="I6" s="62">
        <f t="shared" si="3"/>
        <v>7480.8913362988869</v>
      </c>
      <c r="J6" s="62">
        <f>SUM($H$3:H6)</f>
        <v>134.8913362988884</v>
      </c>
    </row>
    <row r="7" spans="1:10" x14ac:dyDescent="0.25">
      <c r="A7">
        <v>5</v>
      </c>
      <c r="B7" s="60">
        <v>44901</v>
      </c>
      <c r="C7" s="61">
        <f t="shared" si="4"/>
        <v>7480.8913362988869</v>
      </c>
      <c r="D7" s="61">
        <v>253.25</v>
      </c>
      <c r="E7" s="61">
        <v>25</v>
      </c>
      <c r="F7" s="61">
        <f t="shared" si="0"/>
        <v>278.25</v>
      </c>
      <c r="G7" s="61">
        <f t="shared" si="1"/>
        <v>247.07961943208798</v>
      </c>
      <c r="H7" s="62">
        <f t="shared" si="2"/>
        <v>31.17038056791203</v>
      </c>
      <c r="I7" s="62">
        <f t="shared" si="3"/>
        <v>7233.8117168667986</v>
      </c>
      <c r="J7" s="62">
        <f>SUM($H$3:H7)</f>
        <v>166.06171686680042</v>
      </c>
    </row>
    <row r="8" spans="1:10" x14ac:dyDescent="0.25">
      <c r="A8">
        <v>6</v>
      </c>
      <c r="B8" s="60">
        <v>44932</v>
      </c>
      <c r="C8" s="61">
        <f t="shared" si="4"/>
        <v>7233.8117168667986</v>
      </c>
      <c r="D8" s="61">
        <v>253.25</v>
      </c>
      <c r="E8" s="61">
        <v>25</v>
      </c>
      <c r="F8" s="61">
        <f t="shared" si="0"/>
        <v>278.25</v>
      </c>
      <c r="G8" s="61">
        <f t="shared" si="1"/>
        <v>248.10911784638833</v>
      </c>
      <c r="H8" s="62">
        <f t="shared" si="2"/>
        <v>30.14088215361166</v>
      </c>
      <c r="I8" s="62">
        <f t="shared" si="3"/>
        <v>6985.7025990204102</v>
      </c>
      <c r="J8" s="62">
        <f>SUM($H$3:H8)</f>
        <v>196.20259902041209</v>
      </c>
    </row>
    <row r="9" spans="1:10" x14ac:dyDescent="0.25">
      <c r="A9">
        <v>7</v>
      </c>
      <c r="B9" s="60">
        <v>44963</v>
      </c>
      <c r="C9" s="61">
        <f t="shared" si="4"/>
        <v>6985.7025990204102</v>
      </c>
      <c r="D9" s="61">
        <v>253.25</v>
      </c>
      <c r="E9" s="61">
        <v>25</v>
      </c>
      <c r="F9" s="61">
        <f t="shared" si="0"/>
        <v>278.25</v>
      </c>
      <c r="G9" s="61">
        <f t="shared" si="1"/>
        <v>249.14290583741496</v>
      </c>
      <c r="H9" s="62">
        <f t="shared" si="2"/>
        <v>29.107094162585042</v>
      </c>
      <c r="I9" s="62">
        <f t="shared" si="3"/>
        <v>6736.559693182995</v>
      </c>
      <c r="J9" s="62">
        <f>SUM($H$3:H9)</f>
        <v>225.30969318299714</v>
      </c>
    </row>
    <row r="10" spans="1:10" x14ac:dyDescent="0.25">
      <c r="A10">
        <v>8</v>
      </c>
      <c r="B10" s="60">
        <v>44991</v>
      </c>
      <c r="C10" s="61">
        <f t="shared" si="4"/>
        <v>6736.559693182995</v>
      </c>
      <c r="D10" s="61">
        <v>253.25</v>
      </c>
      <c r="E10" s="61">
        <v>25</v>
      </c>
      <c r="F10" s="61">
        <f t="shared" si="0"/>
        <v>278.25</v>
      </c>
      <c r="G10" s="61">
        <f t="shared" si="1"/>
        <v>250.18100127840418</v>
      </c>
      <c r="H10" s="62">
        <f t="shared" si="2"/>
        <v>28.068998721595811</v>
      </c>
      <c r="I10" s="62">
        <f t="shared" si="3"/>
        <v>6486.3786919045906</v>
      </c>
      <c r="J10" s="62">
        <f>SUM($H$3:H10)</f>
        <v>253.37869190459296</v>
      </c>
    </row>
    <row r="11" spans="1:10" x14ac:dyDescent="0.25">
      <c r="A11">
        <v>9</v>
      </c>
      <c r="B11" s="60">
        <v>45022</v>
      </c>
      <c r="C11" s="61">
        <f t="shared" si="4"/>
        <v>6486.3786919045906</v>
      </c>
      <c r="D11" s="61">
        <v>253.25</v>
      </c>
      <c r="E11" s="61">
        <v>25</v>
      </c>
      <c r="F11" s="61">
        <f t="shared" si="0"/>
        <v>278.25</v>
      </c>
      <c r="G11" s="61">
        <f t="shared" si="1"/>
        <v>251.22342211706422</v>
      </c>
      <c r="H11" s="62">
        <f t="shared" si="2"/>
        <v>27.026577882935793</v>
      </c>
      <c r="I11" s="62">
        <f t="shared" si="3"/>
        <v>6235.1552697875268</v>
      </c>
      <c r="J11" s="62">
        <f>SUM($H$3:H11)</f>
        <v>280.40526978752877</v>
      </c>
    </row>
    <row r="12" spans="1:10" x14ac:dyDescent="0.25">
      <c r="A12">
        <v>10</v>
      </c>
      <c r="B12" s="60">
        <v>45052</v>
      </c>
      <c r="C12" s="61">
        <f t="shared" si="4"/>
        <v>6235.1552697875268</v>
      </c>
      <c r="D12" s="61">
        <v>253.25</v>
      </c>
      <c r="E12" s="61">
        <v>25</v>
      </c>
      <c r="F12" s="61">
        <f t="shared" si="0"/>
        <v>278.25</v>
      </c>
      <c r="G12" s="61">
        <f t="shared" si="1"/>
        <v>252.27018637588532</v>
      </c>
      <c r="H12" s="62">
        <f t="shared" si="2"/>
        <v>25.979813624114694</v>
      </c>
      <c r="I12" s="62">
        <f t="shared" si="3"/>
        <v>5982.8850834116411</v>
      </c>
      <c r="J12" s="62">
        <f>SUM($H$3:H12)</f>
        <v>306.38508341164345</v>
      </c>
    </row>
    <row r="13" spans="1:10" x14ac:dyDescent="0.25">
      <c r="A13">
        <v>11</v>
      </c>
      <c r="B13" s="60">
        <v>45083</v>
      </c>
      <c r="C13" s="61">
        <f t="shared" si="4"/>
        <v>5982.8850834116411</v>
      </c>
      <c r="D13" s="61">
        <v>253.25</v>
      </c>
      <c r="E13" s="61">
        <v>25</v>
      </c>
      <c r="F13" s="61">
        <f t="shared" si="0"/>
        <v>278.25</v>
      </c>
      <c r="G13" s="61">
        <f t="shared" si="1"/>
        <v>253.3213121524515</v>
      </c>
      <c r="H13" s="62">
        <f t="shared" si="2"/>
        <v>24.928687847548503</v>
      </c>
      <c r="I13" s="62">
        <f t="shared" si="3"/>
        <v>5729.5637712591897</v>
      </c>
      <c r="J13" s="62">
        <f>SUM($H$3:H13)</f>
        <v>331.31377125919198</v>
      </c>
    </row>
    <row r="14" spans="1:10" x14ac:dyDescent="0.25">
      <c r="A14">
        <v>12</v>
      </c>
      <c r="B14" s="60">
        <v>45113</v>
      </c>
      <c r="C14" s="61">
        <f t="shared" si="4"/>
        <v>5729.5637712591897</v>
      </c>
      <c r="D14" s="61">
        <v>253.25</v>
      </c>
      <c r="E14" s="61">
        <v>25</v>
      </c>
      <c r="F14" s="61">
        <f t="shared" si="0"/>
        <v>278.25</v>
      </c>
      <c r="G14" s="61">
        <f t="shared" si="1"/>
        <v>254.37681761975338</v>
      </c>
      <c r="H14" s="62">
        <f t="shared" si="2"/>
        <v>23.873182380246625</v>
      </c>
      <c r="I14" s="62">
        <f t="shared" si="3"/>
        <v>5475.1869536394361</v>
      </c>
      <c r="J14" s="62">
        <f>SUM($H$3:H14)</f>
        <v>355.18695363943863</v>
      </c>
    </row>
    <row r="15" spans="1:10" x14ac:dyDescent="0.25">
      <c r="A15">
        <v>13</v>
      </c>
      <c r="B15" s="60">
        <v>45144</v>
      </c>
      <c r="C15" s="61">
        <f t="shared" si="4"/>
        <v>5475.1869536394361</v>
      </c>
      <c r="D15" s="61">
        <v>253.25</v>
      </c>
      <c r="E15" s="61">
        <v>25</v>
      </c>
      <c r="F15" s="61">
        <f t="shared" si="0"/>
        <v>278.25</v>
      </c>
      <c r="G15" s="61">
        <f t="shared" si="1"/>
        <v>255.43672102650234</v>
      </c>
      <c r="H15" s="62">
        <f t="shared" si="2"/>
        <v>22.813278973497649</v>
      </c>
      <c r="I15" s="62">
        <f t="shared" si="3"/>
        <v>5219.7502326129334</v>
      </c>
      <c r="J15" s="62">
        <f>SUM($H$3:H15)</f>
        <v>378.00023261293626</v>
      </c>
    </row>
    <row r="16" spans="1:10" x14ac:dyDescent="0.25">
      <c r="A16">
        <v>14</v>
      </c>
      <c r="B16" s="60">
        <v>45175</v>
      </c>
      <c r="C16" s="61">
        <f t="shared" si="4"/>
        <v>5219.7502326129334</v>
      </c>
      <c r="D16" s="61">
        <v>253.25</v>
      </c>
      <c r="E16" s="61">
        <v>25</v>
      </c>
      <c r="F16" s="61">
        <f t="shared" si="0"/>
        <v>278.25</v>
      </c>
      <c r="G16" s="61">
        <f t="shared" si="1"/>
        <v>256.50104069744611</v>
      </c>
      <c r="H16" s="62">
        <f t="shared" si="2"/>
        <v>21.748959302553889</v>
      </c>
      <c r="I16" s="62">
        <f t="shared" si="3"/>
        <v>4963.2491919154872</v>
      </c>
      <c r="J16" s="62">
        <f>SUM($H$3:H16)</f>
        <v>399.74919191549014</v>
      </c>
    </row>
    <row r="17" spans="1:10" x14ac:dyDescent="0.25">
      <c r="A17">
        <v>15</v>
      </c>
      <c r="B17" s="60">
        <v>45205</v>
      </c>
      <c r="C17" s="61">
        <f t="shared" si="4"/>
        <v>4963.2491919154872</v>
      </c>
      <c r="D17" s="61">
        <v>253.25</v>
      </c>
      <c r="E17" s="61">
        <v>25</v>
      </c>
      <c r="F17" s="61">
        <f t="shared" si="0"/>
        <v>278.25</v>
      </c>
      <c r="G17" s="61">
        <f t="shared" si="1"/>
        <v>257.56979503368547</v>
      </c>
      <c r="H17" s="62">
        <f t="shared" si="2"/>
        <v>20.68020496631453</v>
      </c>
      <c r="I17" s="62">
        <f t="shared" si="3"/>
        <v>4705.6793968818019</v>
      </c>
      <c r="J17" s="62">
        <f>SUM($H$3:H17)</f>
        <v>420.42939688180468</v>
      </c>
    </row>
    <row r="18" spans="1:10" x14ac:dyDescent="0.25">
      <c r="A18">
        <v>16</v>
      </c>
      <c r="B18" s="60">
        <v>45236</v>
      </c>
      <c r="C18" s="61">
        <f t="shared" si="4"/>
        <v>4705.6793968818019</v>
      </c>
      <c r="D18" s="61">
        <v>253.25</v>
      </c>
      <c r="E18" s="61">
        <v>25</v>
      </c>
      <c r="F18" s="61">
        <f t="shared" si="0"/>
        <v>278.25</v>
      </c>
      <c r="G18" s="61">
        <f t="shared" si="1"/>
        <v>258.6430025129925</v>
      </c>
      <c r="H18" s="62">
        <f t="shared" si="2"/>
        <v>19.606997487007508</v>
      </c>
      <c r="I18" s="62">
        <f t="shared" si="3"/>
        <v>4447.0363943688099</v>
      </c>
      <c r="J18" s="62">
        <f>SUM($H$3:H18)</f>
        <v>440.03639436881218</v>
      </c>
    </row>
    <row r="19" spans="1:10" x14ac:dyDescent="0.25">
      <c r="A19">
        <v>17</v>
      </c>
      <c r="B19" s="60">
        <v>45266</v>
      </c>
      <c r="C19" s="61">
        <f t="shared" si="4"/>
        <v>4447.0363943688099</v>
      </c>
      <c r="D19" s="61">
        <v>253.25</v>
      </c>
      <c r="E19" s="61">
        <v>25</v>
      </c>
      <c r="F19" s="61">
        <f t="shared" si="0"/>
        <v>278.25</v>
      </c>
      <c r="G19" s="61">
        <f t="shared" si="1"/>
        <v>259.72068169012994</v>
      </c>
      <c r="H19" s="62">
        <f t="shared" si="2"/>
        <v>18.529318309870042</v>
      </c>
      <c r="I19" s="62">
        <f t="shared" si="3"/>
        <v>4187.31571267868</v>
      </c>
      <c r="J19" s="62">
        <f>SUM($H$3:H19)</f>
        <v>458.56571267868225</v>
      </c>
    </row>
    <row r="20" spans="1:10" x14ac:dyDescent="0.25">
      <c r="A20">
        <v>18</v>
      </c>
      <c r="B20" s="60">
        <v>45297</v>
      </c>
      <c r="C20" s="61">
        <f t="shared" si="4"/>
        <v>4187.31571267868</v>
      </c>
      <c r="D20" s="61">
        <v>253.25</v>
      </c>
      <c r="E20" s="61">
        <v>25</v>
      </c>
      <c r="F20" s="61">
        <f t="shared" si="0"/>
        <v>278.25</v>
      </c>
      <c r="G20" s="61">
        <f t="shared" si="1"/>
        <v>260.80285119717217</v>
      </c>
      <c r="H20" s="62">
        <f t="shared" si="2"/>
        <v>17.447148802827833</v>
      </c>
      <c r="I20" s="62">
        <f t="shared" si="3"/>
        <v>3926.512861481508</v>
      </c>
      <c r="J20" s="62">
        <f>SUM($H$3:H20)</f>
        <v>476.01286148151007</v>
      </c>
    </row>
    <row r="21" spans="1:10" x14ac:dyDescent="0.25">
      <c r="A21">
        <v>19</v>
      </c>
      <c r="B21" s="60">
        <v>45328</v>
      </c>
      <c r="C21" s="61">
        <f t="shared" si="4"/>
        <v>3926.512861481508</v>
      </c>
      <c r="D21" s="61">
        <v>253.25</v>
      </c>
      <c r="E21" s="61">
        <v>25</v>
      </c>
      <c r="F21" s="61">
        <f t="shared" si="0"/>
        <v>278.25</v>
      </c>
      <c r="G21" s="61">
        <f t="shared" si="1"/>
        <v>261.88952974382704</v>
      </c>
      <c r="H21" s="62">
        <f t="shared" si="2"/>
        <v>16.360470256172949</v>
      </c>
      <c r="I21" s="62">
        <f t="shared" si="3"/>
        <v>3664.6233317376809</v>
      </c>
      <c r="J21" s="62">
        <f>SUM($H$3:H21)</f>
        <v>492.37333173768303</v>
      </c>
    </row>
    <row r="22" spans="1:10" x14ac:dyDescent="0.25">
      <c r="A22">
        <v>20</v>
      </c>
      <c r="B22" s="60">
        <v>45357</v>
      </c>
      <c r="C22" s="61">
        <f t="shared" si="4"/>
        <v>3664.6233317376809</v>
      </c>
      <c r="D22" s="61">
        <v>253.25</v>
      </c>
      <c r="E22" s="61">
        <v>25</v>
      </c>
      <c r="F22" s="61">
        <f t="shared" si="0"/>
        <v>278.25</v>
      </c>
      <c r="G22" s="61">
        <f t="shared" si="1"/>
        <v>262.98073611775965</v>
      </c>
      <c r="H22" s="62">
        <f t="shared" si="2"/>
        <v>15.269263882240336</v>
      </c>
      <c r="I22" s="62">
        <f t="shared" si="3"/>
        <v>3401.6425956199214</v>
      </c>
      <c r="J22" s="62">
        <f>SUM($H$3:H22)</f>
        <v>507.64259561992338</v>
      </c>
    </row>
    <row r="23" spans="1:10" x14ac:dyDescent="0.25">
      <c r="A23">
        <v>21</v>
      </c>
      <c r="B23" s="60">
        <v>45388</v>
      </c>
      <c r="C23" s="61">
        <f t="shared" si="4"/>
        <v>3401.6425956199214</v>
      </c>
      <c r="D23" s="61">
        <v>253.25</v>
      </c>
      <c r="E23" s="61">
        <v>25</v>
      </c>
      <c r="F23" s="61">
        <f t="shared" si="0"/>
        <v>278.25</v>
      </c>
      <c r="G23" s="61">
        <f t="shared" si="1"/>
        <v>264.07648918491702</v>
      </c>
      <c r="H23" s="62">
        <f t="shared" si="2"/>
        <v>14.173510815083006</v>
      </c>
      <c r="I23" s="62">
        <f t="shared" si="3"/>
        <v>3137.5661064350043</v>
      </c>
      <c r="J23" s="62">
        <f>SUM($H$3:H23)</f>
        <v>521.81610643500642</v>
      </c>
    </row>
    <row r="24" spans="1:10" x14ac:dyDescent="0.25">
      <c r="A24">
        <v>22</v>
      </c>
      <c r="B24" s="60">
        <v>45418</v>
      </c>
      <c r="C24" s="61">
        <f t="shared" si="4"/>
        <v>3137.5661064350043</v>
      </c>
      <c r="D24" s="61">
        <v>253.25</v>
      </c>
      <c r="E24" s="61">
        <v>25</v>
      </c>
      <c r="F24" s="61">
        <f t="shared" si="0"/>
        <v>278.25</v>
      </c>
      <c r="G24" s="61">
        <f t="shared" si="1"/>
        <v>265.17680788985416</v>
      </c>
      <c r="H24" s="62">
        <f t="shared" si="2"/>
        <v>13.07319211014585</v>
      </c>
      <c r="I24" s="62">
        <f t="shared" si="3"/>
        <v>2872.3892985451503</v>
      </c>
      <c r="J24" s="62">
        <f>SUM($H$3:H24)</f>
        <v>534.88929854515231</v>
      </c>
    </row>
    <row r="25" spans="1:10" x14ac:dyDescent="0.25">
      <c r="A25">
        <v>23</v>
      </c>
      <c r="B25" s="60">
        <v>45449</v>
      </c>
      <c r="C25" s="61">
        <f t="shared" si="4"/>
        <v>2872.3892985451503</v>
      </c>
      <c r="D25" s="61">
        <v>253.25</v>
      </c>
      <c r="E25" s="61">
        <v>25</v>
      </c>
      <c r="F25" s="61">
        <f t="shared" si="0"/>
        <v>278.25</v>
      </c>
      <c r="G25" s="61">
        <f t="shared" si="1"/>
        <v>266.2817112560619</v>
      </c>
      <c r="H25" s="62">
        <f t="shared" si="2"/>
        <v>11.968288743938126</v>
      </c>
      <c r="I25" s="62">
        <f t="shared" si="3"/>
        <v>2606.1075872890883</v>
      </c>
      <c r="J25" s="62">
        <f>SUM($H$3:H25)</f>
        <v>546.85758728909047</v>
      </c>
    </row>
    <row r="26" spans="1:10" x14ac:dyDescent="0.25">
      <c r="A26">
        <v>24</v>
      </c>
      <c r="B26" s="60">
        <v>45479</v>
      </c>
      <c r="C26" s="61">
        <f t="shared" si="4"/>
        <v>2606.1075872890883</v>
      </c>
      <c r="D26" s="61">
        <v>253.25</v>
      </c>
      <c r="E26" s="61">
        <v>25</v>
      </c>
      <c r="F26" s="61">
        <f t="shared" si="0"/>
        <v>278.25</v>
      </c>
      <c r="G26" s="61">
        <f t="shared" si="1"/>
        <v>267.39121838629546</v>
      </c>
      <c r="H26" s="62">
        <f t="shared" si="2"/>
        <v>10.858781613704535</v>
      </c>
      <c r="I26" s="62">
        <f t="shared" si="3"/>
        <v>2338.716368902793</v>
      </c>
      <c r="J26" s="62">
        <f>SUM($H$3:H26)</f>
        <v>557.71636890279501</v>
      </c>
    </row>
    <row r="27" spans="1:10" x14ac:dyDescent="0.25">
      <c r="A27">
        <v>25</v>
      </c>
      <c r="B27" s="60">
        <v>45510</v>
      </c>
      <c r="C27" s="61">
        <f t="shared" si="4"/>
        <v>2338.716368902793</v>
      </c>
      <c r="D27" s="61">
        <v>253.25</v>
      </c>
      <c r="E27" s="61">
        <v>25</v>
      </c>
      <c r="F27" s="61">
        <f t="shared" si="0"/>
        <v>278.25</v>
      </c>
      <c r="G27" s="61">
        <f t="shared" si="1"/>
        <v>268.50534846290503</v>
      </c>
      <c r="H27" s="62">
        <f t="shared" si="2"/>
        <v>9.7446515370949705</v>
      </c>
      <c r="I27" s="62">
        <f t="shared" si="3"/>
        <v>2070.2110204398878</v>
      </c>
      <c r="J27" s="62">
        <f>SUM($H$3:H27)</f>
        <v>567.46102043989004</v>
      </c>
    </row>
    <row r="28" spans="1:10" x14ac:dyDescent="0.25">
      <c r="A28">
        <v>26</v>
      </c>
      <c r="B28" s="60">
        <v>45541</v>
      </c>
      <c r="C28" s="61">
        <f t="shared" si="4"/>
        <v>2070.2110204398878</v>
      </c>
      <c r="D28" s="61">
        <v>253.25</v>
      </c>
      <c r="E28" s="61">
        <v>25</v>
      </c>
      <c r="F28" s="61">
        <f t="shared" si="0"/>
        <v>278.25</v>
      </c>
      <c r="G28" s="61">
        <f t="shared" si="1"/>
        <v>269.62412074816712</v>
      </c>
      <c r="H28" s="62">
        <f t="shared" si="2"/>
        <v>8.6258792518328651</v>
      </c>
      <c r="I28" s="62">
        <f t="shared" si="3"/>
        <v>1800.5868996917206</v>
      </c>
      <c r="J28" s="62">
        <f>SUM($H$3:H28)</f>
        <v>576.08689969172292</v>
      </c>
    </row>
    <row r="29" spans="1:10" x14ac:dyDescent="0.25">
      <c r="A29">
        <v>27</v>
      </c>
      <c r="B29" s="60">
        <v>45571</v>
      </c>
      <c r="C29" s="61">
        <f t="shared" si="4"/>
        <v>1800.5868996917206</v>
      </c>
      <c r="D29" s="61">
        <v>253.25</v>
      </c>
      <c r="E29" s="61">
        <v>25</v>
      </c>
      <c r="F29" s="61">
        <f t="shared" si="0"/>
        <v>278.25</v>
      </c>
      <c r="G29" s="61">
        <f t="shared" si="1"/>
        <v>270.74755458461783</v>
      </c>
      <c r="H29" s="62">
        <f t="shared" si="2"/>
        <v>7.5024454153821694</v>
      </c>
      <c r="I29" s="62">
        <f t="shared" si="3"/>
        <v>1529.8393451071029</v>
      </c>
      <c r="J29" s="62">
        <f>SUM($H$3:H29)</f>
        <v>583.58934510710515</v>
      </c>
    </row>
    <row r="30" spans="1:10" x14ac:dyDescent="0.25">
      <c r="A30">
        <v>28</v>
      </c>
      <c r="B30" s="60">
        <v>45602</v>
      </c>
      <c r="C30" s="61">
        <f t="shared" si="4"/>
        <v>1529.8393451071029</v>
      </c>
      <c r="D30" s="61">
        <v>253.25</v>
      </c>
      <c r="E30" s="61">
        <v>25</v>
      </c>
      <c r="F30" s="61">
        <f t="shared" si="0"/>
        <v>278.25</v>
      </c>
      <c r="G30" s="61">
        <f t="shared" si="1"/>
        <v>271.87566939538709</v>
      </c>
      <c r="H30" s="62">
        <f t="shared" si="2"/>
        <v>6.3743306046129282</v>
      </c>
      <c r="I30" s="62">
        <f t="shared" si="3"/>
        <v>1257.9636757117157</v>
      </c>
      <c r="J30" s="62">
        <f>SUM($H$3:H30)</f>
        <v>589.96367571171811</v>
      </c>
    </row>
    <row r="31" spans="1:10" x14ac:dyDescent="0.25">
      <c r="A31">
        <v>29</v>
      </c>
      <c r="B31" s="60">
        <v>45632</v>
      </c>
      <c r="C31" s="61">
        <f t="shared" si="4"/>
        <v>1257.9636757117157</v>
      </c>
      <c r="D31" s="61">
        <v>253.25</v>
      </c>
      <c r="E31" s="61">
        <v>25</v>
      </c>
      <c r="F31" s="61">
        <f t="shared" si="0"/>
        <v>278.25</v>
      </c>
      <c r="G31" s="61">
        <f t="shared" si="1"/>
        <v>273.00848468453449</v>
      </c>
      <c r="H31" s="62">
        <f t="shared" si="2"/>
        <v>5.2415153154654819</v>
      </c>
      <c r="I31" s="62">
        <f t="shared" si="3"/>
        <v>984.95519102718117</v>
      </c>
      <c r="J31" s="62">
        <f>SUM($H$3:H31)</f>
        <v>595.20519102718356</v>
      </c>
    </row>
    <row r="32" spans="1:10" x14ac:dyDescent="0.25">
      <c r="A32">
        <v>30</v>
      </c>
      <c r="B32" s="60">
        <v>45663</v>
      </c>
      <c r="C32" s="61">
        <f t="shared" si="4"/>
        <v>984.95519102718117</v>
      </c>
      <c r="D32" s="61">
        <v>253.25</v>
      </c>
      <c r="E32" s="61">
        <v>25</v>
      </c>
      <c r="F32" s="61">
        <f t="shared" si="0"/>
        <v>278.25</v>
      </c>
      <c r="G32" s="61">
        <f t="shared" si="1"/>
        <v>274.14602003738673</v>
      </c>
      <c r="H32" s="62">
        <f t="shared" si="2"/>
        <v>4.1039799626132547</v>
      </c>
      <c r="I32" s="62">
        <f t="shared" si="3"/>
        <v>710.80917098979444</v>
      </c>
      <c r="J32" s="62">
        <f>SUM($H$3:H32)</f>
        <v>599.30917098979683</v>
      </c>
    </row>
    <row r="33" spans="1:10" x14ac:dyDescent="0.25">
      <c r="A33">
        <v>31</v>
      </c>
      <c r="B33" s="60">
        <v>45694</v>
      </c>
      <c r="C33" s="61">
        <f t="shared" si="4"/>
        <v>710.80917098979444</v>
      </c>
      <c r="D33" s="61">
        <v>253.25</v>
      </c>
      <c r="E33" s="61">
        <v>25</v>
      </c>
      <c r="F33" s="61">
        <f t="shared" si="0"/>
        <v>278.25</v>
      </c>
      <c r="G33" s="61">
        <f t="shared" si="1"/>
        <v>275.28829512087583</v>
      </c>
      <c r="H33" s="62">
        <f t="shared" si="2"/>
        <v>2.9617048791241434</v>
      </c>
      <c r="I33" s="62">
        <f t="shared" si="3"/>
        <v>435.52087586891861</v>
      </c>
      <c r="J33" s="62">
        <f>SUM($H$3:H33)</f>
        <v>602.27087586892094</v>
      </c>
    </row>
    <row r="34" spans="1:10" x14ac:dyDescent="0.25">
      <c r="A34">
        <v>32</v>
      </c>
      <c r="B34" s="60">
        <v>45722</v>
      </c>
      <c r="C34" s="61">
        <f t="shared" si="4"/>
        <v>435.52087586891861</v>
      </c>
      <c r="D34" s="61">
        <v>253.25</v>
      </c>
      <c r="E34" s="61">
        <v>25</v>
      </c>
      <c r="F34" s="61">
        <f t="shared" si="0"/>
        <v>278.25</v>
      </c>
      <c r="G34" s="61">
        <f t="shared" si="1"/>
        <v>276.4353296838795</v>
      </c>
      <c r="H34" s="62">
        <f t="shared" si="2"/>
        <v>1.8146703161204942</v>
      </c>
      <c r="I34" s="62">
        <f t="shared" si="3"/>
        <v>159.08554618503911</v>
      </c>
      <c r="J34" s="62">
        <f>SUM($H$3:H34)</f>
        <v>604.08554618504138</v>
      </c>
    </row>
  </sheetData>
  <dataValidations count="10">
    <dataValidation allowBlank="1" showInputMessage="1" showErrorMessage="1" prompt="Payment number is automatically updated in this column" sqref="A2" xr:uid="{7854B855-A78E-4198-8433-0568A8B756D3}"/>
    <dataValidation allowBlank="1" showInputMessage="1" showErrorMessage="1" prompt="Payment date is automatically updated in this column" sqref="B2" xr:uid="{0478B6FD-989A-41D9-A03B-310301C8A3FC}"/>
    <dataValidation allowBlank="1" showInputMessage="1" showErrorMessage="1" prompt="Beginning balance is automatically updated in this column" sqref="C2" xr:uid="{E3673C96-FE72-411C-8193-E8DC4BADC4A6}"/>
    <dataValidation allowBlank="1" showInputMessage="1" showErrorMessage="1" prompt="Scheduled payment is automatically updated in this column" sqref="D2" xr:uid="{040F4455-6A7D-4C4F-A544-4BE246A90541}"/>
    <dataValidation allowBlank="1" showInputMessage="1" showErrorMessage="1" prompt="Extra payment is automatically updated in this column" sqref="E2" xr:uid="{7F62B81F-5944-443D-9AC2-F674B6E70D7B}"/>
    <dataValidation allowBlank="1" showInputMessage="1" showErrorMessage="1" prompt="Total payment is automatically updated in this column" sqref="F2" xr:uid="{1CF518F2-FE51-4D86-81BB-CCF1F4D66AB6}"/>
    <dataValidation allowBlank="1" showInputMessage="1" showErrorMessage="1" prompt="Principal is automatically updated in this column" sqref="G2" xr:uid="{64BBE906-3A50-4F74-B41F-85CBA10D63CC}"/>
    <dataValidation allowBlank="1" showInputMessage="1" showErrorMessage="1" prompt="Interest is automatically updated in this column" sqref="H2" xr:uid="{8250CA37-FAAD-407A-9082-6F620A9B5C3B}"/>
    <dataValidation allowBlank="1" showInputMessage="1" showErrorMessage="1" prompt="Ending balance is automatically updated in this column" sqref="I2" xr:uid="{21CCBB65-509F-4B3F-8396-0D2D1B4C373E}"/>
    <dataValidation allowBlank="1" showInputMessage="1" showErrorMessage="1" prompt="Cumulative interest is automatically updated in this column" sqref="J2" xr:uid="{C552DB6B-BE1A-4240-AC17-C75485F245CA}"/>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Props1.xml><?xml version="1.0" encoding="utf-8"?>
<ds:datastoreItem xmlns:ds="http://schemas.openxmlformats.org/officeDocument/2006/customXml" ds:itemID="{1C916AAA-B92E-4B63-85B8-AAE6B615F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666D08-E803-410C-AADE-B689A81EAADD}">
  <ds:schemaRefs>
    <ds:schemaRef ds:uri="http://schemas.microsoft.com/sharepoint/v3/contenttype/forms"/>
  </ds:schemaRefs>
</ds:datastoreItem>
</file>

<file path=customXml/itemProps3.xml><?xml version="1.0" encoding="utf-8"?>
<ds:datastoreItem xmlns:ds="http://schemas.openxmlformats.org/officeDocument/2006/customXml" ds:itemID="{5C5FC484-22E1-46B8-AF82-A10C8B95E93A}">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4</vt:i4>
      </vt:variant>
      <vt:variant>
        <vt:lpstr>Named Ranges</vt:lpstr>
      </vt:variant>
      <vt:variant>
        <vt:i4>48</vt:i4>
      </vt:variant>
    </vt:vector>
  </HeadingPairs>
  <TitlesOfParts>
    <vt:vector size="52" baseType="lpstr">
      <vt:lpstr>Loan Schedule</vt:lpstr>
      <vt:lpstr>Loan Schedule (2)</vt:lpstr>
      <vt:lpstr>Loan Schedule (3)</vt:lpstr>
      <vt:lpstr>Sheet3</vt:lpstr>
      <vt:lpstr>'Loan Schedule'!ColumnTitle1</vt:lpstr>
      <vt:lpstr>'Loan Schedule (2)'!ColumnTitle1</vt:lpstr>
      <vt:lpstr>'Loan Schedule (3)'!ColumnTitle1</vt:lpstr>
      <vt:lpstr>'Loan Schedule'!End_Bal</vt:lpstr>
      <vt:lpstr>'Loan Schedule (2)'!End_Bal</vt:lpstr>
      <vt:lpstr>'Loan Schedule (3)'!End_Bal</vt:lpstr>
      <vt:lpstr>'Loan Schedule'!ExtraPayments</vt:lpstr>
      <vt:lpstr>'Loan Schedule (2)'!ExtraPayments</vt:lpstr>
      <vt:lpstr>'Loan Schedule (3)'!ExtraPayments</vt:lpstr>
      <vt:lpstr>'Loan Schedule'!InterestRate</vt:lpstr>
      <vt:lpstr>'Loan Schedule (2)'!InterestRate</vt:lpstr>
      <vt:lpstr>'Loan Schedule (3)'!InterestRate</vt:lpstr>
      <vt:lpstr>'Loan Schedule'!LenderName</vt:lpstr>
      <vt:lpstr>'Loan Schedule (2)'!LenderName</vt:lpstr>
      <vt:lpstr>'Loan Schedule (3)'!LenderName</vt:lpstr>
      <vt:lpstr>'Loan Schedule'!LoanAmount</vt:lpstr>
      <vt:lpstr>'Loan Schedule (2)'!LoanAmount</vt:lpstr>
      <vt:lpstr>'Loan Schedule (3)'!LoanAmount</vt:lpstr>
      <vt:lpstr>'Loan Schedule'!LoanPeriod</vt:lpstr>
      <vt:lpstr>'Loan Schedule (2)'!LoanPeriod</vt:lpstr>
      <vt:lpstr>'Loan Schedule (3)'!LoanPeriod</vt:lpstr>
      <vt:lpstr>'Loan Schedule'!LoanStartDate</vt:lpstr>
      <vt:lpstr>'Loan Schedule (2)'!LoanStartDate</vt:lpstr>
      <vt:lpstr>'Loan Schedule (3)'!LoanStartDate</vt:lpstr>
      <vt:lpstr>'Loan Schedule'!PaymentsPerYear</vt:lpstr>
      <vt:lpstr>'Loan Schedule (2)'!PaymentsPerYear</vt:lpstr>
      <vt:lpstr>'Loan Schedule (3)'!PaymentsPerYear</vt:lpstr>
      <vt:lpstr>'Loan Schedule'!Print_Titles</vt:lpstr>
      <vt:lpstr>'Loan Schedule (2)'!Print_Titles</vt:lpstr>
      <vt:lpstr>'Loan Schedule (3)'!Print_Titles</vt:lpstr>
      <vt:lpstr>'Loan Schedule'!RowTitleRegion1..E9</vt:lpstr>
      <vt:lpstr>'Loan Schedule (2)'!RowTitleRegion1..E9</vt:lpstr>
      <vt:lpstr>'Loan Schedule (3)'!RowTitleRegion1..E9</vt:lpstr>
      <vt:lpstr>'Loan Schedule'!RowTitleRegion2..I7</vt:lpstr>
      <vt:lpstr>'Loan Schedule (2)'!RowTitleRegion2..I7</vt:lpstr>
      <vt:lpstr>'Loan Schedule (3)'!RowTitleRegion2..I7</vt:lpstr>
      <vt:lpstr>'Loan Schedule'!RowTitleRegion3..E9</vt:lpstr>
      <vt:lpstr>'Loan Schedule (2)'!RowTitleRegion3..E9</vt:lpstr>
      <vt:lpstr>'Loan Schedule (3)'!RowTitleRegion3..E9</vt:lpstr>
      <vt:lpstr>'Loan Schedule'!RowTitleRegion4..H9</vt:lpstr>
      <vt:lpstr>'Loan Schedule (2)'!RowTitleRegion4..H9</vt:lpstr>
      <vt:lpstr>'Loan Schedule (3)'!RowTitleRegion4..H9</vt:lpstr>
      <vt:lpstr>'Loan Schedule'!ScheduledNumberOfPayments</vt:lpstr>
      <vt:lpstr>'Loan Schedule (2)'!ScheduledNumberOfPayments</vt:lpstr>
      <vt:lpstr>'Loan Schedule (3)'!ScheduledNumberOfPayments</vt:lpstr>
      <vt:lpstr>'Loan Schedule'!ScheduledPayment</vt:lpstr>
      <vt:lpstr>'Loan Schedule (2)'!ScheduledPayment</vt:lpstr>
      <vt:lpstr>'Loan Schedule (3)'!ScheduledPayment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2020-08-04T04:24:44Z</dcterms:created>
  <dcterms:modified xsi:type="dcterms:W3CDTF">2022-08-07T02:24:37Z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