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MIEIC\MNUM\Exames\"/>
    </mc:Choice>
  </mc:AlternateContent>
  <bookViews>
    <workbookView xWindow="0" yWindow="0" windowWidth="23040" windowHeight="9084" activeTab="6"/>
  </bookViews>
  <sheets>
    <sheet name="2009 Recurso" sheetId="1" r:id="rId1"/>
    <sheet name="2009" sheetId="2" r:id="rId2"/>
    <sheet name="2010" sheetId="3" r:id="rId3"/>
    <sheet name="2013" sheetId="4" r:id="rId4"/>
    <sheet name="2014" sheetId="5" r:id="rId5"/>
    <sheet name="2015" sheetId="6" r:id="rId6"/>
    <sheet name="2017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7" l="1"/>
  <c r="K51" i="7"/>
  <c r="H53" i="7"/>
  <c r="H52" i="7"/>
  <c r="H51" i="7"/>
  <c r="E53" i="7"/>
  <c r="E51" i="7"/>
  <c r="B53" i="7"/>
  <c r="B52" i="7"/>
  <c r="B51" i="7"/>
  <c r="R46" i="7"/>
  <c r="Q46" i="7"/>
  <c r="P46" i="7"/>
  <c r="O46" i="7"/>
  <c r="N46" i="7"/>
  <c r="M46" i="7"/>
  <c r="B46" i="7"/>
  <c r="C46" i="7"/>
  <c r="D46" i="7"/>
  <c r="E46" i="7"/>
  <c r="F46" i="7"/>
  <c r="G46" i="7"/>
  <c r="H46" i="7"/>
  <c r="I46" i="7"/>
  <c r="J46" i="7"/>
  <c r="K46" i="7"/>
  <c r="L46" i="7"/>
  <c r="O45" i="7"/>
  <c r="P45" i="7"/>
  <c r="Q45" i="7"/>
  <c r="R45" i="7" s="1"/>
  <c r="J45" i="7"/>
  <c r="K45" i="7" s="1"/>
  <c r="L45" i="7" s="1"/>
  <c r="M45" i="7" s="1"/>
  <c r="N45" i="7" s="1"/>
  <c r="D45" i="7"/>
  <c r="E45" i="7" s="1"/>
  <c r="F45" i="7" s="1"/>
  <c r="G45" i="7" s="1"/>
  <c r="H45" i="7" s="1"/>
  <c r="I45" i="7" s="1"/>
  <c r="C45" i="7"/>
  <c r="B45" i="7"/>
  <c r="I37" i="7"/>
  <c r="J39" i="7" s="1"/>
  <c r="B43" i="7"/>
  <c r="I40" i="7"/>
  <c r="I39" i="7"/>
  <c r="C40" i="7"/>
  <c r="D40" i="7"/>
  <c r="E40" i="7"/>
  <c r="F40" i="7"/>
  <c r="B40" i="7"/>
  <c r="F39" i="7"/>
  <c r="D39" i="7"/>
  <c r="E39" i="7"/>
  <c r="C39" i="7"/>
  <c r="B37" i="7"/>
  <c r="C29" i="7"/>
  <c r="C28" i="7"/>
  <c r="J28" i="7"/>
  <c r="J29" i="7"/>
  <c r="J27" i="7"/>
  <c r="I28" i="7"/>
  <c r="I29" i="7"/>
  <c r="I27" i="7"/>
  <c r="H28" i="7"/>
  <c r="H29" i="7"/>
  <c r="H27" i="7"/>
  <c r="G28" i="7"/>
  <c r="G29" i="7"/>
  <c r="G27" i="7"/>
  <c r="O28" i="7"/>
  <c r="N28" i="7"/>
  <c r="M28" i="7"/>
  <c r="L28" i="7"/>
  <c r="E28" i="7"/>
  <c r="D28" i="7"/>
  <c r="O27" i="7"/>
  <c r="N27" i="7"/>
  <c r="M27" i="7"/>
  <c r="L27" i="7"/>
  <c r="E27" i="7"/>
  <c r="D27" i="7"/>
  <c r="C27" i="7"/>
  <c r="B29" i="7"/>
  <c r="B28" i="7"/>
  <c r="B27" i="7"/>
  <c r="D22" i="7"/>
  <c r="E22" i="7" s="1"/>
  <c r="E21" i="7"/>
  <c r="D21" i="7"/>
  <c r="C22" i="7" s="1"/>
  <c r="C21" i="7"/>
  <c r="C20" i="7"/>
  <c r="E20" i="7"/>
  <c r="B21" i="7"/>
  <c r="B22" i="7" s="1"/>
  <c r="D20" i="7"/>
  <c r="G20" i="7"/>
  <c r="B20" i="7"/>
  <c r="G7" i="7"/>
  <c r="F7" i="7"/>
  <c r="E7" i="7"/>
  <c r="D7" i="7" s="1"/>
  <c r="C7" i="7"/>
  <c r="B7" i="7"/>
  <c r="G6" i="7"/>
  <c r="D6" i="7"/>
  <c r="F6" i="7"/>
  <c r="E6" i="7"/>
  <c r="C6" i="7"/>
  <c r="B6" i="7"/>
  <c r="B7" i="2"/>
  <c r="D6" i="2"/>
  <c r="C25" i="1"/>
  <c r="E24" i="1"/>
  <c r="D23" i="1"/>
  <c r="J40" i="7" l="1"/>
  <c r="K39" i="7"/>
  <c r="D29" i="7"/>
  <c r="F29" i="6"/>
  <c r="L39" i="7" l="1"/>
  <c r="K40" i="7"/>
  <c r="E29" i="7"/>
  <c r="L29" i="7" s="1"/>
  <c r="M29" i="7" s="1"/>
  <c r="N29" i="7" s="1"/>
  <c r="O29" i="7" s="1"/>
  <c r="C8" i="7"/>
  <c r="F8" i="7" s="1"/>
  <c r="B8" i="7"/>
  <c r="E8" i="7" s="1"/>
  <c r="G39" i="6"/>
  <c r="C40" i="6" s="1"/>
  <c r="F40" i="6" s="1"/>
  <c r="F39" i="6"/>
  <c r="E39" i="6"/>
  <c r="C39" i="6"/>
  <c r="B39" i="6"/>
  <c r="D39" i="6"/>
  <c r="G38" i="6"/>
  <c r="F38" i="6"/>
  <c r="E38" i="6"/>
  <c r="D38" i="6"/>
  <c r="C38" i="6"/>
  <c r="B38" i="6"/>
  <c r="M39" i="7" l="1"/>
  <c r="L40" i="7"/>
  <c r="D8" i="7"/>
  <c r="G8" i="7" s="1"/>
  <c r="B40" i="6"/>
  <c r="E40" i="6" s="1"/>
  <c r="D40" i="6"/>
  <c r="G40" i="6" s="1"/>
  <c r="N39" i="7" l="1"/>
  <c r="M40" i="7"/>
  <c r="B9" i="7"/>
  <c r="E9" i="7" s="1"/>
  <c r="C9" i="7"/>
  <c r="F9" i="7" s="1"/>
  <c r="N29" i="6"/>
  <c r="L29" i="6"/>
  <c r="J30" i="6"/>
  <c r="J29" i="6"/>
  <c r="J28" i="6"/>
  <c r="D29" i="6"/>
  <c r="B30" i="6"/>
  <c r="B29" i="6"/>
  <c r="B28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D24" i="6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E23" i="6"/>
  <c r="D23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F20" i="6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E20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D18" i="6"/>
  <c r="P17" i="6"/>
  <c r="Q17" i="6" s="1"/>
  <c r="R17" i="6" s="1"/>
  <c r="S17" i="6" s="1"/>
  <c r="T17" i="6" s="1"/>
  <c r="F17" i="6"/>
  <c r="G17" i="6" s="1"/>
  <c r="H17" i="6" s="1"/>
  <c r="I17" i="6" s="1"/>
  <c r="J17" i="6" s="1"/>
  <c r="K17" i="6" s="1"/>
  <c r="L17" i="6" s="1"/>
  <c r="M17" i="6" s="1"/>
  <c r="N17" i="6" s="1"/>
  <c r="O17" i="6" s="1"/>
  <c r="E17" i="6"/>
  <c r="A21" i="6"/>
  <c r="A18" i="6"/>
  <c r="L15" i="6"/>
  <c r="H15" i="6"/>
  <c r="I15" i="6"/>
  <c r="J15" i="6"/>
  <c r="K15" i="6"/>
  <c r="E15" i="6"/>
  <c r="F15" i="6"/>
  <c r="G15" i="6"/>
  <c r="D15" i="6"/>
  <c r="L14" i="6"/>
  <c r="K14" i="6"/>
  <c r="I14" i="6"/>
  <c r="J14" i="6" s="1"/>
  <c r="F14" i="6"/>
  <c r="G14" i="6"/>
  <c r="H14" i="6" s="1"/>
  <c r="E14" i="6"/>
  <c r="A15" i="6"/>
  <c r="C8" i="6"/>
  <c r="C7" i="6"/>
  <c r="B8" i="6"/>
  <c r="B7" i="6"/>
  <c r="E6" i="6"/>
  <c r="C6" i="6"/>
  <c r="B6" i="6"/>
  <c r="B10" i="5"/>
  <c r="H8" i="5"/>
  <c r="I8" i="5"/>
  <c r="J8" i="5"/>
  <c r="G8" i="5"/>
  <c r="F8" i="5"/>
  <c r="E8" i="5"/>
  <c r="D8" i="5"/>
  <c r="C8" i="5"/>
  <c r="B8" i="5"/>
  <c r="J6" i="5"/>
  <c r="J7" i="5"/>
  <c r="J5" i="5"/>
  <c r="J6" i="2"/>
  <c r="G6" i="5"/>
  <c r="I6" i="5"/>
  <c r="C7" i="5" s="1"/>
  <c r="I7" i="5"/>
  <c r="B6" i="5"/>
  <c r="C6" i="5"/>
  <c r="H5" i="5"/>
  <c r="G5" i="5"/>
  <c r="F5" i="5"/>
  <c r="E5" i="5"/>
  <c r="D5" i="5"/>
  <c r="L7" i="5"/>
  <c r="L5" i="5" s="1"/>
  <c r="I5" i="5"/>
  <c r="C5" i="5"/>
  <c r="B5" i="5"/>
  <c r="O39" i="7" l="1"/>
  <c r="N40" i="7"/>
  <c r="D9" i="7"/>
  <c r="G9" i="7" s="1"/>
  <c r="B7" i="5"/>
  <c r="E51" i="4"/>
  <c r="B51" i="4"/>
  <c r="E49" i="4"/>
  <c r="B49" i="4"/>
  <c r="B46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4" i="4"/>
  <c r="B36" i="4"/>
  <c r="R43" i="4"/>
  <c r="Q43" i="4"/>
  <c r="L43" i="4"/>
  <c r="M43" i="4" s="1"/>
  <c r="N43" i="4" s="1"/>
  <c r="O43" i="4" s="1"/>
  <c r="P43" i="4" s="1"/>
  <c r="D43" i="4"/>
  <c r="E43" i="4" s="1"/>
  <c r="F43" i="4" s="1"/>
  <c r="G43" i="4" s="1"/>
  <c r="H43" i="4" s="1"/>
  <c r="I43" i="4" s="1"/>
  <c r="J43" i="4" s="1"/>
  <c r="K43" i="4" s="1"/>
  <c r="C43" i="4"/>
  <c r="B41" i="4"/>
  <c r="I38" i="4"/>
  <c r="J36" i="4"/>
  <c r="K36" i="4"/>
  <c r="L36" i="4"/>
  <c r="M36" i="4"/>
  <c r="N36" i="4"/>
  <c r="O36" i="4"/>
  <c r="P36" i="4"/>
  <c r="Q36" i="4"/>
  <c r="I36" i="4"/>
  <c r="Q35" i="4"/>
  <c r="P35" i="4"/>
  <c r="K35" i="4"/>
  <c r="L35" i="4" s="1"/>
  <c r="M35" i="4" s="1"/>
  <c r="N35" i="4" s="1"/>
  <c r="O35" i="4" s="1"/>
  <c r="J35" i="4"/>
  <c r="I33" i="4"/>
  <c r="C36" i="4"/>
  <c r="C35" i="4"/>
  <c r="B33" i="4"/>
  <c r="D22" i="4"/>
  <c r="J13" i="4"/>
  <c r="J14" i="4"/>
  <c r="I13" i="4"/>
  <c r="I14" i="4"/>
  <c r="H13" i="4"/>
  <c r="H14" i="4"/>
  <c r="I12" i="4"/>
  <c r="K13" i="4"/>
  <c r="K14" i="4"/>
  <c r="K12" i="4"/>
  <c r="J12" i="4"/>
  <c r="H12" i="4"/>
  <c r="D14" i="4"/>
  <c r="D13" i="4"/>
  <c r="P12" i="4"/>
  <c r="O12" i="4"/>
  <c r="N12" i="4"/>
  <c r="M12" i="4"/>
  <c r="F12" i="4"/>
  <c r="E12" i="4"/>
  <c r="P39" i="7" l="1"/>
  <c r="O40" i="7"/>
  <c r="E6" i="5"/>
  <c r="D6" i="5"/>
  <c r="H6" i="5" s="1"/>
  <c r="F7" i="5" s="1"/>
  <c r="F6" i="5"/>
  <c r="D35" i="4"/>
  <c r="C14" i="4"/>
  <c r="Q39" i="7" l="1"/>
  <c r="Q40" i="7" s="1"/>
  <c r="P40" i="7"/>
  <c r="G7" i="5"/>
  <c r="D36" i="4"/>
  <c r="E35" i="4"/>
  <c r="E7" i="5" l="1"/>
  <c r="D7" i="5"/>
  <c r="H7" i="5" s="1"/>
  <c r="E36" i="4"/>
  <c r="F35" i="4"/>
  <c r="F36" i="4" s="1"/>
  <c r="B38" i="4" l="1"/>
  <c r="C8" i="4" l="1"/>
  <c r="D7" i="4"/>
  <c r="E7" i="4" s="1"/>
  <c r="E6" i="4"/>
  <c r="C7" i="4"/>
  <c r="D12" i="4"/>
  <c r="C13" i="4" l="1"/>
  <c r="D24" i="4"/>
  <c r="C25" i="4"/>
  <c r="C24" i="4"/>
  <c r="E25" i="4" s="1"/>
  <c r="F22" i="4"/>
  <c r="E23" i="4"/>
  <c r="E22" i="4"/>
  <c r="C23" i="4"/>
  <c r="C22" i="4"/>
  <c r="B14" i="4"/>
  <c r="B13" i="4"/>
  <c r="C12" i="4"/>
  <c r="B12" i="4"/>
  <c r="E24" i="4" l="1"/>
  <c r="D8" i="4"/>
  <c r="E8" i="4" s="1"/>
  <c r="F13" i="4" l="1"/>
  <c r="M13" i="4" s="1"/>
  <c r="E13" i="4"/>
  <c r="B8" i="4"/>
  <c r="B7" i="4"/>
  <c r="D6" i="4"/>
  <c r="C6" i="4"/>
  <c r="B6" i="4"/>
  <c r="G6" i="4"/>
  <c r="E7" i="3"/>
  <c r="C9" i="3" s="1"/>
  <c r="C8" i="3"/>
  <c r="E6" i="3"/>
  <c r="D6" i="3"/>
  <c r="F6" i="3"/>
  <c r="C7" i="3"/>
  <c r="C6" i="3"/>
  <c r="N13" i="4" l="1"/>
  <c r="O13" i="4" s="1"/>
  <c r="P13" i="4" s="1"/>
  <c r="E8" i="3"/>
  <c r="E9" i="3"/>
  <c r="K19" i="2"/>
  <c r="D8" i="3" l="1"/>
  <c r="F31" i="2"/>
  <c r="D31" i="2"/>
  <c r="B30" i="2"/>
  <c r="B31" i="2"/>
  <c r="B32" i="2"/>
  <c r="G20" i="2"/>
  <c r="F20" i="2"/>
  <c r="E20" i="2"/>
  <c r="D20" i="2"/>
  <c r="G19" i="2"/>
  <c r="F19" i="2"/>
  <c r="E19" i="2"/>
  <c r="D19" i="2"/>
  <c r="C19" i="2"/>
  <c r="B23" i="2"/>
  <c r="B21" i="2"/>
  <c r="B22" i="2" s="1"/>
  <c r="B20" i="2"/>
  <c r="B19" i="2"/>
  <c r="I19" i="2"/>
  <c r="E6" i="2"/>
  <c r="F14" i="4" l="1"/>
  <c r="M14" i="4" s="1"/>
  <c r="N14" i="4" s="1"/>
  <c r="E14" i="4"/>
  <c r="O14" i="4" l="1"/>
  <c r="P14" i="4" s="1"/>
  <c r="C20" i="2"/>
  <c r="C21" i="2" l="1"/>
  <c r="D21" i="2" l="1"/>
  <c r="E21" i="2" s="1"/>
  <c r="F21" i="2" s="1"/>
  <c r="G21" i="2" s="1"/>
  <c r="C22" i="2" l="1"/>
  <c r="D22" i="2" l="1"/>
  <c r="E22" i="2" s="1"/>
  <c r="F22" i="2" s="1"/>
  <c r="G22" i="2" s="1"/>
  <c r="C23" i="2" l="1"/>
  <c r="G23" i="2" l="1"/>
  <c r="D23" i="2"/>
  <c r="E23" i="2" s="1"/>
  <c r="F23" i="2" s="1"/>
  <c r="I6" i="2" l="1"/>
  <c r="H6" i="2"/>
  <c r="G6" i="2"/>
  <c r="F6" i="2"/>
  <c r="C6" i="2"/>
  <c r="B6" i="2"/>
  <c r="M6" i="2"/>
  <c r="N6" i="2"/>
  <c r="C7" i="2" l="1"/>
  <c r="G7" i="2" s="1"/>
  <c r="L11" i="1"/>
  <c r="K18" i="1"/>
  <c r="L15" i="1"/>
  <c r="L13" i="1"/>
  <c r="J7" i="2" l="1"/>
  <c r="E7" i="2"/>
  <c r="I7" i="2" s="1"/>
  <c r="D7" i="2"/>
  <c r="H7" i="2" s="1"/>
  <c r="C8" i="2" s="1"/>
  <c r="G8" i="2" s="1"/>
  <c r="F7" i="2"/>
  <c r="M8" i="1"/>
  <c r="O12" i="1"/>
  <c r="Q12" i="1"/>
  <c r="S12" i="1"/>
  <c r="U12" i="1"/>
  <c r="W9" i="1"/>
  <c r="U9" i="1"/>
  <c r="S9" i="1"/>
  <c r="S8" i="1"/>
  <c r="Q9" i="1"/>
  <c r="U11" i="1"/>
  <c r="S11" i="1"/>
  <c r="Q11" i="1"/>
  <c r="O11" i="1"/>
  <c r="W8" i="1"/>
  <c r="U8" i="1"/>
  <c r="Q8" i="1"/>
  <c r="P8" i="1"/>
  <c r="V12" i="1"/>
  <c r="R12" i="1"/>
  <c r="P12" i="1"/>
  <c r="X9" i="1"/>
  <c r="V9" i="1"/>
  <c r="T9" i="1"/>
  <c r="R9" i="1"/>
  <c r="P9" i="1"/>
  <c r="V11" i="1"/>
  <c r="T11" i="1"/>
  <c r="R11" i="1"/>
  <c r="P11" i="1"/>
  <c r="X8" i="1"/>
  <c r="V8" i="1"/>
  <c r="T8" i="1"/>
  <c r="R8" i="1"/>
  <c r="M7" i="1"/>
  <c r="U6" i="1"/>
  <c r="S6" i="1"/>
  <c r="Q6" i="1"/>
  <c r="W5" i="1"/>
  <c r="U5" i="1"/>
  <c r="S5" i="1"/>
  <c r="Q5" i="1"/>
  <c r="X6" i="1"/>
  <c r="V6" i="1"/>
  <c r="T6" i="1"/>
  <c r="R6" i="1"/>
  <c r="P6" i="1"/>
  <c r="X5" i="1"/>
  <c r="V5" i="1"/>
  <c r="T5" i="1"/>
  <c r="R5" i="1"/>
  <c r="P5" i="1"/>
  <c r="L8" i="1"/>
  <c r="L7" i="1"/>
  <c r="M6" i="1"/>
  <c r="T3" i="1"/>
  <c r="S3" i="1"/>
  <c r="R3" i="1"/>
  <c r="T2" i="1"/>
  <c r="S2" i="1"/>
  <c r="R2" i="1"/>
  <c r="Q3" i="1"/>
  <c r="Q2" i="1"/>
  <c r="P3" i="1"/>
  <c r="P2" i="1"/>
  <c r="E26" i="1"/>
  <c r="C26" i="1"/>
  <c r="E25" i="1" s="1"/>
  <c r="E23" i="1"/>
  <c r="F23" i="1"/>
  <c r="C24" i="1"/>
  <c r="C23" i="1"/>
  <c r="B8" i="2" l="1"/>
  <c r="E8" i="2" s="1"/>
  <c r="I8" i="2" s="1"/>
  <c r="D25" i="1"/>
  <c r="D8" i="2" l="1"/>
  <c r="H8" i="2" s="1"/>
  <c r="B9" i="2" s="1"/>
  <c r="J8" i="2"/>
  <c r="F8" i="2"/>
  <c r="G13" i="1"/>
  <c r="C14" i="1" s="1"/>
  <c r="B15" i="1"/>
  <c r="B14" i="1"/>
  <c r="F13" i="1"/>
  <c r="E13" i="1"/>
  <c r="D7" i="1"/>
  <c r="D6" i="1"/>
  <c r="C7" i="1" s="1"/>
  <c r="B7" i="1"/>
  <c r="B8" i="1" s="1"/>
  <c r="H6" i="1"/>
  <c r="D13" i="1"/>
  <c r="C13" i="1"/>
  <c r="B13" i="1"/>
  <c r="C6" i="1"/>
  <c r="B6" i="1"/>
  <c r="C9" i="2" l="1"/>
  <c r="E9" i="2" s="1"/>
  <c r="I9" i="2" s="1"/>
  <c r="F9" i="2"/>
  <c r="D14" i="1"/>
  <c r="E14" i="1" s="1"/>
  <c r="F14" i="1" s="1"/>
  <c r="G14" i="1" s="1"/>
  <c r="C8" i="1"/>
  <c r="D8" i="1" s="1"/>
  <c r="J9" i="2" l="1"/>
  <c r="B11" i="2"/>
  <c r="D9" i="2"/>
  <c r="H9" i="2" s="1"/>
  <c r="G9" i="2"/>
  <c r="C15" i="1"/>
  <c r="D15" i="1" s="1"/>
  <c r="E15" i="1" s="1"/>
  <c r="F15" i="1" s="1"/>
  <c r="G15" i="1" s="1"/>
</calcChain>
</file>

<file path=xl/sharedStrings.xml><?xml version="1.0" encoding="utf-8"?>
<sst xmlns="http://schemas.openxmlformats.org/spreadsheetml/2006/main" count="249" uniqueCount="99">
  <si>
    <t>EXAME 2009 RECURSO</t>
  </si>
  <si>
    <t>Euler</t>
  </si>
  <si>
    <t>Iteração</t>
  </si>
  <si>
    <t>y</t>
  </si>
  <si>
    <t>t</t>
  </si>
  <si>
    <t>h</t>
  </si>
  <si>
    <t>Runge-Kutta</t>
  </si>
  <si>
    <t>Função Y</t>
  </si>
  <si>
    <t>Y1</t>
  </si>
  <si>
    <t>Y2</t>
  </si>
  <si>
    <t>Y3</t>
  </si>
  <si>
    <t>Y4</t>
  </si>
  <si>
    <t>Gradiente</t>
  </si>
  <si>
    <t>Xn</t>
  </si>
  <si>
    <t>W(Xn)</t>
  </si>
  <si>
    <t>Grad(Xn)</t>
  </si>
  <si>
    <t>λ</t>
  </si>
  <si>
    <t>X</t>
  </si>
  <si>
    <t>Y</t>
  </si>
  <si>
    <t>Simpson</t>
  </si>
  <si>
    <t>Integral</t>
  </si>
  <si>
    <t>QC</t>
  </si>
  <si>
    <t>ERRO</t>
  </si>
  <si>
    <t>Erro Relativo</t>
  </si>
  <si>
    <t>EXAME 2009</t>
  </si>
  <si>
    <t>Secção Áurea</t>
  </si>
  <si>
    <t>x1</t>
  </si>
  <si>
    <t>x2</t>
  </si>
  <si>
    <t>x3</t>
  </si>
  <si>
    <t>x4</t>
  </si>
  <si>
    <t>f(x1)</t>
  </si>
  <si>
    <t>f(x2)</t>
  </si>
  <si>
    <t>f(x3)</t>
  </si>
  <si>
    <t>f(x4)</t>
  </si>
  <si>
    <t>Tolerância</t>
  </si>
  <si>
    <t>A</t>
  </si>
  <si>
    <t>B</t>
  </si>
  <si>
    <t>Amplitute</t>
  </si>
  <si>
    <t>x</t>
  </si>
  <si>
    <t>I</t>
  </si>
  <si>
    <t>I'</t>
  </si>
  <si>
    <t>I''</t>
  </si>
  <si>
    <t>Erro</t>
  </si>
  <si>
    <t>Trapézios</t>
  </si>
  <si>
    <t>EXAME 2010</t>
  </si>
  <si>
    <t>quanto mais diminuir Z(Xn) -&gt; melhor é o passo</t>
  </si>
  <si>
    <t>Z(Xn)</t>
  </si>
  <si>
    <t>EXAME 2013</t>
  </si>
  <si>
    <t>z | y'</t>
  </si>
  <si>
    <t>z'</t>
  </si>
  <si>
    <t>dy1</t>
  </si>
  <si>
    <t>dy2</t>
  </si>
  <si>
    <t>dy3</t>
  </si>
  <si>
    <t>dy4</t>
  </si>
  <si>
    <t>dz1</t>
  </si>
  <si>
    <t>dz2</t>
  </si>
  <si>
    <t>dz3</t>
  </si>
  <si>
    <t>dz4</t>
  </si>
  <si>
    <t>dz/ dt</t>
  </si>
  <si>
    <t>=</t>
  </si>
  <si>
    <t>0,5 + t^2 + t*z</t>
  </si>
  <si>
    <t>dy/dt</t>
  </si>
  <si>
    <t>z</t>
  </si>
  <si>
    <t>f(t,y)</t>
  </si>
  <si>
    <t>f(t,z)</t>
  </si>
  <si>
    <t>f(x)</t>
  </si>
  <si>
    <t>S</t>
  </si>
  <si>
    <t>h'</t>
  </si>
  <si>
    <t>S'</t>
  </si>
  <si>
    <t>h''</t>
  </si>
  <si>
    <t>S''</t>
  </si>
  <si>
    <t>EXAME 2014</t>
  </si>
  <si>
    <t>Amplitude</t>
  </si>
  <si>
    <t>EXAME 2015</t>
  </si>
  <si>
    <t>T</t>
  </si>
  <si>
    <t>Bisseção</t>
  </si>
  <si>
    <t>a</t>
  </si>
  <si>
    <t>b</t>
  </si>
  <si>
    <t>f(a)</t>
  </si>
  <si>
    <t>f(b)</t>
  </si>
  <si>
    <t>m</t>
  </si>
  <si>
    <t>f(m)</t>
  </si>
  <si>
    <t>EXAME 2016/2017</t>
  </si>
  <si>
    <t>Método da Corda</t>
  </si>
  <si>
    <t>Xe</t>
  </si>
  <si>
    <t>Xd</t>
  </si>
  <si>
    <t>f(Xe)</t>
  </si>
  <si>
    <t>f(Xd)</t>
  </si>
  <si>
    <t>f(Xn)</t>
  </si>
  <si>
    <t>Dy2</t>
  </si>
  <si>
    <t>Dy3</t>
  </si>
  <si>
    <t>Dy4</t>
  </si>
  <si>
    <t>Dy1</t>
  </si>
  <si>
    <t>Dz1</t>
  </si>
  <si>
    <t>Dz2</t>
  </si>
  <si>
    <t>Dz3</t>
  </si>
  <si>
    <t>Dz4</t>
  </si>
  <si>
    <t>L</t>
  </si>
  <si>
    <t>SQRT(2,25 * EXP(3*x)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</si>
</sst>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00"/>
    <numFmt numFmtId="166" formatCode="0.00000E+00"/>
    <numFmt numFmtId="167" formatCode="0.0000000000"/>
    <numFmt numFmtId="168" formatCode="0.000000"/>
    <numFmt numFmtId="169" formatCode="#,##0.00000\ _€"/>
    <numFmt numFmtId="170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164" fontId="0" fillId="0" borderId="0" xfId="0" applyNumberFormat="1"/>
    <xf numFmtId="164" fontId="0" fillId="3" borderId="0" xfId="0" applyNumberFormat="1" applyFill="1"/>
    <xf numFmtId="0" fontId="1" fillId="2" borderId="0" xfId="0" applyFont="1" applyFill="1" applyAlignment="1">
      <alignment horizontal="center" vertical="center"/>
    </xf>
    <xf numFmtId="165" fontId="0" fillId="0" borderId="0" xfId="0" applyNumberFormat="1"/>
    <xf numFmtId="165" fontId="0" fillId="3" borderId="0" xfId="0" applyNumberFormat="1" applyFill="1"/>
    <xf numFmtId="165" fontId="4" fillId="3" borderId="0" xfId="0" applyNumberFormat="1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165" fontId="0" fillId="0" borderId="0" xfId="0" applyNumberFormat="1" applyFill="1"/>
    <xf numFmtId="0" fontId="1" fillId="2" borderId="0" xfId="0" applyFont="1" applyFill="1" applyAlignment="1">
      <alignment horizontal="left"/>
    </xf>
    <xf numFmtId="166" fontId="0" fillId="3" borderId="0" xfId="0" applyNumberFormat="1" applyFill="1"/>
    <xf numFmtId="0" fontId="0" fillId="0" borderId="0" xfId="0" applyFill="1"/>
    <xf numFmtId="0" fontId="1" fillId="0" borderId="0" xfId="0" applyFont="1" applyFill="1" applyAlignment="1"/>
    <xf numFmtId="167" fontId="0" fillId="3" borderId="0" xfId="0" applyNumberFormat="1" applyFill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168" fontId="0" fillId="0" borderId="0" xfId="0" applyNumberFormat="1"/>
    <xf numFmtId="168" fontId="0" fillId="5" borderId="0" xfId="0" applyNumberFormat="1" applyFill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0" fillId="5" borderId="0" xfId="0" applyNumberForma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69" fontId="0" fillId="0" borderId="0" xfId="0" applyNumberFormat="1"/>
    <xf numFmtId="170" fontId="0" fillId="5" borderId="0" xfId="0" applyNumberFormat="1" applyFill="1"/>
    <xf numFmtId="16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C26" sqref="C26"/>
    </sheetView>
  </sheetViews>
  <sheetFormatPr defaultRowHeight="14.4" x14ac:dyDescent="0.3"/>
  <cols>
    <col min="12" max="12" width="12" bestFit="1" customWidth="1"/>
  </cols>
  <sheetData>
    <row r="1" spans="1:24" x14ac:dyDescent="0.3">
      <c r="A1" s="25" t="s">
        <v>0</v>
      </c>
      <c r="B1" s="27"/>
      <c r="C1" s="27"/>
    </row>
    <row r="2" spans="1:24" x14ac:dyDescent="0.3">
      <c r="A2" s="2">
        <v>1</v>
      </c>
      <c r="K2" s="2">
        <v>7</v>
      </c>
      <c r="O2" s="4" t="s">
        <v>17</v>
      </c>
      <c r="P2" s="5">
        <f>2.5</f>
        <v>2.5</v>
      </c>
      <c r="Q2" s="5">
        <f>2.625</f>
        <v>2.625</v>
      </c>
      <c r="R2" s="5">
        <f>2.75</f>
        <v>2.75</v>
      </c>
      <c r="S2" s="5">
        <f>2.875</f>
        <v>2.875</v>
      </c>
      <c r="T2" s="5">
        <f>3</f>
        <v>3</v>
      </c>
    </row>
    <row r="3" spans="1:24" x14ac:dyDescent="0.3">
      <c r="O3" s="4" t="s">
        <v>18</v>
      </c>
      <c r="P3" s="5">
        <f xml:space="preserve"> 42.52108</f>
        <v>42.521079999999998</v>
      </c>
      <c r="Q3" s="5">
        <f xml:space="preserve"> 51.29021</f>
        <v>51.290210000000002</v>
      </c>
      <c r="R3" s="5">
        <f>61.86781</f>
        <v>61.867809999999999</v>
      </c>
      <c r="S3" s="5">
        <f>74.62682</f>
        <v>74.626819999999995</v>
      </c>
      <c r="T3" s="5">
        <f>90.017131</f>
        <v>90.017131000000006</v>
      </c>
    </row>
    <row r="4" spans="1:24" x14ac:dyDescent="0.3">
      <c r="A4" s="3" t="s">
        <v>1</v>
      </c>
      <c r="K4" s="4" t="s">
        <v>19</v>
      </c>
    </row>
    <row r="5" spans="1:24" x14ac:dyDescent="0.3">
      <c r="A5" s="4" t="s">
        <v>2</v>
      </c>
      <c r="B5" s="4" t="s">
        <v>4</v>
      </c>
      <c r="C5" s="4" t="s">
        <v>3</v>
      </c>
      <c r="D5" s="4" t="s">
        <v>7</v>
      </c>
      <c r="H5" s="4" t="s">
        <v>5</v>
      </c>
      <c r="K5" s="4" t="s">
        <v>2</v>
      </c>
      <c r="L5" s="4" t="s">
        <v>5</v>
      </c>
      <c r="M5" s="4" t="s">
        <v>20</v>
      </c>
      <c r="O5" s="4" t="s">
        <v>17</v>
      </c>
      <c r="P5" s="5">
        <f>2.5</f>
        <v>2.5</v>
      </c>
      <c r="Q5" s="5">
        <f xml:space="preserve"> 2.5625</f>
        <v>2.5625</v>
      </c>
      <c r="R5" s="5">
        <f>2.625</f>
        <v>2.625</v>
      </c>
      <c r="S5" s="5">
        <f xml:space="preserve"> 2.6875</f>
        <v>2.6875</v>
      </c>
      <c r="T5" s="5">
        <f>2.75</f>
        <v>2.75</v>
      </c>
      <c r="U5" s="5">
        <f>2.8125</f>
        <v>2.8125</v>
      </c>
      <c r="V5" s="5">
        <f>2.875</f>
        <v>2.875</v>
      </c>
      <c r="W5" s="5">
        <f xml:space="preserve"> 2.9375</f>
        <v>2.9375</v>
      </c>
      <c r="X5" s="5">
        <f>3</f>
        <v>3</v>
      </c>
    </row>
    <row r="6" spans="1:24" x14ac:dyDescent="0.3">
      <c r="A6">
        <v>0</v>
      </c>
      <c r="B6" s="6">
        <f>2</f>
        <v>2</v>
      </c>
      <c r="C6" s="6">
        <f>2</f>
        <v>2</v>
      </c>
      <c r="D6" s="5">
        <f xml:space="preserve"> C6 / (B6 - 1)</f>
        <v>2</v>
      </c>
      <c r="E6" s="5"/>
      <c r="F6" s="5"/>
      <c r="G6" s="5"/>
      <c r="H6" s="5">
        <f>0.25</f>
        <v>0.25</v>
      </c>
      <c r="K6">
        <v>0</v>
      </c>
      <c r="L6" s="5">
        <v>0.125</v>
      </c>
      <c r="M6" s="5">
        <f xml:space="preserve"> L6 / 3 * (P3 + 4*Q3 + 2* R3 + 4 *S3 + T3)</f>
        <v>31.664247958333334</v>
      </c>
      <c r="O6" s="4" t="s">
        <v>18</v>
      </c>
      <c r="P6" s="5">
        <f xml:space="preserve"> 42.52108</f>
        <v>42.521079999999998</v>
      </c>
      <c r="Q6" s="5">
        <f>46.7002725</f>
        <v>46.700272499999997</v>
      </c>
      <c r="R6" s="5">
        <f xml:space="preserve"> 51.29021</f>
        <v>51.290210000000002</v>
      </c>
      <c r="S6" s="5">
        <f xml:space="preserve"> 56.331281</f>
        <v>56.331280999999997</v>
      </c>
      <c r="T6" s="5">
        <f>61.86781</f>
        <v>61.867809999999999</v>
      </c>
      <c r="U6" s="5">
        <f>67.9484955</f>
        <v>67.948495500000007</v>
      </c>
      <c r="V6" s="5">
        <f>74.62682</f>
        <v>74.626819999999995</v>
      </c>
      <c r="W6" s="5">
        <v>81.961530749999994</v>
      </c>
      <c r="X6" s="5">
        <f>90.017131</f>
        <v>90.017131000000006</v>
      </c>
    </row>
    <row r="7" spans="1:24" x14ac:dyDescent="0.3">
      <c r="A7">
        <v>1</v>
      </c>
      <c r="B7" s="6">
        <f xml:space="preserve"> B6 + $H$6</f>
        <v>2.25</v>
      </c>
      <c r="C7" s="6">
        <f xml:space="preserve"> C6 + $H$6 * D6</f>
        <v>2.5</v>
      </c>
      <c r="D7" s="5">
        <f t="shared" ref="D7:D8" si="0" xml:space="preserve"> C7 / (B7 - 1)</f>
        <v>2</v>
      </c>
      <c r="E7" s="5"/>
      <c r="F7" s="5"/>
      <c r="G7" s="5"/>
      <c r="H7" s="5"/>
      <c r="K7">
        <v>1</v>
      </c>
      <c r="L7" s="5">
        <f xml:space="preserve"> L6 /2</f>
        <v>6.25E-2</v>
      </c>
      <c r="M7" s="5">
        <f xml:space="preserve"> L7 / 3 * (P6 + 4*Q6 + 2*R6 + 4*S6 + 2 *T6 + 4*U6 + 2*V6 + 4*W6 + X6)</f>
        <v>31.664046041666669</v>
      </c>
    </row>
    <row r="8" spans="1:24" x14ac:dyDescent="0.3">
      <c r="A8">
        <v>2</v>
      </c>
      <c r="B8" s="6">
        <f xml:space="preserve"> B7 + $H$6</f>
        <v>2.5</v>
      </c>
      <c r="C8" s="6">
        <f xml:space="preserve"> C7 + $H$6 * D7</f>
        <v>3</v>
      </c>
      <c r="D8" s="5">
        <f t="shared" si="0"/>
        <v>2</v>
      </c>
      <c r="E8" s="5"/>
      <c r="F8" s="5"/>
      <c r="G8" s="5"/>
      <c r="H8" s="5"/>
      <c r="K8">
        <v>2</v>
      </c>
      <c r="L8" s="5">
        <f xml:space="preserve"> L6/4</f>
        <v>3.125E-2</v>
      </c>
      <c r="M8" s="5">
        <f xml:space="preserve"> L8/3 * ( P9 + 4*Q9 + 2*R9+4*S9+2*T9+4*U9+2*V9+4*W9+2*X9+4*O12+2*P12+4*Q12+2*R12+4*S12+2*T12+4*U12+V12)</f>
        <v>31.665337695806429</v>
      </c>
      <c r="O8" s="4" t="s">
        <v>17</v>
      </c>
      <c r="P8" s="5">
        <f>2.5</f>
        <v>2.5</v>
      </c>
      <c r="Q8">
        <f>2.5312</f>
        <v>2.5312000000000001</v>
      </c>
      <c r="R8" s="5">
        <f xml:space="preserve"> 2.5625</f>
        <v>2.5625</v>
      </c>
      <c r="S8">
        <f>2.5938</f>
        <v>2.5937999999999999</v>
      </c>
      <c r="T8" s="5">
        <f>2.625</f>
        <v>2.625</v>
      </c>
      <c r="U8">
        <f xml:space="preserve"> 2.6563</f>
        <v>2.6562999999999999</v>
      </c>
      <c r="V8" s="5">
        <f xml:space="preserve"> 2.6875</f>
        <v>2.6875</v>
      </c>
      <c r="W8">
        <f>2.7188</f>
        <v>2.7187999999999999</v>
      </c>
      <c r="X8" s="5">
        <f>2.75</f>
        <v>2.75</v>
      </c>
    </row>
    <row r="9" spans="1:24" x14ac:dyDescent="0.3">
      <c r="O9" s="4" t="s">
        <v>18</v>
      </c>
      <c r="P9" s="5">
        <f xml:space="preserve"> 42.52108</f>
        <v>42.521079999999998</v>
      </c>
      <c r="Q9">
        <f xml:space="preserve"> 44.5583693290539</f>
        <v>44.558369329053903</v>
      </c>
      <c r="R9" s="5">
        <f>46.7002725</f>
        <v>46.700272499999997</v>
      </c>
      <c r="S9">
        <f xml:space="preserve"> 48.9451361302622</f>
        <v>48.945136130262199</v>
      </c>
      <c r="T9" s="5">
        <f xml:space="preserve"> 51.29021</f>
        <v>51.290210000000002</v>
      </c>
      <c r="U9">
        <f xml:space="preserve"> 53.7557157022107</f>
        <v>53.755715702210701</v>
      </c>
      <c r="V9" s="5">
        <f xml:space="preserve"> 56.331281</f>
        <v>56.331280999999997</v>
      </c>
      <c r="W9">
        <f xml:space="preserve"> 59.03910376235</f>
        <v>59.039103762350003</v>
      </c>
      <c r="X9" s="5">
        <f>61.86781</f>
        <v>61.867809999999999</v>
      </c>
    </row>
    <row r="11" spans="1:24" x14ac:dyDescent="0.3">
      <c r="A11" s="25" t="s">
        <v>6</v>
      </c>
      <c r="B11" s="25"/>
      <c r="K11" s="4" t="s">
        <v>21</v>
      </c>
      <c r="L11" s="5">
        <f xml:space="preserve"> (M7-M6)/(M8-M7)</f>
        <v>-0.1563240967140983</v>
      </c>
      <c r="O11">
        <f xml:space="preserve"> 2.7813</f>
        <v>2.7812999999999999</v>
      </c>
      <c r="P11" s="5">
        <f>2.8125</f>
        <v>2.8125</v>
      </c>
      <c r="Q11">
        <f xml:space="preserve"> 2.8438</f>
        <v>2.8437999999999999</v>
      </c>
      <c r="R11" s="5">
        <f>2.875</f>
        <v>2.875</v>
      </c>
      <c r="S11">
        <f xml:space="preserve"> 2.9063</f>
        <v>2.9062999999999999</v>
      </c>
      <c r="T11" s="5">
        <f xml:space="preserve"> 2.9375</f>
        <v>2.9375</v>
      </c>
      <c r="U11">
        <f xml:space="preserve"> 2.9688</f>
        <v>2.9687999999999999</v>
      </c>
      <c r="V11" s="5">
        <f>3</f>
        <v>3</v>
      </c>
    </row>
    <row r="12" spans="1:24" x14ac:dyDescent="0.3">
      <c r="A12" s="4" t="s">
        <v>2</v>
      </c>
      <c r="B12" s="4" t="s">
        <v>4</v>
      </c>
      <c r="C12" s="4" t="s">
        <v>3</v>
      </c>
      <c r="D12" s="4" t="s">
        <v>8</v>
      </c>
      <c r="E12" s="4" t="s">
        <v>9</v>
      </c>
      <c r="F12" s="4" t="s">
        <v>10</v>
      </c>
      <c r="G12" s="4" t="s">
        <v>11</v>
      </c>
      <c r="O12">
        <f xml:space="preserve"> 64.8417703592809</f>
        <v>64.8417703592809</v>
      </c>
      <c r="P12" s="5">
        <f>67.9484955</f>
        <v>67.948495500000007</v>
      </c>
      <c r="Q12">
        <f xml:space="preserve"> 71.2147528568507</f>
        <v>71.214752856850694</v>
      </c>
      <c r="R12" s="5">
        <f>74.62682</f>
        <v>74.626819999999995</v>
      </c>
      <c r="S12">
        <f xml:space="preserve"> 78.2141048333734</f>
        <v>78.214104833373398</v>
      </c>
      <c r="T12" s="5">
        <v>81.961530749999994</v>
      </c>
      <c r="U12">
        <f>85.9013891009725</f>
        <v>85.901389100972494</v>
      </c>
      <c r="V12" s="5">
        <f>90.017131</f>
        <v>90.017131000000006</v>
      </c>
    </row>
    <row r="13" spans="1:24" x14ac:dyDescent="0.3">
      <c r="A13">
        <v>0</v>
      </c>
      <c r="B13" s="6">
        <f>2</f>
        <v>2</v>
      </c>
      <c r="C13" s="6">
        <f>2</f>
        <v>2</v>
      </c>
      <c r="D13" s="6">
        <f xml:space="preserve"> $H$6 * ( C13 / (B13 - 1))</f>
        <v>0.5</v>
      </c>
      <c r="E13" s="6">
        <f xml:space="preserve"> $H$6 * ( (C13 + D13/2) / ( (B13+$H$6/2) - 1))</f>
        <v>0.5</v>
      </c>
      <c r="F13" s="6">
        <f xml:space="preserve"> $H$6 * ( (C13 + E13/2) / ( (B13+$H$6/2) - 1))</f>
        <v>0.5</v>
      </c>
      <c r="G13" s="6">
        <f xml:space="preserve"> $H$6 * ( (C13 + F13) / ( (B13+$H$6) - 1))</f>
        <v>0.5</v>
      </c>
      <c r="K13" s="4" t="s">
        <v>22</v>
      </c>
      <c r="L13" s="5">
        <f xml:space="preserve"> (M8 - M7) / 15</f>
        <v>8.6110275983960119E-5</v>
      </c>
    </row>
    <row r="14" spans="1:24" x14ac:dyDescent="0.3">
      <c r="A14">
        <v>1</v>
      </c>
      <c r="B14" s="6">
        <f xml:space="preserve"> B13 + $H$6</f>
        <v>2.25</v>
      </c>
      <c r="C14" s="6">
        <f xml:space="preserve"> C13 + D13/6 + E13/3 + F13/3 + G13/6</f>
        <v>2.5</v>
      </c>
      <c r="D14" s="6">
        <f t="shared" ref="D14:D15" si="1" xml:space="preserve"> $H$6 * ( C14 / (B14 - 1))</f>
        <v>0.5</v>
      </c>
      <c r="E14" s="6">
        <f t="shared" ref="E14:E15" si="2" xml:space="preserve"> $H$6 * ( (C14 + D14/2) / ( (B14+$H$6/2) - 1))</f>
        <v>0.5</v>
      </c>
      <c r="F14" s="6">
        <f t="shared" ref="F14:F15" si="3" xml:space="preserve"> $H$6 * ( (C14 + E14/2) / ( (B14+$H$6/2) - 1))</f>
        <v>0.5</v>
      </c>
      <c r="G14" s="6">
        <f t="shared" ref="G14:G15" si="4" xml:space="preserve"> $H$6 * ( (C14 + F14) / ( (B14+$H$6) - 1))</f>
        <v>0.5</v>
      </c>
      <c r="H14" s="5"/>
    </row>
    <row r="15" spans="1:24" x14ac:dyDescent="0.3">
      <c r="A15">
        <v>2</v>
      </c>
      <c r="B15" s="6">
        <f xml:space="preserve"> B14 + $H$6</f>
        <v>2.5</v>
      </c>
      <c r="C15" s="6">
        <f xml:space="preserve"> C14 + D14/6 + E14/3 + F14/3 + G14/6</f>
        <v>3</v>
      </c>
      <c r="D15" s="6">
        <f t="shared" si="1"/>
        <v>0.5</v>
      </c>
      <c r="E15" s="6">
        <f t="shared" si="2"/>
        <v>0.5</v>
      </c>
      <c r="F15" s="6">
        <f t="shared" si="3"/>
        <v>0.5</v>
      </c>
      <c r="G15" s="6">
        <f t="shared" si="4"/>
        <v>0.5</v>
      </c>
      <c r="H15" s="5"/>
      <c r="K15" s="4" t="s">
        <v>20</v>
      </c>
      <c r="L15" s="5">
        <f xml:space="preserve"> 31.6640328669727</f>
        <v>31.6640328669727</v>
      </c>
    </row>
    <row r="17" spans="1:12" x14ac:dyDescent="0.3">
      <c r="K17" s="25" t="s">
        <v>23</v>
      </c>
      <c r="L17" s="25"/>
    </row>
    <row r="18" spans="1:12" x14ac:dyDescent="0.3">
      <c r="K18" s="26">
        <f xml:space="preserve"> M6 / L15</f>
        <v>1.0000067929237422</v>
      </c>
      <c r="L18" s="26"/>
    </row>
    <row r="19" spans="1:12" x14ac:dyDescent="0.3">
      <c r="A19" s="2">
        <v>3</v>
      </c>
    </row>
    <row r="21" spans="1:12" x14ac:dyDescent="0.3">
      <c r="A21" s="4" t="s">
        <v>12</v>
      </c>
    </row>
    <row r="22" spans="1:12" x14ac:dyDescent="0.3">
      <c r="A22" s="4" t="s">
        <v>2</v>
      </c>
      <c r="B22" s="25" t="s">
        <v>13</v>
      </c>
      <c r="C22" s="25"/>
      <c r="D22" s="4" t="s">
        <v>14</v>
      </c>
      <c r="E22" s="4" t="s">
        <v>15</v>
      </c>
      <c r="F22" s="4" t="s">
        <v>16</v>
      </c>
    </row>
    <row r="23" spans="1:12" x14ac:dyDescent="0.3">
      <c r="A23">
        <v>0</v>
      </c>
      <c r="B23" s="7" t="s">
        <v>17</v>
      </c>
      <c r="C23" s="5">
        <f>2.4</f>
        <v>2.4</v>
      </c>
      <c r="D23" s="23">
        <f xml:space="preserve"> -1.7 * C23 * C24 + 12 * C24 + 7 * C23^2 - 8 * C23</f>
        <v>55.176000000000002</v>
      </c>
      <c r="E23" s="5">
        <f xml:space="preserve"> -1.7 * C24 + 14 * C23 - 8</f>
        <v>18.290000000000003</v>
      </c>
      <c r="F23" s="5">
        <f>0.1</f>
        <v>0.1</v>
      </c>
    </row>
    <row r="24" spans="1:12" x14ac:dyDescent="0.3">
      <c r="B24" s="7" t="s">
        <v>18</v>
      </c>
      <c r="C24" s="5">
        <f>4.3</f>
        <v>4.3</v>
      </c>
      <c r="D24" s="23"/>
      <c r="E24" s="5">
        <f xml:space="preserve"> 12-1.7*C23</f>
        <v>7.92</v>
      </c>
      <c r="F24" s="5"/>
    </row>
    <row r="25" spans="1:12" x14ac:dyDescent="0.3">
      <c r="A25">
        <v>1</v>
      </c>
      <c r="B25" s="7" t="s">
        <v>17</v>
      </c>
      <c r="C25" s="5">
        <f xml:space="preserve"> C23 - $F$23 * E23</f>
        <v>0.57099999999999951</v>
      </c>
      <c r="D25" s="24">
        <f xml:space="preserve"> -1.7 * C25 * C26 + 12 * C26 + 7 * C25^2 - 8 * C25</f>
        <v>36.405071400000004</v>
      </c>
      <c r="E25" s="5">
        <f xml:space="preserve"> -1.7 * C26 + 14 * C25 - 8</f>
        <v>-5.9696000000000069</v>
      </c>
      <c r="F25" s="5"/>
    </row>
    <row r="26" spans="1:12" x14ac:dyDescent="0.3">
      <c r="B26" s="7" t="s">
        <v>18</v>
      </c>
      <c r="C26" s="5">
        <f xml:space="preserve"> C24 - $F$23 * E24</f>
        <v>3.508</v>
      </c>
      <c r="D26" s="24"/>
      <c r="E26" s="5">
        <f xml:space="preserve"> 12-1.7*C25</f>
        <v>11.029300000000001</v>
      </c>
      <c r="F26" s="5"/>
    </row>
  </sheetData>
  <mergeCells count="7">
    <mergeCell ref="D23:D24"/>
    <mergeCell ref="D25:D26"/>
    <mergeCell ref="K17:L17"/>
    <mergeCell ref="K18:L18"/>
    <mergeCell ref="A1:C1"/>
    <mergeCell ref="A11:B11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8" workbookViewId="0">
      <selection activeCell="B8" sqref="B8"/>
    </sheetView>
  </sheetViews>
  <sheetFormatPr defaultRowHeight="14.4" x14ac:dyDescent="0.3"/>
  <cols>
    <col min="10" max="10" width="12.44140625" customWidth="1"/>
  </cols>
  <sheetData>
    <row r="1" spans="1:14" x14ac:dyDescent="0.3">
      <c r="A1" s="25" t="s">
        <v>24</v>
      </c>
      <c r="B1" s="27"/>
      <c r="C1" s="27"/>
    </row>
    <row r="2" spans="1:14" x14ac:dyDescent="0.3">
      <c r="A2" s="2">
        <v>4</v>
      </c>
    </row>
    <row r="4" spans="1:14" x14ac:dyDescent="0.3">
      <c r="A4" s="25" t="s">
        <v>25</v>
      </c>
      <c r="B4" s="25"/>
    </row>
    <row r="5" spans="1:14" x14ac:dyDescent="0.3">
      <c r="A5" s="4" t="s">
        <v>2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1" t="s">
        <v>34</v>
      </c>
      <c r="M5" s="4" t="s">
        <v>35</v>
      </c>
      <c r="N5" s="4" t="s">
        <v>36</v>
      </c>
    </row>
    <row r="6" spans="1:14" x14ac:dyDescent="0.3">
      <c r="A6">
        <v>0</v>
      </c>
      <c r="B6" s="8">
        <f>2</f>
        <v>2</v>
      </c>
      <c r="C6" s="8">
        <f>4</f>
        <v>4</v>
      </c>
      <c r="D6" s="8">
        <f xml:space="preserve"> B6+$M$6*(C6-B6)</f>
        <v>2.7639320225002102</v>
      </c>
      <c r="E6" s="8">
        <f>B6 +$N$6 * (C6-B6)</f>
        <v>3.2360679774997898</v>
      </c>
      <c r="F6" s="8">
        <f xml:space="preserve"> 5 * COS(B6) - SIN(B6)</f>
        <v>-2.9900316095613935</v>
      </c>
      <c r="G6" s="8">
        <f xml:space="preserve"> 5 * COS(C6) - SIN(C6)</f>
        <v>-2.5114156090101316</v>
      </c>
      <c r="H6" s="8">
        <f xml:space="preserve"> 5 * COS(D6) - SIN(D6)</f>
        <v>-5.0163960346288308</v>
      </c>
      <c r="I6" s="8">
        <f xml:space="preserve"> 5 * COS(E6) - SIN(E6)</f>
        <v>-4.8833677797643915</v>
      </c>
      <c r="J6" t="b">
        <f>IF(ABS(C6-B6) &lt;= 0.001, TRUE, FALSE)</f>
        <v>0</v>
      </c>
      <c r="M6">
        <f xml:space="preserve"> N6^2</f>
        <v>0.38196601125010521</v>
      </c>
      <c r="N6">
        <f xml:space="preserve"> (SQRT(5)-1)/2</f>
        <v>0.6180339887498949</v>
      </c>
    </row>
    <row r="7" spans="1:14" x14ac:dyDescent="0.3">
      <c r="A7">
        <v>1</v>
      </c>
      <c r="B7" s="9">
        <f>IF(H6&lt;I6,B6,D6)</f>
        <v>2</v>
      </c>
      <c r="C7" s="9">
        <f>IF(H6&lt;I6,E6,C6)</f>
        <v>3.2360679774997898</v>
      </c>
      <c r="D7" s="9">
        <f t="shared" ref="D7:D9" si="0" xml:space="preserve"> B7+$M$6*(C7-B7)</f>
        <v>2.4721359549995796</v>
      </c>
      <c r="E7" s="9">
        <f t="shared" ref="E7:E9" si="1">B7 +$N$6 * (C7-B7)</f>
        <v>2.7639320225002102</v>
      </c>
      <c r="F7" s="9">
        <f t="shared" ref="F7:F9" si="2" xml:space="preserve"> 5 * COS(B7) - SIN(B7)</f>
        <v>-2.9900316095613935</v>
      </c>
      <c r="G7" s="9">
        <f t="shared" ref="G7:G9" si="3" xml:space="preserve"> 5 * COS(C7) - SIN(C7)</f>
        <v>-4.8833677797643915</v>
      </c>
      <c r="H7" s="9">
        <f t="shared" ref="H7:H9" si="4" xml:space="preserve"> 5 * COS(D7) - SIN(D7)</f>
        <v>-4.5413547077093641</v>
      </c>
      <c r="I7" s="9">
        <f t="shared" ref="I7:I9" si="5" xml:space="preserve"> 5 * COS(E7) - SIN(E7)</f>
        <v>-5.0163960346288308</v>
      </c>
      <c r="J7" t="b">
        <f t="shared" ref="J7:J9" si="6">IF(ABS(C7-B7) &lt;= 0.001, TRUE, FALSE)</f>
        <v>0</v>
      </c>
    </row>
    <row r="8" spans="1:14" x14ac:dyDescent="0.3">
      <c r="A8">
        <v>2</v>
      </c>
      <c r="B8" s="9">
        <f>IF(H7&lt;I7,B7,D7)</f>
        <v>2.4721359549995796</v>
      </c>
      <c r="C8" s="9">
        <f>IF(H7&lt;I7,E7,C7)</f>
        <v>3.2360679774997898</v>
      </c>
      <c r="D8" s="9">
        <f t="shared" si="0"/>
        <v>2.7639320225002106</v>
      </c>
      <c r="E8" s="9">
        <f t="shared" si="1"/>
        <v>2.9442719099991592</v>
      </c>
      <c r="F8" s="9">
        <f t="shared" si="2"/>
        <v>-4.5413547077093641</v>
      </c>
      <c r="G8" s="9">
        <f t="shared" si="3"/>
        <v>-4.8833677797643915</v>
      </c>
      <c r="H8" s="9">
        <f t="shared" si="4"/>
        <v>-5.0163960346288317</v>
      </c>
      <c r="I8" s="9">
        <f t="shared" si="5"/>
        <v>-5.0990194993219742</v>
      </c>
      <c r="J8" t="b">
        <f t="shared" si="6"/>
        <v>0</v>
      </c>
    </row>
    <row r="9" spans="1:14" x14ac:dyDescent="0.3">
      <c r="A9">
        <v>3</v>
      </c>
      <c r="B9" s="8">
        <f>IF(H8&lt;I8,B8,D8)</f>
        <v>2.7639320225002106</v>
      </c>
      <c r="C9" s="8">
        <f>IF(H8&lt;I8,E8,C8)</f>
        <v>3.2360679774997898</v>
      </c>
      <c r="D9" s="8">
        <f t="shared" si="0"/>
        <v>2.9442719099991592</v>
      </c>
      <c r="E9" s="8">
        <f t="shared" si="1"/>
        <v>3.0557280900008417</v>
      </c>
      <c r="F9" s="8">
        <f t="shared" si="2"/>
        <v>-5.0163960346288317</v>
      </c>
      <c r="G9" s="8">
        <f t="shared" si="3"/>
        <v>-4.8833677797643915</v>
      </c>
      <c r="H9" s="8">
        <f t="shared" si="4"/>
        <v>-5.0990194993219742</v>
      </c>
      <c r="I9" s="8">
        <f t="shared" si="5"/>
        <v>-5.0673386066004689</v>
      </c>
      <c r="J9" t="b">
        <f t="shared" si="6"/>
        <v>0</v>
      </c>
    </row>
    <row r="11" spans="1:14" x14ac:dyDescent="0.3">
      <c r="A11" s="4" t="s">
        <v>37</v>
      </c>
      <c r="B11" s="9">
        <f xml:space="preserve"> (C9-B9)</f>
        <v>0.47213595499957917</v>
      </c>
    </row>
    <row r="15" spans="1:14" x14ac:dyDescent="0.3">
      <c r="A15" s="2">
        <v>5</v>
      </c>
    </row>
    <row r="17" spans="1:11" x14ac:dyDescent="0.3">
      <c r="A17" s="25" t="s">
        <v>6</v>
      </c>
      <c r="B17" s="25"/>
    </row>
    <row r="18" spans="1:11" x14ac:dyDescent="0.3">
      <c r="A18" s="4" t="s">
        <v>2</v>
      </c>
      <c r="B18" s="4" t="s">
        <v>4</v>
      </c>
      <c r="C18" s="4" t="s">
        <v>38</v>
      </c>
      <c r="D18" s="4" t="s">
        <v>26</v>
      </c>
      <c r="E18" s="4" t="s">
        <v>27</v>
      </c>
      <c r="F18" s="4" t="s">
        <v>28</v>
      </c>
      <c r="G18" s="4" t="s">
        <v>29</v>
      </c>
      <c r="I18" s="4" t="s">
        <v>5</v>
      </c>
      <c r="K18" s="4" t="s">
        <v>21</v>
      </c>
    </row>
    <row r="19" spans="1:11" x14ac:dyDescent="0.3">
      <c r="A19">
        <v>0</v>
      </c>
      <c r="B19" s="8">
        <f>1</f>
        <v>1</v>
      </c>
      <c r="C19" s="8">
        <f>1</f>
        <v>1</v>
      </c>
      <c r="D19" s="8">
        <f xml:space="preserve"> $I$19 * (SIN(C19) + SIN(2*B19))</f>
        <v>0.21884605145419728</v>
      </c>
      <c r="E19" s="8">
        <f xml:space="preserve"> $I$19 * ( SIN(C19+D19/2) + SIN(2* (B19 +$I$19/2)))</f>
        <v>0.2182202210210864</v>
      </c>
      <c r="F19" s="8">
        <f xml:space="preserve"> $I$19 * ( SIN(C19+E19/2) + SIN(2* (B19 +$I$19/2)))</f>
        <v>0.21820280266090758</v>
      </c>
      <c r="G19" s="8">
        <f xml:space="preserve"> $I$19 * ( SIN(C19+F19) + SIN(2* (B19 +$I$19)))</f>
        <v>0.21456917971398828</v>
      </c>
      <c r="I19" s="8">
        <f>0.125</f>
        <v>0.125</v>
      </c>
      <c r="K19" s="9">
        <f xml:space="preserve"> (1.76815 - 1.767816) / (1.768184 - 1.76815)</f>
        <v>9.8235294118046586</v>
      </c>
    </row>
    <row r="20" spans="1:11" x14ac:dyDescent="0.3">
      <c r="A20">
        <v>1</v>
      </c>
      <c r="B20" s="9">
        <f>B19+$I$19</f>
        <v>1.125</v>
      </c>
      <c r="C20" s="9">
        <f>C19 + D19/6 + E19/3 + F19/3 + G19/6</f>
        <v>1.2177102130886954</v>
      </c>
      <c r="D20" s="8">
        <f t="shared" ref="D20:D23" si="7" xml:space="preserve"> $I$19 * (SIN(C20) + SIN(2*B20))</f>
        <v>0.21454790205705065</v>
      </c>
      <c r="E20" s="8">
        <f t="shared" ref="E20:E23" si="8" xml:space="preserve"> $I$19 * ( SIN(C20+D20/2) + SIN(2* (B20 +$I$19/2)))</f>
        <v>0.20795313022475992</v>
      </c>
      <c r="F20" s="8">
        <f t="shared" ref="F20:F23" si="9" xml:space="preserve"> $I$19 * ( SIN(C20+E20/2) + SIN(2* (B20 +$I$19/2)))</f>
        <v>0.2078521713388895</v>
      </c>
      <c r="G20" s="8">
        <f t="shared" ref="G20:G23" si="10" xml:space="preserve"> $I$19 * ( SIN(C20+F20) + SIN(2* (B20 +$I$19)))</f>
        <v>0.19849302749978059</v>
      </c>
    </row>
    <row r="21" spans="1:11" x14ac:dyDescent="0.3">
      <c r="A21">
        <v>2</v>
      </c>
      <c r="B21" s="8">
        <f t="shared" ref="B21:B23" si="11">B20+$I$19</f>
        <v>1.25</v>
      </c>
      <c r="C21" s="8">
        <f t="shared" ref="C21:C23" si="12">C20 + D20/6 + E20/3 + F20/3 + G20/6</f>
        <v>1.425152135202717</v>
      </c>
      <c r="D21" s="8">
        <f t="shared" si="7"/>
        <v>0.19848559548255923</v>
      </c>
      <c r="E21" s="8">
        <f t="shared" si="8"/>
        <v>0.18660549338483085</v>
      </c>
      <c r="F21" s="8">
        <f t="shared" si="9"/>
        <v>0.18656884973573812</v>
      </c>
      <c r="G21" s="8">
        <f t="shared" si="10"/>
        <v>0.17260296188758853</v>
      </c>
    </row>
    <row r="22" spans="1:11" x14ac:dyDescent="0.3">
      <c r="A22">
        <v>3</v>
      </c>
      <c r="B22" s="10">
        <f t="shared" si="11"/>
        <v>1.375</v>
      </c>
      <c r="C22" s="9">
        <f t="shared" si="12"/>
        <v>1.6113916758045979</v>
      </c>
      <c r="D22" s="8">
        <f t="shared" si="7"/>
        <v>0.17260463925321878</v>
      </c>
      <c r="E22" s="8">
        <f t="shared" si="8"/>
        <v>0.15692566035994307</v>
      </c>
      <c r="F22" s="8">
        <f t="shared" si="9"/>
        <v>0.15704586704062148</v>
      </c>
      <c r="G22" s="8">
        <f t="shared" si="10"/>
        <v>0.14020655962739162</v>
      </c>
    </row>
    <row r="23" spans="1:11" x14ac:dyDescent="0.3">
      <c r="A23">
        <v>4</v>
      </c>
      <c r="B23" s="8">
        <f t="shared" si="11"/>
        <v>1.5</v>
      </c>
      <c r="C23" s="8">
        <f t="shared" si="12"/>
        <v>1.768184051418221</v>
      </c>
      <c r="D23" s="8">
        <f t="shared" si="7"/>
        <v>0.14021277754187977</v>
      </c>
      <c r="E23" s="8">
        <f t="shared" si="8"/>
        <v>0.12262852008096502</v>
      </c>
      <c r="F23" s="8">
        <f t="shared" si="9"/>
        <v>0.1229143438326471</v>
      </c>
      <c r="G23" s="8">
        <f t="shared" si="10"/>
        <v>0.10511815245148154</v>
      </c>
    </row>
    <row r="27" spans="1:11" x14ac:dyDescent="0.3">
      <c r="A27" s="2">
        <v>6</v>
      </c>
    </row>
    <row r="29" spans="1:11" x14ac:dyDescent="0.3">
      <c r="A29" s="4" t="s">
        <v>43</v>
      </c>
    </row>
    <row r="30" spans="1:11" x14ac:dyDescent="0.3">
      <c r="A30" s="4" t="s">
        <v>39</v>
      </c>
      <c r="B30" s="8">
        <f>5.18</f>
        <v>5.18</v>
      </c>
      <c r="D30" s="4" t="s">
        <v>21</v>
      </c>
      <c r="F30" s="4" t="s">
        <v>42</v>
      </c>
    </row>
    <row r="31" spans="1:11" x14ac:dyDescent="0.3">
      <c r="A31" s="4" t="s">
        <v>40</v>
      </c>
      <c r="B31" s="8">
        <f>5.27</f>
        <v>5.27</v>
      </c>
      <c r="D31" s="8">
        <f xml:space="preserve"> (B31-B30)/(B32-B31)</f>
        <v>-2.5714285714286222</v>
      </c>
      <c r="F31" s="8">
        <f xml:space="preserve"> (B32-B31)/3</f>
        <v>-1.1666666666666417E-2</v>
      </c>
    </row>
    <row r="32" spans="1:11" x14ac:dyDescent="0.3">
      <c r="A32" s="4" t="s">
        <v>41</v>
      </c>
      <c r="B32" s="8">
        <f>5.235</f>
        <v>5.2350000000000003</v>
      </c>
    </row>
  </sheetData>
  <mergeCells count="3">
    <mergeCell ref="A1:C1"/>
    <mergeCell ref="A4:B4"/>
    <mergeCell ref="A17:B1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9" sqref="G19"/>
    </sheetView>
  </sheetViews>
  <sheetFormatPr defaultRowHeight="14.4" x14ac:dyDescent="0.3"/>
  <sheetData>
    <row r="1" spans="1:12" x14ac:dyDescent="0.3">
      <c r="A1" s="25" t="s">
        <v>44</v>
      </c>
      <c r="B1" s="27"/>
      <c r="C1" s="27"/>
    </row>
    <row r="2" spans="1:12" x14ac:dyDescent="0.3">
      <c r="A2" s="2">
        <v>5</v>
      </c>
    </row>
    <row r="4" spans="1:12" x14ac:dyDescent="0.3">
      <c r="A4" s="4" t="s">
        <v>12</v>
      </c>
    </row>
    <row r="5" spans="1:12" x14ac:dyDescent="0.3">
      <c r="A5" s="4" t="s">
        <v>2</v>
      </c>
      <c r="B5" s="25" t="s">
        <v>13</v>
      </c>
      <c r="C5" s="25"/>
      <c r="D5" s="4" t="s">
        <v>46</v>
      </c>
      <c r="E5" s="4" t="s">
        <v>15</v>
      </c>
      <c r="F5" s="4" t="s">
        <v>16</v>
      </c>
      <c r="H5" s="28" t="s">
        <v>45</v>
      </c>
      <c r="I5" s="28"/>
      <c r="J5" s="28"/>
      <c r="K5" s="28"/>
      <c r="L5" s="28"/>
    </row>
    <row r="6" spans="1:12" x14ac:dyDescent="0.3">
      <c r="A6">
        <v>0</v>
      </c>
      <c r="B6" s="7" t="s">
        <v>17</v>
      </c>
      <c r="C6" s="5">
        <f>0</f>
        <v>0</v>
      </c>
      <c r="D6" s="24">
        <f xml:space="preserve"> 6 * C6^2 - C6*C7 + 12*C7+C7^2 - 8*C6</f>
        <v>0</v>
      </c>
      <c r="E6" s="6">
        <f xml:space="preserve"> -C7 + 12 *C6 - 8</f>
        <v>-8</v>
      </c>
      <c r="F6" s="6">
        <f>0.25</f>
        <v>0.25</v>
      </c>
    </row>
    <row r="7" spans="1:12" x14ac:dyDescent="0.3">
      <c r="B7" s="7" t="s">
        <v>18</v>
      </c>
      <c r="C7" s="5">
        <f>0</f>
        <v>0</v>
      </c>
      <c r="D7" s="24"/>
      <c r="E7" s="6">
        <f xml:space="preserve"> 2*C7 - C6+12</f>
        <v>12</v>
      </c>
      <c r="F7" s="5"/>
    </row>
    <row r="8" spans="1:12" x14ac:dyDescent="0.3">
      <c r="A8">
        <v>1</v>
      </c>
      <c r="B8" s="7" t="s">
        <v>17</v>
      </c>
      <c r="C8" s="6">
        <f xml:space="preserve"> C6 - $F$6 * E6</f>
        <v>2</v>
      </c>
      <c r="D8" s="24">
        <f xml:space="preserve"> 6 * C8^2 - C8*C9 + 12*C9+C9^2 - 8*C8</f>
        <v>-13</v>
      </c>
      <c r="E8" s="5">
        <f xml:space="preserve"> -C9 + 12 *C8 - 8</f>
        <v>19</v>
      </c>
      <c r="F8" s="5"/>
    </row>
    <row r="9" spans="1:12" x14ac:dyDescent="0.3">
      <c r="B9" s="7" t="s">
        <v>18</v>
      </c>
      <c r="C9" s="6">
        <f xml:space="preserve"> C7 - $F$6 * E7</f>
        <v>-3</v>
      </c>
      <c r="D9" s="24"/>
      <c r="E9" s="5">
        <f xml:space="preserve"> 2*C9 - C8+12</f>
        <v>4</v>
      </c>
      <c r="F9" s="5"/>
    </row>
    <row r="13" spans="1:12" x14ac:dyDescent="0.3">
      <c r="A13" s="13"/>
    </row>
  </sheetData>
  <mergeCells count="5">
    <mergeCell ref="A1:C1"/>
    <mergeCell ref="B5:C5"/>
    <mergeCell ref="D6:D7"/>
    <mergeCell ref="D8:D9"/>
    <mergeCell ref="H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sqref="A1:C2"/>
    </sheetView>
  </sheetViews>
  <sheetFormatPr defaultRowHeight="14.4" x14ac:dyDescent="0.3"/>
  <cols>
    <col min="5" max="5" width="12.6640625" bestFit="1" customWidth="1"/>
  </cols>
  <sheetData>
    <row r="1" spans="1:16" x14ac:dyDescent="0.3">
      <c r="A1" s="25" t="s">
        <v>47</v>
      </c>
      <c r="B1" s="27"/>
      <c r="C1" s="27"/>
    </row>
    <row r="2" spans="1:16" x14ac:dyDescent="0.3">
      <c r="A2" s="2">
        <v>1</v>
      </c>
    </row>
    <row r="4" spans="1:16" x14ac:dyDescent="0.3">
      <c r="A4" s="4" t="s">
        <v>1</v>
      </c>
    </row>
    <row r="5" spans="1:16" x14ac:dyDescent="0.3">
      <c r="A5" s="4" t="s">
        <v>2</v>
      </c>
      <c r="B5" s="4" t="s">
        <v>4</v>
      </c>
      <c r="C5" s="4" t="s">
        <v>3</v>
      </c>
      <c r="D5" s="4" t="s">
        <v>48</v>
      </c>
      <c r="E5" s="4" t="s">
        <v>49</v>
      </c>
      <c r="G5" s="4" t="s">
        <v>5</v>
      </c>
      <c r="J5" s="12" t="s">
        <v>61</v>
      </c>
      <c r="K5" s="12" t="s">
        <v>59</v>
      </c>
      <c r="L5" s="28" t="s">
        <v>62</v>
      </c>
      <c r="M5" s="28"/>
    </row>
    <row r="6" spans="1:16" x14ac:dyDescent="0.3">
      <c r="A6">
        <v>0</v>
      </c>
      <c r="B6" s="9">
        <f>0</f>
        <v>0</v>
      </c>
      <c r="C6" s="9">
        <f>0</f>
        <v>0</v>
      </c>
      <c r="D6" s="8">
        <f>1</f>
        <v>1</v>
      </c>
      <c r="E6" s="8">
        <f xml:space="preserve"> 0.5 + B6^2 + B6*D6</f>
        <v>0.5</v>
      </c>
      <c r="G6" s="8">
        <f>0.25</f>
        <v>0.25</v>
      </c>
      <c r="J6" s="12" t="s">
        <v>58</v>
      </c>
      <c r="K6" s="12" t="s">
        <v>59</v>
      </c>
      <c r="L6" s="28" t="s">
        <v>60</v>
      </c>
      <c r="M6" s="28"/>
    </row>
    <row r="7" spans="1:16" x14ac:dyDescent="0.3">
      <c r="A7">
        <v>1</v>
      </c>
      <c r="B7" s="9">
        <f>B6 + $G$6</f>
        <v>0.25</v>
      </c>
      <c r="C7" s="9">
        <f xml:space="preserve"> C6 + $G$6 * D6</f>
        <v>0.25</v>
      </c>
      <c r="D7" s="8">
        <f xml:space="preserve"> D6 + $G$6 * E6</f>
        <v>1.125</v>
      </c>
      <c r="E7" s="8">
        <f xml:space="preserve"> 0.5 + B7^2 + B7*D7</f>
        <v>0.84375</v>
      </c>
    </row>
    <row r="8" spans="1:16" x14ac:dyDescent="0.3">
      <c r="A8">
        <v>2</v>
      </c>
      <c r="B8" s="9">
        <f>B7 + $G$6</f>
        <v>0.5</v>
      </c>
      <c r="C8" s="9">
        <f xml:space="preserve"> C7 + $G$6 * D7</f>
        <v>0.53125</v>
      </c>
      <c r="D8" s="8">
        <f xml:space="preserve"> D7 + $G$6 * E7</f>
        <v>1.3359375</v>
      </c>
      <c r="E8" s="8">
        <f xml:space="preserve"> 0.5 + B8^2 + B8*D8</f>
        <v>1.41796875</v>
      </c>
    </row>
    <row r="10" spans="1:16" x14ac:dyDescent="0.3">
      <c r="A10" s="25" t="s">
        <v>6</v>
      </c>
      <c r="B10" s="25"/>
    </row>
    <row r="11" spans="1:16" x14ac:dyDescent="0.3">
      <c r="A11" s="4" t="s">
        <v>2</v>
      </c>
      <c r="B11" s="4" t="s">
        <v>4</v>
      </c>
      <c r="C11" s="4" t="s">
        <v>3</v>
      </c>
      <c r="D11" s="4" t="s">
        <v>48</v>
      </c>
      <c r="E11" s="4" t="s">
        <v>63</v>
      </c>
      <c r="F11" s="4" t="s">
        <v>64</v>
      </c>
      <c r="H11" s="4" t="s">
        <v>50</v>
      </c>
      <c r="I11" s="4" t="s">
        <v>51</v>
      </c>
      <c r="J11" s="4" t="s">
        <v>52</v>
      </c>
      <c r="K11" s="4" t="s">
        <v>53</v>
      </c>
      <c r="M11" s="4" t="s">
        <v>54</v>
      </c>
      <c r="N11" s="4" t="s">
        <v>55</v>
      </c>
      <c r="O11" s="4" t="s">
        <v>56</v>
      </c>
      <c r="P11" s="4" t="s">
        <v>57</v>
      </c>
    </row>
    <row r="12" spans="1:16" x14ac:dyDescent="0.3">
      <c r="A12">
        <v>0</v>
      </c>
      <c r="B12" s="9">
        <f>0</f>
        <v>0</v>
      </c>
      <c r="C12" s="9">
        <f>0</f>
        <v>0</v>
      </c>
      <c r="D12" s="8">
        <f>1</f>
        <v>1</v>
      </c>
      <c r="E12" s="17">
        <f xml:space="preserve"> D12</f>
        <v>1</v>
      </c>
      <c r="F12" s="8">
        <f xml:space="preserve"> 0.5 + B12^2 + B12*D12</f>
        <v>0.5</v>
      </c>
      <c r="H12" s="8">
        <f xml:space="preserve"> $G$6 * D12</f>
        <v>0.25</v>
      </c>
      <c r="I12" s="8">
        <f xml:space="preserve"> $G$6 * (D12 + M12/2)</f>
        <v>0.265625</v>
      </c>
      <c r="J12" s="8">
        <f xml:space="preserve"> $G$6 * (D12 + N12/2)</f>
        <v>0.270263671875</v>
      </c>
      <c r="K12" s="8">
        <f xml:space="preserve"> $G$6 * (D12 + O12)</f>
        <v>0.29067230224609375</v>
      </c>
      <c r="M12" s="8">
        <f xml:space="preserve"> $G$6 * F12</f>
        <v>0.125</v>
      </c>
      <c r="N12" s="8">
        <f xml:space="preserve"> $G$6 * (0.5 + (B12 + $G$6/2)^2 + (B12 + $G$6/2) * (D12+ M12/2))</f>
        <v>0.162109375</v>
      </c>
      <c r="O12" s="8">
        <f xml:space="preserve"> $G$6 * (0.5 + (B12 + $G$6/2)^2 + (B12 + $G$6/2) * (D12+ N12/2))</f>
        <v>0.162689208984375</v>
      </c>
      <c r="P12" s="8">
        <f xml:space="preserve"> $G$6 * (0.5 + (B12 + $G$6)^2 + (B12 + $G$6) * (D12+ O12))</f>
        <v>0.21329307556152344</v>
      </c>
    </row>
    <row r="13" spans="1:16" x14ac:dyDescent="0.3">
      <c r="A13">
        <v>1</v>
      </c>
      <c r="B13" s="9">
        <f xml:space="preserve"> B12 + $G$6</f>
        <v>0.25</v>
      </c>
      <c r="C13" s="9">
        <f xml:space="preserve"> C12 + H12/6 + I12/3 + J12/3 + K12/6</f>
        <v>0.26874160766601563</v>
      </c>
      <c r="D13" s="8">
        <f xml:space="preserve"> D12 +  M12/6 + N12/3 + O12/3 + P12/6</f>
        <v>1.1646483739217122</v>
      </c>
      <c r="E13" s="17">
        <f t="shared" ref="E13:E14" si="0" xml:space="preserve"> D13</f>
        <v>1.1646483739217122</v>
      </c>
      <c r="F13" s="8">
        <f t="shared" ref="F13:F14" si="1" xml:space="preserve"> 0.5 + B13^2 + B13*D13</f>
        <v>0.85366209348042799</v>
      </c>
      <c r="H13" s="8">
        <f t="shared" ref="H13:H14" si="2" xml:space="preserve"> $G$6 * D13</f>
        <v>0.29116209348042804</v>
      </c>
      <c r="I13" s="8">
        <f t="shared" ref="I13:I14" si="3" xml:space="preserve"> $G$6 * (D13 + M13/2)</f>
        <v>0.31783903390169144</v>
      </c>
      <c r="J13" s="8">
        <f t="shared" ref="J13:J14" si="4" xml:space="preserve"> $G$6 * (D13 + N13/2)</f>
        <v>0.32608032944456983</v>
      </c>
      <c r="K13" s="8">
        <f t="shared" ref="K13:K14" si="5" xml:space="preserve"> $G$6 * (D13 + O13)</f>
        <v>0.36177118686585646</v>
      </c>
      <c r="M13" s="8">
        <f t="shared" ref="M13:M14" si="6" xml:space="preserve"> $G$6 * F13</f>
        <v>0.213415523370107</v>
      </c>
      <c r="N13" s="8">
        <f t="shared" ref="N13:N14" si="7" xml:space="preserve"> $G$6 * (0.5 + (B13 + $G$6/2)^2 + (B13 + $G$6/2) * (D13+ M13/2))</f>
        <v>0.27934588771313429</v>
      </c>
      <c r="O13" s="8">
        <f t="shared" ref="O13:O14" si="8" xml:space="preserve"> $G$6 * (0.5 + (B13 + $G$6/2)^2 + (B13 + $G$6/2) * (D13+ N13/2))</f>
        <v>0.28243637354171369</v>
      </c>
      <c r="P13" s="8">
        <f t="shared" ref="P13:P14" si="9" xml:space="preserve"> $G$6 * (0.5 + (B13 + $G$6)^2 + (B13 + $G$6) * (D13+ O13))</f>
        <v>0.3683855934329282</v>
      </c>
    </row>
    <row r="14" spans="1:16" x14ac:dyDescent="0.3">
      <c r="A14">
        <v>2</v>
      </c>
      <c r="B14" s="9">
        <f xml:space="preserve"> B13 + $G$6</f>
        <v>0.5</v>
      </c>
      <c r="C14" s="9">
        <f xml:space="preserve"> C13 + H13/6 + I13/3 + J13/3 + K13/6</f>
        <v>0.59220360883915002</v>
      </c>
      <c r="D14" s="8">
        <f xml:space="preserve"> D13 +  M13/6 + N13/3 + O13/3 + P13/6</f>
        <v>1.448875980473834</v>
      </c>
      <c r="E14" s="17">
        <f t="shared" si="0"/>
        <v>1.448875980473834</v>
      </c>
      <c r="F14" s="8">
        <f t="shared" si="1"/>
        <v>1.4744379902369169</v>
      </c>
      <c r="H14" s="8">
        <f t="shared" si="2"/>
        <v>0.36221899511845851</v>
      </c>
      <c r="I14" s="8">
        <f t="shared" si="3"/>
        <v>0.40829518231336215</v>
      </c>
      <c r="J14" s="8">
        <f t="shared" si="4"/>
        <v>0.42194908748668991</v>
      </c>
      <c r="K14" s="8">
        <f t="shared" si="5"/>
        <v>0.48381260253825381</v>
      </c>
      <c r="M14" s="8">
        <f t="shared" si="6"/>
        <v>0.36860949755922923</v>
      </c>
      <c r="N14" s="8">
        <f t="shared" si="7"/>
        <v>0.47784073894585133</v>
      </c>
      <c r="O14" s="8">
        <f t="shared" si="8"/>
        <v>0.48637442967918121</v>
      </c>
      <c r="P14" s="8">
        <f t="shared" si="9"/>
        <v>0.62848445190369029</v>
      </c>
    </row>
    <row r="18" spans="1:6" x14ac:dyDescent="0.3">
      <c r="A18" s="2">
        <v>3</v>
      </c>
    </row>
    <row r="20" spans="1:6" x14ac:dyDescent="0.3">
      <c r="A20" s="4" t="s">
        <v>12</v>
      </c>
    </row>
    <row r="21" spans="1:6" x14ac:dyDescent="0.3">
      <c r="A21" s="4" t="s">
        <v>2</v>
      </c>
      <c r="B21" s="25" t="s">
        <v>13</v>
      </c>
      <c r="C21" s="25"/>
      <c r="D21" s="4" t="s">
        <v>46</v>
      </c>
      <c r="E21" s="4" t="s">
        <v>15</v>
      </c>
      <c r="F21" s="4" t="s">
        <v>16</v>
      </c>
    </row>
    <row r="22" spans="1:6" x14ac:dyDescent="0.3">
      <c r="B22" s="4" t="s">
        <v>17</v>
      </c>
      <c r="C22">
        <f>2</f>
        <v>2</v>
      </c>
      <c r="D22" s="29">
        <f xml:space="preserve"> 3* C22^2 - C22*C23+ 11*C23 + C23^2 - 8 * C22</f>
        <v>18</v>
      </c>
      <c r="E22" s="14">
        <f xml:space="preserve"> - C23 + 6*C22 -8</f>
        <v>2</v>
      </c>
      <c r="F22" s="14">
        <f>0.5</f>
        <v>0.5</v>
      </c>
    </row>
    <row r="23" spans="1:6" x14ac:dyDescent="0.3">
      <c r="A23">
        <v>0</v>
      </c>
      <c r="B23" s="4" t="s">
        <v>18</v>
      </c>
      <c r="C23">
        <f>2</f>
        <v>2</v>
      </c>
      <c r="D23" s="29"/>
      <c r="E23" s="14">
        <f>2*C23 - C22 + 11</f>
        <v>13</v>
      </c>
    </row>
    <row r="24" spans="1:6" x14ac:dyDescent="0.3">
      <c r="B24" s="4" t="s">
        <v>17</v>
      </c>
      <c r="C24" s="14">
        <f xml:space="preserve"> C22 - $F$22 * E22</f>
        <v>1</v>
      </c>
      <c r="D24" s="29">
        <f xml:space="preserve"> 3* C24^2 - C24*C25+ 11*C25 + C25^2 - 8 * C24</f>
        <v>-29.75</v>
      </c>
      <c r="E24">
        <f xml:space="preserve"> - C25 + 6*C24 -8</f>
        <v>2.5</v>
      </c>
    </row>
    <row r="25" spans="1:6" x14ac:dyDescent="0.3">
      <c r="A25">
        <v>1</v>
      </c>
      <c r="B25" s="4" t="s">
        <v>18</v>
      </c>
      <c r="C25" s="14">
        <f xml:space="preserve"> C23 - $F$22 * E23</f>
        <v>-4.5</v>
      </c>
      <c r="D25" s="29"/>
      <c r="E25">
        <f>2*C25 - C24 + 11</f>
        <v>1</v>
      </c>
    </row>
    <row r="29" spans="1:6" x14ac:dyDescent="0.3">
      <c r="A29" s="2">
        <v>4</v>
      </c>
    </row>
    <row r="30" spans="1:6" x14ac:dyDescent="0.3">
      <c r="A30" s="4" t="s">
        <v>19</v>
      </c>
    </row>
    <row r="33" spans="1:18" x14ac:dyDescent="0.3">
      <c r="A33" s="18" t="s">
        <v>5</v>
      </c>
      <c r="B33" s="9">
        <f>0.125</f>
        <v>0.125</v>
      </c>
      <c r="H33" s="4" t="s">
        <v>67</v>
      </c>
      <c r="I33" s="14">
        <f xml:space="preserve"> $B$33 /2</f>
        <v>6.25E-2</v>
      </c>
    </row>
    <row r="34" spans="1:18" x14ac:dyDescent="0.3">
      <c r="A34" s="16"/>
    </row>
    <row r="35" spans="1:18" x14ac:dyDescent="0.3">
      <c r="A35" s="11" t="s">
        <v>38</v>
      </c>
      <c r="B35" s="8">
        <v>1</v>
      </c>
      <c r="C35" s="8">
        <f xml:space="preserve"> B35 + $B$33</f>
        <v>1.125</v>
      </c>
      <c r="D35" s="8">
        <f xml:space="preserve"> C35 + $B$33</f>
        <v>1.25</v>
      </c>
      <c r="E35" s="8">
        <f xml:space="preserve"> D35 + $B$33</f>
        <v>1.375</v>
      </c>
      <c r="F35" s="8">
        <f xml:space="preserve"> E35 + $B$33</f>
        <v>1.5</v>
      </c>
      <c r="H35" s="11" t="s">
        <v>38</v>
      </c>
      <c r="I35" s="8">
        <v>1</v>
      </c>
      <c r="J35" s="8">
        <f xml:space="preserve"> I35 + $I$33</f>
        <v>1.0625</v>
      </c>
      <c r="K35" s="8">
        <f t="shared" ref="K35:O35" si="10" xml:space="preserve"> J35 + $I$33</f>
        <v>1.125</v>
      </c>
      <c r="L35" s="8">
        <f t="shared" si="10"/>
        <v>1.1875</v>
      </c>
      <c r="M35" s="8">
        <f t="shared" si="10"/>
        <v>1.25</v>
      </c>
      <c r="N35" s="8">
        <f t="shared" si="10"/>
        <v>1.3125</v>
      </c>
      <c r="O35" s="8">
        <f t="shared" si="10"/>
        <v>1.375</v>
      </c>
      <c r="P35" s="8">
        <f xml:space="preserve"> O35 + $I$33</f>
        <v>1.4375</v>
      </c>
      <c r="Q35" s="8">
        <f xml:space="preserve"> P35 + $I$33</f>
        <v>1.5</v>
      </c>
    </row>
    <row r="36" spans="1:18" x14ac:dyDescent="0.3">
      <c r="A36" s="11" t="s">
        <v>65</v>
      </c>
      <c r="B36" s="8">
        <f xml:space="preserve"> EXP(1.5*B35)</f>
        <v>4.4816890703380645</v>
      </c>
      <c r="C36" s="8">
        <f xml:space="preserve"> EXP(1.5*C35)</f>
        <v>5.4059489251411668</v>
      </c>
      <c r="D36" s="8">
        <f xml:space="preserve"> EXP(1.5*D35)</f>
        <v>6.5208191203301125</v>
      </c>
      <c r="E36" s="8">
        <f xml:space="preserve"> EXP(1.5*E35)</f>
        <v>7.8656092739448917</v>
      </c>
      <c r="F36" s="8">
        <f xml:space="preserve"> EXP(1.5*F35)</f>
        <v>9.4877358363585262</v>
      </c>
      <c r="H36" s="11" t="s">
        <v>65</v>
      </c>
      <c r="I36" s="8">
        <f xml:space="preserve"> EXP(1.5*I35)</f>
        <v>4.4816890703380645</v>
      </c>
      <c r="J36" s="8">
        <f t="shared" ref="J36:Q36" si="11" xml:space="preserve"> EXP(1.5*J35)</f>
        <v>4.9221725094322908</v>
      </c>
      <c r="K36" s="8">
        <f t="shared" si="11"/>
        <v>5.4059489251411668</v>
      </c>
      <c r="L36" s="8">
        <f t="shared" si="11"/>
        <v>5.9372733737456072</v>
      </c>
      <c r="M36" s="8">
        <f t="shared" si="11"/>
        <v>6.5208191203301125</v>
      </c>
      <c r="N36" s="8">
        <f t="shared" si="11"/>
        <v>7.1617187424937114</v>
      </c>
      <c r="O36" s="8">
        <f t="shared" si="11"/>
        <v>7.8656092739448917</v>
      </c>
      <c r="P36" s="8">
        <f t="shared" si="11"/>
        <v>8.6386817850411024</v>
      </c>
      <c r="Q36" s="8">
        <f t="shared" si="11"/>
        <v>9.4877358363585262</v>
      </c>
    </row>
    <row r="38" spans="1:18" x14ac:dyDescent="0.3">
      <c r="A38" s="4" t="s">
        <v>66</v>
      </c>
      <c r="B38" s="9">
        <f xml:space="preserve"> $B$33/3 * (B36 + 4*C36 + 2*D36 + 4*E36 + F36)</f>
        <v>3.3373873309875433</v>
      </c>
      <c r="H38" s="4" t="s">
        <v>68</v>
      </c>
      <c r="I38" s="9">
        <f xml:space="preserve"> $I$33/3 * (I36 + 4*J36 + 2*K36 + 4*L36 + 2*M36 + 4*N36 + 2*O36 + 4*P36 + Q36)</f>
        <v>3.3373659414245784</v>
      </c>
    </row>
    <row r="41" spans="1:18" x14ac:dyDescent="0.3">
      <c r="A41" s="4" t="s">
        <v>69</v>
      </c>
      <c r="B41" s="9">
        <f xml:space="preserve"> $B$33/4</f>
        <v>3.125E-2</v>
      </c>
    </row>
    <row r="43" spans="1:18" x14ac:dyDescent="0.3">
      <c r="A43" s="11" t="s">
        <v>38</v>
      </c>
      <c r="B43" s="8">
        <v>1</v>
      </c>
      <c r="C43" s="8">
        <f xml:space="preserve"> B43 + $B$41</f>
        <v>1.03125</v>
      </c>
      <c r="D43" s="8">
        <f t="shared" ref="D43:P43" si="12" xml:space="preserve"> C43 + $B$41</f>
        <v>1.0625</v>
      </c>
      <c r="E43" s="8">
        <f t="shared" si="12"/>
        <v>1.09375</v>
      </c>
      <c r="F43" s="8">
        <f t="shared" si="12"/>
        <v>1.125</v>
      </c>
      <c r="G43" s="8">
        <f t="shared" si="12"/>
        <v>1.15625</v>
      </c>
      <c r="H43" s="8">
        <f t="shared" si="12"/>
        <v>1.1875</v>
      </c>
      <c r="I43" s="8">
        <f t="shared" si="12"/>
        <v>1.21875</v>
      </c>
      <c r="J43" s="8">
        <f t="shared" si="12"/>
        <v>1.25</v>
      </c>
      <c r="K43" s="8">
        <f t="shared" si="12"/>
        <v>1.28125</v>
      </c>
      <c r="L43" s="8">
        <f xml:space="preserve"> K43 + $B$41</f>
        <v>1.3125</v>
      </c>
      <c r="M43" s="8">
        <f t="shared" si="12"/>
        <v>1.34375</v>
      </c>
      <c r="N43" s="8">
        <f t="shared" si="12"/>
        <v>1.375</v>
      </c>
      <c r="O43" s="8">
        <f t="shared" si="12"/>
        <v>1.40625</v>
      </c>
      <c r="P43" s="8">
        <f t="shared" si="12"/>
        <v>1.4375</v>
      </c>
      <c r="Q43" s="8">
        <f xml:space="preserve"> P43 + $B$41</f>
        <v>1.46875</v>
      </c>
      <c r="R43" s="8">
        <f xml:space="preserve"> Q43 + $B$41</f>
        <v>1.5</v>
      </c>
    </row>
    <row r="44" spans="1:18" x14ac:dyDescent="0.3">
      <c r="A44" s="11" t="s">
        <v>65</v>
      </c>
      <c r="B44" s="8">
        <f xml:space="preserve"> EXP(1.5*B43)</f>
        <v>4.4816890703380645</v>
      </c>
      <c r="C44" s="8">
        <f t="shared" ref="C44:R44" si="13" xml:space="preserve"> EXP(1.5*C43)</f>
        <v>4.69676981955058</v>
      </c>
      <c r="D44" s="8">
        <f t="shared" si="13"/>
        <v>4.9221725094322908</v>
      </c>
      <c r="E44" s="8">
        <f t="shared" si="13"/>
        <v>5.1583925002586701</v>
      </c>
      <c r="F44" s="8">
        <f t="shared" si="13"/>
        <v>5.4059489251411668</v>
      </c>
      <c r="G44" s="8">
        <f t="shared" si="13"/>
        <v>5.6653858309094298</v>
      </c>
      <c r="H44" s="8">
        <f t="shared" si="13"/>
        <v>5.9372733737456072</v>
      </c>
      <c r="I44" s="8">
        <f t="shared" si="13"/>
        <v>6.2222090721983321</v>
      </c>
      <c r="J44" s="8">
        <f t="shared" si="13"/>
        <v>6.5208191203301125</v>
      </c>
      <c r="K44" s="8">
        <f t="shared" si="13"/>
        <v>6.8337597638839718</v>
      </c>
      <c r="L44" s="8">
        <f t="shared" si="13"/>
        <v>7.1617187424937114</v>
      </c>
      <c r="M44" s="8">
        <f t="shared" si="13"/>
        <v>7.505416801107283</v>
      </c>
      <c r="N44" s="8">
        <f t="shared" si="13"/>
        <v>7.8656092739448917</v>
      </c>
      <c r="O44" s="8">
        <f t="shared" si="13"/>
        <v>8.2430877444728257</v>
      </c>
      <c r="P44" s="8">
        <f t="shared" si="13"/>
        <v>8.6386817850411024</v>
      </c>
      <c r="Q44" s="8">
        <f t="shared" si="13"/>
        <v>9.053260780008058</v>
      </c>
      <c r="R44" s="8">
        <f t="shared" si="13"/>
        <v>9.4877358363585262</v>
      </c>
    </row>
    <row r="46" spans="1:18" x14ac:dyDescent="0.3">
      <c r="A46" s="4" t="s">
        <v>70</v>
      </c>
      <c r="B46" s="9">
        <f xml:space="preserve"> $B$41/3 * (B44 + 4*C44 + 2*D44 + 4*E44 + 2*F44 + 4*G44 + 2*H44 + 4*I44 + 2*J44 + 4*K44 + 2*L44 + 4*M44 + 2*N44 + 4*O44 + 2*P44 + 4*Q44 + R44)</f>
        <v>3.3373646001719894</v>
      </c>
    </row>
    <row r="49" spans="1:5" x14ac:dyDescent="0.3">
      <c r="A49" s="4" t="s">
        <v>21</v>
      </c>
      <c r="B49" s="9">
        <f xml:space="preserve"> (I38 - B38) / (B46- I38)</f>
        <v>15.947453254034931</v>
      </c>
      <c r="D49" s="4" t="s">
        <v>42</v>
      </c>
      <c r="E49" s="19">
        <f xml:space="preserve"> (B46 - I38) / 15</f>
        <v>-8.9416839266220904E-8</v>
      </c>
    </row>
    <row r="51" spans="1:5" x14ac:dyDescent="0.3">
      <c r="A51" s="4" t="s">
        <v>20</v>
      </c>
      <c r="B51" s="14">
        <f xml:space="preserve"> 3.33736</f>
        <v>3.3373599999999999</v>
      </c>
      <c r="D51" s="4" t="s">
        <v>42</v>
      </c>
      <c r="E51" s="19">
        <f xml:space="preserve"> ABS(B51 - B38) / B51</f>
        <v>8.1894034636276847E-6</v>
      </c>
    </row>
  </sheetData>
  <mergeCells count="7">
    <mergeCell ref="D24:D25"/>
    <mergeCell ref="L6:M6"/>
    <mergeCell ref="L5:M5"/>
    <mergeCell ref="A1:C1"/>
    <mergeCell ref="A10:B10"/>
    <mergeCell ref="B21:C21"/>
    <mergeCell ref="D22:D23"/>
  </mergeCells>
  <pageMargins left="0.7" right="0.7" top="0.75" bottom="0.75" header="0.3" footer="0.3"/>
  <pageSetup paperSize="9" orientation="portrait" horizontalDpi="4294967293" verticalDpi="4294967293" r:id="rId1"/>
  <ignoredErrors>
    <ignoredError sqref="E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C2"/>
    </sheetView>
  </sheetViews>
  <sheetFormatPr defaultRowHeight="14.4" x14ac:dyDescent="0.3"/>
  <cols>
    <col min="1" max="1" width="9.5546875" customWidth="1"/>
    <col min="10" max="10" width="10.21875" customWidth="1"/>
  </cols>
  <sheetData>
    <row r="1" spans="1:12" x14ac:dyDescent="0.3">
      <c r="A1" s="25" t="s">
        <v>71</v>
      </c>
      <c r="B1" s="27"/>
      <c r="C1" s="27"/>
    </row>
    <row r="2" spans="1:12" x14ac:dyDescent="0.3">
      <c r="A2" s="2">
        <v>5</v>
      </c>
    </row>
    <row r="4" spans="1:12" x14ac:dyDescent="0.3">
      <c r="A4" s="4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L4" s="4" t="s">
        <v>35</v>
      </c>
    </row>
    <row r="5" spans="1:12" x14ac:dyDescent="0.3">
      <c r="A5">
        <v>0</v>
      </c>
      <c r="B5" s="8">
        <f>2</f>
        <v>2</v>
      </c>
      <c r="C5" s="8">
        <f>4</f>
        <v>4</v>
      </c>
      <c r="D5" s="8">
        <f xml:space="preserve"> B5 + $L$5 * (C5-B5)</f>
        <v>2.7639320225002102</v>
      </c>
      <c r="E5" s="8">
        <f xml:space="preserve"> B5 + $L$7 * (C5-B5)</f>
        <v>3.2360679774997898</v>
      </c>
      <c r="F5" s="8">
        <f xml:space="preserve"> 5 * COS(B5) - SIN(B5)</f>
        <v>-2.9900316095613935</v>
      </c>
      <c r="G5" s="8">
        <f xml:space="preserve"> 5 * COS(C5) - SIN(C5)</f>
        <v>-2.5114156090101316</v>
      </c>
      <c r="H5" s="8">
        <f xml:space="preserve"> 5 * COS(D5) - SIN(D5)</f>
        <v>-5.0163960346288308</v>
      </c>
      <c r="I5" s="8">
        <f xml:space="preserve"> 5 * COS($E$5) - SIN($E$5)</f>
        <v>-4.8833677797643915</v>
      </c>
      <c r="J5" t="b">
        <f>IF(ABS(C5-B5) &lt;= 0.001, TRUE, FALSE)</f>
        <v>0</v>
      </c>
      <c r="L5" s="8">
        <f xml:space="preserve"> $L$7^2</f>
        <v>0.38196601125010521</v>
      </c>
    </row>
    <row r="6" spans="1:12" x14ac:dyDescent="0.3">
      <c r="A6">
        <v>1</v>
      </c>
      <c r="B6" s="9">
        <f xml:space="preserve"> IF(H5&gt;I5,D5,B5)</f>
        <v>2</v>
      </c>
      <c r="C6" s="9">
        <f xml:space="preserve"> IF(H5&lt;I5,E5,C5)</f>
        <v>3.2360679774997898</v>
      </c>
      <c r="D6" s="9">
        <f t="shared" ref="D6:D8" si="0" xml:space="preserve"> B6 + $L$5 * (C6-B6)</f>
        <v>2.4721359549995796</v>
      </c>
      <c r="E6" s="9">
        <f t="shared" ref="E6:E8" si="1" xml:space="preserve"> B6 + $L$7 * (C6-B6)</f>
        <v>2.7639320225002102</v>
      </c>
      <c r="F6" s="9">
        <f xml:space="preserve"> 5 * COS(B6) - SIN(B6)</f>
        <v>-2.9900316095613935</v>
      </c>
      <c r="G6" s="9">
        <f xml:space="preserve"> 5 * COS(C6) - SIN(C6)</f>
        <v>-4.8833677797643915</v>
      </c>
      <c r="H6" s="9">
        <f t="shared" ref="H6:H8" si="2" xml:space="preserve"> 5 * COS(D6) - SIN(D6)</f>
        <v>-4.5413547077093641</v>
      </c>
      <c r="I6" s="9">
        <f t="shared" ref="I6:I8" si="3" xml:space="preserve"> 5 * COS($E$5) - SIN($E$5)</f>
        <v>-4.8833677797643915</v>
      </c>
      <c r="J6" t="b">
        <f t="shared" ref="J6:J8" si="4">IF(ABS(C6-B6) &lt;= 0.001, TRUE, FALSE)</f>
        <v>0</v>
      </c>
      <c r="L6" s="4" t="s">
        <v>36</v>
      </c>
    </row>
    <row r="7" spans="1:12" x14ac:dyDescent="0.3">
      <c r="A7">
        <v>2</v>
      </c>
      <c r="B7" s="9">
        <f xml:space="preserve"> IF(H6&gt;I6,D6,B6)</f>
        <v>2.4721359549995796</v>
      </c>
      <c r="C7" s="9">
        <f xml:space="preserve"> IF(H6&lt;I6,E6,C6)</f>
        <v>3.2360679774997898</v>
      </c>
      <c r="D7" s="9">
        <f t="shared" si="0"/>
        <v>2.7639320225002106</v>
      </c>
      <c r="E7" s="9">
        <f t="shared" si="1"/>
        <v>2.9442719099991592</v>
      </c>
      <c r="F7" s="9">
        <f xml:space="preserve"> 5 * COS(B7) - SIN(B7)</f>
        <v>-4.5413547077093641</v>
      </c>
      <c r="G7" s="9">
        <f t="shared" ref="G7:G8" si="5" xml:space="preserve"> 5 * COS(C7) - SIN(C7)</f>
        <v>-4.8833677797643915</v>
      </c>
      <c r="H7" s="9">
        <f t="shared" si="2"/>
        <v>-5.0163960346288317</v>
      </c>
      <c r="I7" s="9">
        <f t="shared" si="3"/>
        <v>-4.8833677797643915</v>
      </c>
      <c r="J7" t="b">
        <f t="shared" si="4"/>
        <v>0</v>
      </c>
      <c r="L7" s="8">
        <f xml:space="preserve"> (SQRT(5)-1)/2</f>
        <v>0.6180339887498949</v>
      </c>
    </row>
    <row r="8" spans="1:12" x14ac:dyDescent="0.3">
      <c r="A8">
        <v>3</v>
      </c>
      <c r="B8" s="17">
        <f xml:space="preserve"> IF(H7&gt;I7,D7,B7)</f>
        <v>2.4721359549995796</v>
      </c>
      <c r="C8" s="17">
        <f xml:space="preserve"> IF(H7&lt;I7,E7,C7)</f>
        <v>2.9442719099991592</v>
      </c>
      <c r="D8" s="17">
        <f t="shared" si="0"/>
        <v>2.6524758424985282</v>
      </c>
      <c r="E8" s="17">
        <f t="shared" si="1"/>
        <v>2.7639320225002106</v>
      </c>
      <c r="F8" s="17">
        <f xml:space="preserve"> 5 * COS(B8) - SIN(B8)</f>
        <v>-4.5413547077093641</v>
      </c>
      <c r="G8" s="17">
        <f t="shared" si="5"/>
        <v>-5.0990194993219742</v>
      </c>
      <c r="H8" s="17">
        <f t="shared" si="2"/>
        <v>-4.8835872681330015</v>
      </c>
      <c r="I8" s="17">
        <f t="shared" si="3"/>
        <v>-4.8833677797643915</v>
      </c>
      <c r="J8" t="b">
        <f t="shared" si="4"/>
        <v>0</v>
      </c>
    </row>
    <row r="10" spans="1:12" x14ac:dyDescent="0.3">
      <c r="A10" s="4" t="s">
        <v>72</v>
      </c>
      <c r="B10" s="9">
        <f xml:space="preserve"> C8-B8</f>
        <v>0.47213595499957961</v>
      </c>
    </row>
    <row r="14" spans="1:12" x14ac:dyDescent="0.3">
      <c r="A14" s="13"/>
      <c r="B14" s="20"/>
    </row>
    <row r="15" spans="1:12" x14ac:dyDescent="0.3">
      <c r="A15" s="20"/>
      <c r="B15" s="20"/>
    </row>
    <row r="16" spans="1:12" x14ac:dyDescent="0.3">
      <c r="A16" s="21"/>
      <c r="B16" s="21"/>
    </row>
    <row r="18" spans="1:5" x14ac:dyDescent="0.3">
      <c r="A18" s="21"/>
      <c r="B18" s="21"/>
      <c r="C18" s="20"/>
      <c r="D18" s="16"/>
      <c r="E18" s="20"/>
    </row>
    <row r="19" spans="1:5" x14ac:dyDescent="0.3">
      <c r="A19" s="20"/>
      <c r="B19" s="20"/>
      <c r="C19" s="20"/>
    </row>
    <row r="20" spans="1:5" x14ac:dyDescent="0.3">
      <c r="A20" s="16"/>
      <c r="B20" s="20"/>
      <c r="C20" s="16"/>
    </row>
    <row r="21" spans="1:5" x14ac:dyDescent="0.3">
      <c r="A21" s="20"/>
      <c r="B21" s="20"/>
      <c r="C21" s="20"/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sqref="A1:C2"/>
    </sheetView>
  </sheetViews>
  <sheetFormatPr defaultRowHeight="14.4" x14ac:dyDescent="0.3"/>
  <cols>
    <col min="14" max="14" width="12.44140625" bestFit="1" customWidth="1"/>
  </cols>
  <sheetData>
    <row r="1" spans="1:12" x14ac:dyDescent="0.3">
      <c r="A1" s="25" t="s">
        <v>73</v>
      </c>
      <c r="B1" s="27"/>
      <c r="C1" s="27"/>
    </row>
    <row r="2" spans="1:12" x14ac:dyDescent="0.3">
      <c r="A2" s="2">
        <v>1</v>
      </c>
    </row>
    <row r="4" spans="1:12" x14ac:dyDescent="0.3">
      <c r="A4" s="4" t="s">
        <v>1</v>
      </c>
    </row>
    <row r="5" spans="1:12" x14ac:dyDescent="0.3">
      <c r="A5" s="4" t="s">
        <v>2</v>
      </c>
      <c r="B5" s="4" t="s">
        <v>4</v>
      </c>
      <c r="C5" s="4" t="s">
        <v>74</v>
      </c>
      <c r="E5" s="4" t="s">
        <v>5</v>
      </c>
    </row>
    <row r="6" spans="1:12" x14ac:dyDescent="0.3">
      <c r="A6">
        <v>0</v>
      </c>
      <c r="B6" s="8">
        <f>5</f>
        <v>5</v>
      </c>
      <c r="C6" s="8">
        <f>3</f>
        <v>3</v>
      </c>
      <c r="E6" s="8">
        <f xml:space="preserve"> 0.4</f>
        <v>0.4</v>
      </c>
    </row>
    <row r="7" spans="1:12" x14ac:dyDescent="0.3">
      <c r="A7">
        <v>1</v>
      </c>
      <c r="B7" s="8">
        <f xml:space="preserve"> B6 + $E$6</f>
        <v>5.4</v>
      </c>
      <c r="C7" s="8">
        <f xml:space="preserve"> C6 + $E$6 * (-0.25 * (C6 - 37))</f>
        <v>6.4</v>
      </c>
    </row>
    <row r="8" spans="1:12" x14ac:dyDescent="0.3">
      <c r="A8">
        <v>2</v>
      </c>
      <c r="B8" s="8">
        <f xml:space="preserve"> B7 + $E$6</f>
        <v>5.8000000000000007</v>
      </c>
      <c r="C8" s="9">
        <f xml:space="preserve"> C7 + $E$6 * (-0.25 * (C7 - 37))</f>
        <v>9.4600000000000009</v>
      </c>
    </row>
    <row r="12" spans="1:12" x14ac:dyDescent="0.3">
      <c r="A12" s="2">
        <v>5</v>
      </c>
    </row>
    <row r="14" spans="1:12" x14ac:dyDescent="0.3">
      <c r="A14" s="4" t="s">
        <v>5</v>
      </c>
      <c r="C14" s="15" t="s">
        <v>38</v>
      </c>
      <c r="D14">
        <v>0</v>
      </c>
      <c r="E14">
        <f xml:space="preserve"> D14 + $A$15</f>
        <v>0.125</v>
      </c>
      <c r="F14">
        <f t="shared" ref="F14:J14" si="0" xml:space="preserve"> E14 + $A$15</f>
        <v>0.25</v>
      </c>
      <c r="G14">
        <f t="shared" si="0"/>
        <v>0.375</v>
      </c>
      <c r="H14">
        <f t="shared" si="0"/>
        <v>0.5</v>
      </c>
      <c r="I14">
        <f xml:space="preserve"> H14 + $A$15</f>
        <v>0.625</v>
      </c>
      <c r="J14">
        <f t="shared" si="0"/>
        <v>0.75</v>
      </c>
      <c r="K14">
        <f xml:space="preserve"> J14 + $A$15</f>
        <v>0.875</v>
      </c>
      <c r="L14">
        <f xml:space="preserve"> K14 + $A$15</f>
        <v>1</v>
      </c>
    </row>
    <row r="15" spans="1:12" x14ac:dyDescent="0.3">
      <c r="A15" s="8">
        <f>0.125</f>
        <v>0.125</v>
      </c>
      <c r="C15" s="15" t="s">
        <v>65</v>
      </c>
      <c r="D15" s="8">
        <f xml:space="preserve"> SQRT(6.25 * EXP(5*D14) + 1)</f>
        <v>2.6925824035672519</v>
      </c>
      <c r="E15" s="8">
        <f t="shared" ref="E15:G15" si="1" xml:space="preserve"> SQRT(6.25 * EXP(5*E14) + 1)</f>
        <v>3.5604125089589536</v>
      </c>
      <c r="F15" s="8">
        <f t="shared" si="1"/>
        <v>4.7764676785399178</v>
      </c>
      <c r="G15" s="8">
        <f t="shared" si="1"/>
        <v>6.4618201384798075</v>
      </c>
      <c r="H15" s="8">
        <f xml:space="preserve"> SQRT(6.25 * EXP(5*H14) + 1)</f>
        <v>8.7829714365012421</v>
      </c>
      <c r="I15" s="8">
        <f t="shared" ref="I15" si="2" xml:space="preserve"> SQRT(6.25 * EXP(5*I14) + 1)</f>
        <v>11.968681812737026</v>
      </c>
      <c r="J15" s="8">
        <f t="shared" ref="J15" si="3" xml:space="preserve"> SQRT(6.25 * EXP(5*J14) + 1)</f>
        <v>16.33268999584552</v>
      </c>
      <c r="K15" s="8">
        <f t="shared" ref="K15" si="4" xml:space="preserve"> SQRT(6.25 * EXP(5*K14) + 1)</f>
        <v>22.304685543661748</v>
      </c>
      <c r="L15" s="8">
        <f xml:space="preserve"> SQRT(6.25 * EXP(5*L14) + 1)</f>
        <v>30.472647479191952</v>
      </c>
    </row>
    <row r="17" spans="1:22" x14ac:dyDescent="0.3">
      <c r="A17" s="4" t="s">
        <v>67</v>
      </c>
      <c r="C17" s="15" t="s">
        <v>38</v>
      </c>
      <c r="D17">
        <v>0</v>
      </c>
      <c r="E17" s="8">
        <f xml:space="preserve"> D17 + $A$18</f>
        <v>6.25E-2</v>
      </c>
      <c r="F17" s="8">
        <f t="shared" ref="F17:T17" si="5" xml:space="preserve"> E17 + $A$18</f>
        <v>0.125</v>
      </c>
      <c r="G17" s="8">
        <f t="shared" si="5"/>
        <v>0.1875</v>
      </c>
      <c r="H17" s="8">
        <f t="shared" si="5"/>
        <v>0.25</v>
      </c>
      <c r="I17" s="8">
        <f t="shared" si="5"/>
        <v>0.3125</v>
      </c>
      <c r="J17" s="8">
        <f t="shared" si="5"/>
        <v>0.375</v>
      </c>
      <c r="K17" s="8">
        <f t="shared" si="5"/>
        <v>0.4375</v>
      </c>
      <c r="L17" s="8">
        <f t="shared" si="5"/>
        <v>0.5</v>
      </c>
      <c r="M17" s="8">
        <f t="shared" si="5"/>
        <v>0.5625</v>
      </c>
      <c r="N17" s="8">
        <f t="shared" si="5"/>
        <v>0.625</v>
      </c>
      <c r="O17" s="8">
        <f t="shared" si="5"/>
        <v>0.6875</v>
      </c>
      <c r="P17" s="8">
        <f xml:space="preserve"> O17 + $A$18</f>
        <v>0.75</v>
      </c>
      <c r="Q17" s="8">
        <f t="shared" si="5"/>
        <v>0.8125</v>
      </c>
      <c r="R17" s="8">
        <f t="shared" si="5"/>
        <v>0.875</v>
      </c>
      <c r="S17" s="8">
        <f t="shared" si="5"/>
        <v>0.9375</v>
      </c>
      <c r="T17" s="8">
        <f t="shared" si="5"/>
        <v>1</v>
      </c>
    </row>
    <row r="18" spans="1:22" x14ac:dyDescent="0.3">
      <c r="A18" s="9">
        <f xml:space="preserve"> $A$15/2</f>
        <v>6.25E-2</v>
      </c>
      <c r="C18" s="15" t="s">
        <v>65</v>
      </c>
      <c r="D18" s="8">
        <f xml:space="preserve"> SQRT(6.25 * EXP(5*D17) + 1)</f>
        <v>2.6925824035672519</v>
      </c>
      <c r="E18" s="8">
        <f t="shared" ref="E18:T18" si="6" xml:space="preserve"> SQRT(6.25 * EXP(5*E17) + 1)</f>
        <v>3.0891321001757479</v>
      </c>
      <c r="F18" s="8">
        <f t="shared" si="6"/>
        <v>3.5604125089589536</v>
      </c>
      <c r="G18" s="8">
        <f t="shared" si="6"/>
        <v>4.118244056985124</v>
      </c>
      <c r="H18" s="8">
        <f t="shared" si="6"/>
        <v>4.7764676785399178</v>
      </c>
      <c r="I18" s="8">
        <f t="shared" si="6"/>
        <v>5.551313573137219</v>
      </c>
      <c r="J18" s="8">
        <f t="shared" si="6"/>
        <v>6.4618201384798075</v>
      </c>
      <c r="K18" s="8">
        <f t="shared" si="6"/>
        <v>7.5303149756495644</v>
      </c>
      <c r="L18" s="8">
        <f t="shared" si="6"/>
        <v>8.7829714365012421</v>
      </c>
      <c r="M18" s="8">
        <f t="shared" si="6"/>
        <v>10.250455771455403</v>
      </c>
      <c r="N18" s="8">
        <f t="shared" si="6"/>
        <v>11.968681812737026</v>
      </c>
      <c r="O18" s="8">
        <f t="shared" si="6"/>
        <v>13.979692448102993</v>
      </c>
      <c r="P18" s="8">
        <f t="shared" si="6"/>
        <v>16.33268999584552</v>
      </c>
      <c r="Q18" s="8">
        <f t="shared" si="6"/>
        <v>19.085241054517752</v>
      </c>
      <c r="R18" s="8">
        <f t="shared" si="6"/>
        <v>22.304685543661748</v>
      </c>
      <c r="S18" s="8">
        <f t="shared" si="6"/>
        <v>26.069784562399725</v>
      </c>
      <c r="T18" s="8">
        <f t="shared" si="6"/>
        <v>30.472647479191952</v>
      </c>
    </row>
    <row r="20" spans="1:22" x14ac:dyDescent="0.3">
      <c r="A20" s="4" t="s">
        <v>69</v>
      </c>
      <c r="C20" s="15" t="s">
        <v>38</v>
      </c>
      <c r="D20">
        <v>0</v>
      </c>
      <c r="E20" s="8">
        <f xml:space="preserve"> D20 + $A$21</f>
        <v>3.125E-2</v>
      </c>
      <c r="F20" s="8">
        <f t="shared" ref="F20:T20" si="7" xml:space="preserve"> E20 + $A$21</f>
        <v>6.25E-2</v>
      </c>
      <c r="G20" s="8">
        <f t="shared" si="7"/>
        <v>9.375E-2</v>
      </c>
      <c r="H20" s="8">
        <f t="shared" si="7"/>
        <v>0.125</v>
      </c>
      <c r="I20" s="8">
        <f t="shared" si="7"/>
        <v>0.15625</v>
      </c>
      <c r="J20" s="8">
        <f t="shared" si="7"/>
        <v>0.1875</v>
      </c>
      <c r="K20" s="8">
        <f t="shared" si="7"/>
        <v>0.21875</v>
      </c>
      <c r="L20" s="8">
        <f t="shared" si="7"/>
        <v>0.25</v>
      </c>
      <c r="M20" s="8">
        <f t="shared" si="7"/>
        <v>0.28125</v>
      </c>
      <c r="N20" s="8">
        <f t="shared" si="7"/>
        <v>0.3125</v>
      </c>
      <c r="O20" s="8">
        <f t="shared" si="7"/>
        <v>0.34375</v>
      </c>
      <c r="P20" s="8">
        <f t="shared" si="7"/>
        <v>0.375</v>
      </c>
      <c r="Q20" s="8">
        <f t="shared" si="7"/>
        <v>0.40625</v>
      </c>
      <c r="R20" s="8">
        <f t="shared" si="7"/>
        <v>0.4375</v>
      </c>
      <c r="S20" s="8">
        <f t="shared" si="7"/>
        <v>0.46875</v>
      </c>
      <c r="T20" s="8">
        <f t="shared" si="7"/>
        <v>0.5</v>
      </c>
      <c r="U20" s="8"/>
      <c r="V20" s="8"/>
    </row>
    <row r="21" spans="1:22" x14ac:dyDescent="0.3">
      <c r="A21" s="8">
        <f>$A$15/4</f>
        <v>3.125E-2</v>
      </c>
      <c r="C21" s="15" t="s">
        <v>65</v>
      </c>
      <c r="D21" s="8">
        <f xml:space="preserve"> SQRT(6.25 * EXP(5*D20) + 1)</f>
        <v>2.6925824035672519</v>
      </c>
      <c r="E21" s="8">
        <f t="shared" ref="E21:T21" si="8" xml:space="preserve"> SQRT(6.25 * EXP(5*E20) + 1)</f>
        <v>2.8821849851387751</v>
      </c>
      <c r="F21" s="8">
        <f t="shared" si="8"/>
        <v>3.0891321001757479</v>
      </c>
      <c r="G21" s="8">
        <f t="shared" si="8"/>
        <v>3.3147355191917587</v>
      </c>
      <c r="H21" s="8">
        <f t="shared" si="8"/>
        <v>3.5604125089589536</v>
      </c>
      <c r="I21" s="8">
        <f t="shared" si="8"/>
        <v>3.8276957908900768</v>
      </c>
      <c r="J21" s="8">
        <f t="shared" si="8"/>
        <v>4.118244056985124</v>
      </c>
      <c r="K21" s="8">
        <f t="shared" si="8"/>
        <v>4.4338531066143219</v>
      </c>
      <c r="L21" s="8">
        <f t="shared" si="8"/>
        <v>4.7764676785399178</v>
      </c>
      <c r="M21" s="8">
        <f t="shared" si="8"/>
        <v>5.1481940614078816</v>
      </c>
      <c r="N21" s="8">
        <f t="shared" si="8"/>
        <v>5.551313573137219</v>
      </c>
      <c r="O21" s="8">
        <f t="shared" si="8"/>
        <v>5.9882970058227212</v>
      </c>
      <c r="P21" s="8">
        <f t="shared" si="8"/>
        <v>6.4618201384798075</v>
      </c>
      <c r="Q21" s="8">
        <f t="shared" si="8"/>
        <v>6.974780425626645</v>
      </c>
      <c r="R21" s="8">
        <f t="shared" si="8"/>
        <v>7.5303149756495644</v>
      </c>
      <c r="S21" s="8">
        <f t="shared" si="8"/>
        <v>8.1318199393795805</v>
      </c>
      <c r="T21" s="8">
        <f t="shared" si="8"/>
        <v>8.7829714365012421</v>
      </c>
    </row>
    <row r="23" spans="1:22" x14ac:dyDescent="0.3">
      <c r="C23" s="15" t="s">
        <v>38</v>
      </c>
      <c r="D23" s="8">
        <f xml:space="preserve"> T20 + $A$21</f>
        <v>0.53125</v>
      </c>
      <c r="E23" s="8">
        <f xml:space="preserve"> D23 + $A$21</f>
        <v>0.5625</v>
      </c>
      <c r="F23" s="8">
        <f t="shared" ref="F23:S23" si="9" xml:space="preserve"> E23 + $A$21</f>
        <v>0.59375</v>
      </c>
      <c r="G23" s="8">
        <f t="shared" si="9"/>
        <v>0.625</v>
      </c>
      <c r="H23" s="8">
        <f t="shared" si="9"/>
        <v>0.65625</v>
      </c>
      <c r="I23" s="8">
        <f t="shared" si="9"/>
        <v>0.6875</v>
      </c>
      <c r="J23" s="8">
        <f t="shared" si="9"/>
        <v>0.71875</v>
      </c>
      <c r="K23" s="8">
        <f t="shared" si="9"/>
        <v>0.75</v>
      </c>
      <c r="L23" s="8">
        <f t="shared" si="9"/>
        <v>0.78125</v>
      </c>
      <c r="M23" s="8">
        <f t="shared" si="9"/>
        <v>0.8125</v>
      </c>
      <c r="N23" s="8">
        <f t="shared" si="9"/>
        <v>0.84375</v>
      </c>
      <c r="O23" s="8">
        <f t="shared" si="9"/>
        <v>0.875</v>
      </c>
      <c r="P23" s="8">
        <f t="shared" si="9"/>
        <v>0.90625</v>
      </c>
      <c r="Q23" s="8">
        <f t="shared" si="9"/>
        <v>0.9375</v>
      </c>
      <c r="R23" s="8">
        <f t="shared" si="9"/>
        <v>0.96875</v>
      </c>
      <c r="S23" s="8">
        <f t="shared" si="9"/>
        <v>1</v>
      </c>
      <c r="T23" s="8"/>
    </row>
    <row r="24" spans="1:22" x14ac:dyDescent="0.3">
      <c r="C24" s="15" t="s">
        <v>65</v>
      </c>
      <c r="D24" s="8">
        <f xml:space="preserve"> SQRT(6.25 * EXP(5*D23) + 1)</f>
        <v>9.4877481554525804</v>
      </c>
      <c r="E24" s="8">
        <f t="shared" ref="E24:S24" si="10" xml:space="preserve"> SQRT(6.25 * EXP(5*E23) + 1)</f>
        <v>10.250455771455403</v>
      </c>
      <c r="F24" s="8">
        <f t="shared" si="10"/>
        <v>11.075753337317291</v>
      </c>
      <c r="G24" s="8">
        <f t="shared" si="10"/>
        <v>11.968681812737026</v>
      </c>
      <c r="H24" s="8">
        <f t="shared" si="10"/>
        <v>12.934694910087002</v>
      </c>
      <c r="I24" s="8">
        <f t="shared" si="10"/>
        <v>13.979692448102993</v>
      </c>
      <c r="J24" s="8">
        <f t="shared" si="10"/>
        <v>15.11005641965175</v>
      </c>
      <c r="K24" s="8">
        <f t="shared" si="10"/>
        <v>16.33268999584552</v>
      </c>
      <c r="L24" s="8">
        <f t="shared" si="10"/>
        <v>17.655059706313562</v>
      </c>
      <c r="M24" s="8">
        <f t="shared" si="10"/>
        <v>19.085241054517752</v>
      </c>
      <c r="N24" s="8">
        <f t="shared" si="10"/>
        <v>20.631967847717242</v>
      </c>
      <c r="O24" s="8">
        <f t="shared" si="10"/>
        <v>22.304685543661748</v>
      </c>
      <c r="P24" s="8">
        <f t="shared" si="10"/>
        <v>24.113608940452913</v>
      </c>
      <c r="Q24" s="8">
        <f t="shared" si="10"/>
        <v>26.069784562399725</v>
      </c>
      <c r="R24" s="8">
        <f t="shared" si="10"/>
        <v>28.185158123261651</v>
      </c>
      <c r="S24" s="8">
        <f t="shared" si="10"/>
        <v>30.472647479191952</v>
      </c>
      <c r="T24" s="8"/>
    </row>
    <row r="27" spans="1:22" x14ac:dyDescent="0.3">
      <c r="A27" s="4" t="s">
        <v>43</v>
      </c>
      <c r="I27" s="4" t="s">
        <v>19</v>
      </c>
    </row>
    <row r="28" spans="1:22" x14ac:dyDescent="0.3">
      <c r="A28" s="4" t="s">
        <v>39</v>
      </c>
      <c r="B28" s="9">
        <f xml:space="preserve"> $A$15/2 * ( D15 + 2*E15 + 2*F15 + 2*G15 + 2*H15 + 2*I15 + 2*J15 + 2*K15 + L15)</f>
        <v>11.346293007012978</v>
      </c>
      <c r="D28" s="4" t="s">
        <v>21</v>
      </c>
      <c r="F28" s="4" t="s">
        <v>42</v>
      </c>
      <c r="I28" s="4" t="s">
        <v>39</v>
      </c>
      <c r="J28" s="9">
        <f xml:space="preserve"> $A$15/3 * ( D15 + 4*E15 + 2*F15 + 4*G15 + 2*H15 + 4*I15 + 2*J15 + 4*K15 + L15)</f>
        <v>11.255495338328446</v>
      </c>
      <c r="L28" s="4" t="s">
        <v>21</v>
      </c>
      <c r="N28" s="4" t="s">
        <v>42</v>
      </c>
    </row>
    <row r="29" spans="1:22" x14ac:dyDescent="0.3">
      <c r="A29" s="4" t="s">
        <v>40</v>
      </c>
      <c r="B29" s="9">
        <f xml:space="preserve"> $A$18/2 * ( D18 + 2*E18 + 2*F18 + 2*G18 + 2*H18 + 2*I18 + 2*J18 + 2*K18 + 2*L18 + 2*M18 + 2*N18 + 2*O18 + 2*P18 + 2*Q18 + 2*R18 + 2*S18 + T18)</f>
        <v>11.27778266240796</v>
      </c>
      <c r="D29" s="9">
        <f xml:space="preserve"> ($B$29-$B$28) / ($B$30-$B$29)</f>
        <v>3.993940275742375</v>
      </c>
      <c r="F29" s="9">
        <f xml:space="preserve"> ($B$30 - $B$29) / 3</f>
        <v>-5.7178575437664136E-3</v>
      </c>
      <c r="I29" s="4" t="s">
        <v>40</v>
      </c>
      <c r="J29" s="9">
        <f xml:space="preserve"> $A$18/3 * ( D18 + 4*E18 + 2*F18 + 4*G18 + 2*H18 + 4*I18 + 2*J18 + 4*K18 + 2*L18 + 4*M18 + 2*N18 + 4*O18 + 2*P18 + 4*Q18 + 2*R18 + 4*S18 + T18)</f>
        <v>11.254945880872954</v>
      </c>
      <c r="L29" s="9">
        <f xml:space="preserve"> ($J$29-$J$28) / ($J$30-$J$29)</f>
        <v>15.857980412867589</v>
      </c>
      <c r="N29" s="22">
        <f xml:space="preserve"> ABS(($J$30 - $J$29) / 15)</f>
        <v>2.3099093377017727E-6</v>
      </c>
    </row>
    <row r="30" spans="1:22" x14ac:dyDescent="0.3">
      <c r="A30" s="4" t="s">
        <v>41</v>
      </c>
      <c r="B30" s="9">
        <f xml:space="preserve"> $A$21/2 * ( D21 + 2*E21 + 2*F21 + 2*G21 + 2*H21 + 2*I21 + 2*J21 + 2*K21 + 2*L21 + 2*M21 + 2*N21 + 2*O21 + 2*P21 + 2*Q21 + 2*R21 + 2*S21 + 2*T21 + 2*D24 + 2*E24 + 2*F24 + 2*G24 + 2*H24 + 2*I24 + 2*J24 + 2*K24 + 2* L24 + 2* M24 + 2*N24 + 2*O24 + 2*P24+2*Q24+2*R24+ S24)</f>
        <v>11.260629089776661</v>
      </c>
      <c r="I30" s="4" t="s">
        <v>41</v>
      </c>
      <c r="J30" s="9">
        <f xml:space="preserve"> $A$21/3 * ( D21 + 4*E21 + 2*F21 + 4*G21 + 2*H21 + 4*I21 + 2*J21 + 4*K21 + 2*L21 + 4*M21 + 2*N21 + 4*O21 + 2*P21 + 4*Q21 + 2*R21 + 4*S21 + 2*T21 + 4*D24 + 2*E24 + 4*F24 + 2*G24 + 4*H24 + 2*I24 + 4*J24 + 2*K24 + 4* L24 + 2* M24 + 4*N24 + 2*O24 + 4*P24+2*Q24+4*R24+ S24)</f>
        <v>11.254911232232889</v>
      </c>
    </row>
    <row r="34" spans="1:7" x14ac:dyDescent="0.3">
      <c r="A34" s="2">
        <v>7</v>
      </c>
    </row>
    <row r="36" spans="1:7" x14ac:dyDescent="0.3">
      <c r="A36" s="4" t="s">
        <v>75</v>
      </c>
    </row>
    <row r="37" spans="1:7" x14ac:dyDescent="0.3">
      <c r="A37" s="4" t="s">
        <v>2</v>
      </c>
      <c r="B37" s="4" t="s">
        <v>76</v>
      </c>
      <c r="C37" s="4" t="s">
        <v>77</v>
      </c>
      <c r="D37" s="4" t="s">
        <v>80</v>
      </c>
      <c r="E37" s="4" t="s">
        <v>78</v>
      </c>
      <c r="F37" s="4" t="s">
        <v>79</v>
      </c>
      <c r="G37" s="4" t="s">
        <v>81</v>
      </c>
    </row>
    <row r="38" spans="1:7" x14ac:dyDescent="0.3">
      <c r="A38">
        <v>0</v>
      </c>
      <c r="B38" s="8">
        <f>1.5</f>
        <v>1.5</v>
      </c>
      <c r="C38" s="8">
        <f>4.2</f>
        <v>4.2</v>
      </c>
      <c r="D38" s="8">
        <f xml:space="preserve"> (B38+C38) / 2</f>
        <v>2.85</v>
      </c>
      <c r="E38" s="8">
        <f xml:space="preserve"> B38^3 - 10 * SIN(B38) + 2.8</f>
        <v>-3.7999498660405449</v>
      </c>
      <c r="F38" s="8">
        <f xml:space="preserve"> C38^3 - 10 * SIN(C38) + 2.8</f>
        <v>85.603757724135889</v>
      </c>
      <c r="G38" s="8">
        <f xml:space="preserve"> D38^3 - 10 * SIN(D38) + 2.8</f>
        <v>23.074344876574557</v>
      </c>
    </row>
    <row r="39" spans="1:7" x14ac:dyDescent="0.3">
      <c r="A39">
        <v>1</v>
      </c>
      <c r="B39" s="8">
        <f xml:space="preserve"> IF(G38&lt;0,D38,B38)</f>
        <v>1.5</v>
      </c>
      <c r="C39" s="8">
        <f xml:space="preserve"> IF(G38&gt;0,D38,C38)</f>
        <v>2.85</v>
      </c>
      <c r="D39" s="8">
        <f xml:space="preserve"> (B39+C39) / 2</f>
        <v>2.1749999999999998</v>
      </c>
      <c r="E39" s="8">
        <f t="shared" ref="E39:E40" si="11" xml:space="preserve"> B39^3 - 10 * SIN(B39) + 2.8</f>
        <v>-3.7999498660405449</v>
      </c>
      <c r="F39" s="8">
        <f t="shared" ref="F39:F40" si="12" xml:space="preserve"> C39^3 - 10 * SIN(C39) + 2.8</f>
        <v>23.074344876574557</v>
      </c>
      <c r="G39" s="8">
        <f t="shared" ref="G39:G40" si="13" xml:space="preserve"> D39^3 - 10 * SIN(D39) + 2.8</f>
        <v>4.8595618022347358</v>
      </c>
    </row>
    <row r="40" spans="1:7" x14ac:dyDescent="0.3">
      <c r="A40">
        <v>2</v>
      </c>
      <c r="B40" s="8">
        <f xml:space="preserve"> IF(G39&lt;0,D39,B39)</f>
        <v>1.5</v>
      </c>
      <c r="C40" s="9">
        <f xml:space="preserve"> IF(G39&gt;0,D39,C39)</f>
        <v>2.1749999999999998</v>
      </c>
      <c r="D40" s="8">
        <f xml:space="preserve"> (B40+C40) / 2</f>
        <v>1.8374999999999999</v>
      </c>
      <c r="E40" s="8">
        <f t="shared" si="11"/>
        <v>-3.7999498660405449</v>
      </c>
      <c r="F40" s="8">
        <f t="shared" si="12"/>
        <v>4.8595618022347358</v>
      </c>
      <c r="G40" s="8">
        <f t="shared" si="13"/>
        <v>-0.64230244266062719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E55" sqref="E55"/>
    </sheetView>
  </sheetViews>
  <sheetFormatPr defaultRowHeight="14.4" x14ac:dyDescent="0.3"/>
  <cols>
    <col min="2" max="3" width="9" bestFit="1" customWidth="1"/>
    <col min="5" max="7" width="9.109375" bestFit="1" customWidth="1"/>
    <col min="11" max="11" width="11.109375" bestFit="1" customWidth="1"/>
    <col min="13" max="18" width="9.88671875" bestFit="1" customWidth="1"/>
  </cols>
  <sheetData>
    <row r="1" spans="1:7" x14ac:dyDescent="0.3">
      <c r="A1" s="25" t="s">
        <v>82</v>
      </c>
      <c r="B1" s="27"/>
      <c r="C1" s="27"/>
    </row>
    <row r="2" spans="1:7" x14ac:dyDescent="0.3">
      <c r="A2" s="2">
        <v>4</v>
      </c>
    </row>
    <row r="4" spans="1:7" x14ac:dyDescent="0.3">
      <c r="A4" s="25" t="s">
        <v>83</v>
      </c>
      <c r="B4" s="25"/>
    </row>
    <row r="5" spans="1:7" x14ac:dyDescent="0.3">
      <c r="A5" s="4" t="s">
        <v>2</v>
      </c>
      <c r="B5" s="4" t="s">
        <v>84</v>
      </c>
      <c r="C5" s="4" t="s">
        <v>85</v>
      </c>
      <c r="D5" s="4" t="s">
        <v>13</v>
      </c>
      <c r="E5" s="4" t="s">
        <v>86</v>
      </c>
      <c r="F5" s="4" t="s">
        <v>87</v>
      </c>
      <c r="G5" s="4" t="s">
        <v>88</v>
      </c>
    </row>
    <row r="6" spans="1:7" x14ac:dyDescent="0.3">
      <c r="A6">
        <v>0</v>
      </c>
      <c r="B6" s="30">
        <f>0</f>
        <v>0</v>
      </c>
      <c r="C6" s="30">
        <f>0.8</f>
        <v>0.8</v>
      </c>
      <c r="D6" s="30">
        <f xml:space="preserve"> (B6*F6 - C6*E6)/(F6-E6)</f>
        <v>0.65604400218331438</v>
      </c>
      <c r="E6" s="30">
        <f xml:space="preserve"> B6^7 + 0.5*B6 - 0.5</f>
        <v>-0.5</v>
      </c>
      <c r="F6" s="30">
        <f xml:space="preserve"> C6^7 + 0.5*C6 - 0.5</f>
        <v>0.10971520000000012</v>
      </c>
      <c r="G6" s="30">
        <f xml:space="preserve"> D6^7 + 0.5*D6 - 0.5</f>
        <v>-0.11967449482741721</v>
      </c>
    </row>
    <row r="7" spans="1:7" x14ac:dyDescent="0.3">
      <c r="A7">
        <v>1</v>
      </c>
      <c r="B7" s="31">
        <f>IF(G6&lt;0,D6,B6)</f>
        <v>0.65604400218331438</v>
      </c>
      <c r="C7" s="31">
        <f xml:space="preserve"> IF(G6&gt;0,D6,C6)</f>
        <v>0.8</v>
      </c>
      <c r="D7" s="31">
        <f t="shared" ref="D7:D9" si="0" xml:space="preserve"> (B7*F7 - C7*E7)/(F7-E7)</f>
        <v>0.73114703298445882</v>
      </c>
      <c r="E7" s="30">
        <f t="shared" ref="E7:E9" si="1" xml:space="preserve"> B7^7 + 0.5*B7 - 0.5</f>
        <v>-0.11967449482741721</v>
      </c>
      <c r="F7" s="30">
        <f t="shared" ref="F7:F9" si="2" xml:space="preserve"> C7^7 + 0.5*C7 - 0.5</f>
        <v>0.10971520000000012</v>
      </c>
      <c r="G7" s="30">
        <f t="shared" ref="G7:G9" si="3" xml:space="preserve"> D7^7 + 0.5*D7 - 0.5</f>
        <v>-2.2731658080862416E-2</v>
      </c>
    </row>
    <row r="8" spans="1:7" x14ac:dyDescent="0.3">
      <c r="A8">
        <v>2</v>
      </c>
      <c r="B8" s="31">
        <f t="shared" ref="B8:B9" si="4">IF(G7&lt;0,D7,B7)</f>
        <v>0.73114703298445882</v>
      </c>
      <c r="C8" s="31">
        <f t="shared" ref="C8:C9" si="5" xml:space="preserve"> IF(G7&gt;0,D7,C7)</f>
        <v>0.8</v>
      </c>
      <c r="D8" s="31">
        <f t="shared" si="0"/>
        <v>0.74296416573285984</v>
      </c>
      <c r="E8" s="30">
        <f t="shared" si="1"/>
        <v>-2.2731658080862416E-2</v>
      </c>
      <c r="F8" s="30">
        <f t="shared" si="2"/>
        <v>0.10971520000000012</v>
      </c>
      <c r="G8" s="30">
        <f t="shared" si="3"/>
        <v>-3.5567499058993812E-3</v>
      </c>
    </row>
    <row r="9" spans="1:7" x14ac:dyDescent="0.3">
      <c r="A9">
        <v>3</v>
      </c>
      <c r="B9" s="31">
        <f t="shared" si="4"/>
        <v>0.74296416573285984</v>
      </c>
      <c r="C9" s="31">
        <f t="shared" si="5"/>
        <v>0.8</v>
      </c>
      <c r="D9" s="31">
        <f t="shared" si="0"/>
        <v>0.74475509630597236</v>
      </c>
      <c r="E9" s="30">
        <f t="shared" si="1"/>
        <v>-3.5567499058993812E-3</v>
      </c>
      <c r="F9" s="30">
        <f t="shared" si="2"/>
        <v>0.10971520000000012</v>
      </c>
      <c r="G9" s="30">
        <f t="shared" si="3"/>
        <v>-5.3742465036060727E-4</v>
      </c>
    </row>
    <row r="13" spans="1:7" x14ac:dyDescent="0.3">
      <c r="A13" s="2">
        <v>5</v>
      </c>
    </row>
    <row r="15" spans="1:7" x14ac:dyDescent="0.3">
      <c r="A15" s="32" t="s">
        <v>61</v>
      </c>
      <c r="B15" s="32" t="s">
        <v>59</v>
      </c>
      <c r="C15" s="33" t="s">
        <v>62</v>
      </c>
      <c r="D15" s="33"/>
    </row>
    <row r="16" spans="1:7" x14ac:dyDescent="0.3">
      <c r="A16" s="32" t="s">
        <v>49</v>
      </c>
      <c r="B16" s="32" t="s">
        <v>59</v>
      </c>
      <c r="C16" s="33" t="s">
        <v>60</v>
      </c>
      <c r="D16" s="33"/>
    </row>
    <row r="18" spans="1:15" x14ac:dyDescent="0.3">
      <c r="A18" s="4" t="s">
        <v>1</v>
      </c>
    </row>
    <row r="19" spans="1:15" x14ac:dyDescent="0.3">
      <c r="A19" s="4" t="s">
        <v>2</v>
      </c>
      <c r="B19" s="4" t="s">
        <v>4</v>
      </c>
      <c r="C19" s="4" t="s">
        <v>3</v>
      </c>
      <c r="D19" s="4" t="s">
        <v>48</v>
      </c>
      <c r="E19" s="4" t="s">
        <v>49</v>
      </c>
      <c r="G19" s="4" t="s">
        <v>5</v>
      </c>
    </row>
    <row r="20" spans="1:15" x14ac:dyDescent="0.3">
      <c r="A20">
        <v>0</v>
      </c>
      <c r="B20" s="34">
        <f>0</f>
        <v>0</v>
      </c>
      <c r="C20" s="34">
        <f>0</f>
        <v>0</v>
      </c>
      <c r="D20" s="8">
        <f>1</f>
        <v>1</v>
      </c>
      <c r="E20" s="8">
        <f xml:space="preserve"> 0.5 + B20^2 + B20 *D20</f>
        <v>0.5</v>
      </c>
      <c r="G20" s="8">
        <f xml:space="preserve"> 0.25</f>
        <v>0.25</v>
      </c>
    </row>
    <row r="21" spans="1:15" x14ac:dyDescent="0.3">
      <c r="A21">
        <v>1</v>
      </c>
      <c r="B21" s="34">
        <f xml:space="preserve"> B20 + $G$20</f>
        <v>0.25</v>
      </c>
      <c r="C21" s="34">
        <f xml:space="preserve"> C20 + $G$20 * D20</f>
        <v>0.25</v>
      </c>
      <c r="D21" s="8">
        <f xml:space="preserve"> D20 + $G$20 * E20</f>
        <v>1.125</v>
      </c>
      <c r="E21" s="8">
        <f t="shared" ref="E21:E22" si="6" xml:space="preserve"> 0.5 + B21^2 + B21 *D21</f>
        <v>0.84375</v>
      </c>
    </row>
    <row r="22" spans="1:15" x14ac:dyDescent="0.3">
      <c r="A22">
        <v>2</v>
      </c>
      <c r="B22" s="34">
        <f xml:space="preserve"> B21 + $G$20</f>
        <v>0.5</v>
      </c>
      <c r="C22" s="34">
        <f xml:space="preserve"> C21 + $G$20 * D21</f>
        <v>0.53125</v>
      </c>
      <c r="D22" s="8">
        <f xml:space="preserve"> D21 + $G$20 * E21</f>
        <v>1.3359375</v>
      </c>
      <c r="E22" s="8">
        <f t="shared" si="6"/>
        <v>1.41796875</v>
      </c>
    </row>
    <row r="24" spans="1:15" x14ac:dyDescent="0.3">
      <c r="A24" s="20"/>
    </row>
    <row r="25" spans="1:15" x14ac:dyDescent="0.3">
      <c r="A25" s="25" t="s">
        <v>6</v>
      </c>
      <c r="B25" s="25"/>
    </row>
    <row r="26" spans="1:15" x14ac:dyDescent="0.3">
      <c r="A26" s="4" t="s">
        <v>2</v>
      </c>
      <c r="B26" s="4" t="s">
        <v>4</v>
      </c>
      <c r="C26" s="4" t="s">
        <v>3</v>
      </c>
      <c r="D26" s="4" t="s">
        <v>48</v>
      </c>
      <c r="E26" s="4" t="s">
        <v>49</v>
      </c>
      <c r="F26" s="16"/>
      <c r="G26" s="4" t="s">
        <v>92</v>
      </c>
      <c r="H26" s="4" t="s">
        <v>89</v>
      </c>
      <c r="I26" s="4" t="s">
        <v>90</v>
      </c>
      <c r="J26" s="4" t="s">
        <v>91</v>
      </c>
      <c r="K26" s="16"/>
      <c r="L26" s="4" t="s">
        <v>93</v>
      </c>
      <c r="M26" s="4" t="s">
        <v>94</v>
      </c>
      <c r="N26" s="4" t="s">
        <v>95</v>
      </c>
      <c r="O26" s="4" t="s">
        <v>96</v>
      </c>
    </row>
    <row r="27" spans="1:15" x14ac:dyDescent="0.3">
      <c r="A27">
        <v>0</v>
      </c>
      <c r="B27" s="34">
        <f>0</f>
        <v>0</v>
      </c>
      <c r="C27" s="34">
        <f>0</f>
        <v>0</v>
      </c>
      <c r="D27" s="8">
        <f>1</f>
        <v>1</v>
      </c>
      <c r="E27" s="8">
        <f xml:space="preserve"> 0.5 + B27^2 + B27 *D27</f>
        <v>0.5</v>
      </c>
      <c r="G27" s="8">
        <f xml:space="preserve"> $G$20 * D27</f>
        <v>0.25</v>
      </c>
      <c r="H27" s="8">
        <f xml:space="preserve"> $G$20 * (D27 + L27/2)</f>
        <v>0.265625</v>
      </c>
      <c r="I27" s="8">
        <f xml:space="preserve"> $G$20 * (D27 + M27/2)</f>
        <v>0.270263671875</v>
      </c>
      <c r="J27" s="8">
        <f xml:space="preserve"> $G$20 * (D27 + N27)</f>
        <v>0.29067230224609375</v>
      </c>
      <c r="L27" s="8">
        <f xml:space="preserve"> $G$20 * E27</f>
        <v>0.125</v>
      </c>
      <c r="M27" s="8">
        <f xml:space="preserve"> $G$20 * ( 0.5 + (B27+ $G$20/2)^2 + (B27+ $G$20/2)*(D27 + L27/2))</f>
        <v>0.162109375</v>
      </c>
      <c r="N27" s="8">
        <f xml:space="preserve"> $G$20 * ( 0.5 + (B27+ $G$20/2)^2 + (B27+ $G$20/2)*(D27 + M27/2))</f>
        <v>0.162689208984375</v>
      </c>
      <c r="O27" s="8">
        <f xml:space="preserve"> $G$20 * ( 0.5 + (B27+ $G$20)^2 + (B27+ $G$20)*(D27 + N27))</f>
        <v>0.21329307556152344</v>
      </c>
    </row>
    <row r="28" spans="1:15" x14ac:dyDescent="0.3">
      <c r="A28">
        <v>1</v>
      </c>
      <c r="B28" s="34">
        <f xml:space="preserve"> B27 + $G$20</f>
        <v>0.25</v>
      </c>
      <c r="C28" s="34">
        <f xml:space="preserve"> C27 + G27/6 + H27/3 + I27/3 + J27/6</f>
        <v>0.26874160766601563</v>
      </c>
      <c r="D28" s="8">
        <f xml:space="preserve"> D27 + L27/6 + M27/3 + N27/3 + O27/6</f>
        <v>1.1646483739217122</v>
      </c>
      <c r="E28" s="8">
        <f t="shared" ref="E28:E29" si="7" xml:space="preserve"> 0.5 + B28^2 + B28 *D28</f>
        <v>0.85366209348042799</v>
      </c>
      <c r="G28" s="8">
        <f t="shared" ref="G28:G29" si="8" xml:space="preserve"> $G$20 * D28</f>
        <v>0.29116209348042804</v>
      </c>
      <c r="H28" s="8">
        <f t="shared" ref="H28:H29" si="9" xml:space="preserve"> $G$20 * (D28 + L28/2)</f>
        <v>0.31783903390169144</v>
      </c>
      <c r="I28" s="8">
        <f t="shared" ref="I28:I29" si="10" xml:space="preserve"> $G$20 * (D28 + M28/2)</f>
        <v>0.32608032944456983</v>
      </c>
      <c r="J28" s="8">
        <f t="shared" ref="J28:J29" si="11" xml:space="preserve"> $G$20 * (D28 + N28)</f>
        <v>0.36177118686585646</v>
      </c>
      <c r="L28" s="8">
        <f t="shared" ref="L28:L29" si="12" xml:space="preserve"> $G$20 * E28</f>
        <v>0.213415523370107</v>
      </c>
      <c r="M28" s="8">
        <f t="shared" ref="M28:M29" si="13" xml:space="preserve"> $G$20 * ( 0.5 + (B28+ $G$20/2)^2 + (B28+ $G$20/2)*(D28 + L28/2))</f>
        <v>0.27934588771313429</v>
      </c>
      <c r="N28" s="8">
        <f t="shared" ref="N28:N29" si="14" xml:space="preserve"> $G$20 * ( 0.5 + (B28+ $G$20/2)^2 + (B28+ $G$20/2)*(D28 + M28/2))</f>
        <v>0.28243637354171369</v>
      </c>
      <c r="O28" s="8">
        <f t="shared" ref="O28:O29" si="15" xml:space="preserve"> $G$20 * ( 0.5 + (B28+ $G$20)^2 + (B28+ $G$20)*(D28 + N28))</f>
        <v>0.3683855934329282</v>
      </c>
    </row>
    <row r="29" spans="1:15" x14ac:dyDescent="0.3">
      <c r="A29">
        <v>2</v>
      </c>
      <c r="B29" s="34">
        <f xml:space="preserve"> B28 + $G$20</f>
        <v>0.5</v>
      </c>
      <c r="C29" s="34">
        <f xml:space="preserve"> C28 + G28/6 + H28/3 + I28/3 + J28/6</f>
        <v>0.59220360883915002</v>
      </c>
      <c r="D29" s="8">
        <f xml:space="preserve"> D28 + L28/6 + M28/3 + N28/3 + O28/6</f>
        <v>1.448875980473834</v>
      </c>
      <c r="E29" s="8">
        <f t="shared" si="7"/>
        <v>1.4744379902369169</v>
      </c>
      <c r="G29" s="8">
        <f t="shared" si="8"/>
        <v>0.36221899511845851</v>
      </c>
      <c r="H29" s="8">
        <f t="shared" si="9"/>
        <v>0.40829518231336215</v>
      </c>
      <c r="I29" s="8">
        <f t="shared" si="10"/>
        <v>0.42194908748668991</v>
      </c>
      <c r="J29" s="8">
        <f t="shared" si="11"/>
        <v>0.48381260253825381</v>
      </c>
      <c r="L29" s="8">
        <f t="shared" si="12"/>
        <v>0.36860949755922923</v>
      </c>
      <c r="M29" s="8">
        <f t="shared" si="13"/>
        <v>0.47784073894585133</v>
      </c>
      <c r="N29" s="8">
        <f t="shared" si="14"/>
        <v>0.48637442967918121</v>
      </c>
      <c r="O29" s="8">
        <f t="shared" si="15"/>
        <v>0.62848445190369029</v>
      </c>
    </row>
    <row r="33" spans="1:18" x14ac:dyDescent="0.3">
      <c r="A33" s="2">
        <v>6</v>
      </c>
    </row>
    <row r="35" spans="1:18" x14ac:dyDescent="0.3">
      <c r="A35" s="35" t="s">
        <v>97</v>
      </c>
      <c r="B35" s="35" t="s">
        <v>59</v>
      </c>
      <c r="C35" s="36" t="s">
        <v>98</v>
      </c>
      <c r="D35" s="36"/>
      <c r="E35" s="36"/>
    </row>
    <row r="37" spans="1:18" x14ac:dyDescent="0.3">
      <c r="A37" s="4" t="s">
        <v>5</v>
      </c>
      <c r="B37" s="34">
        <f>0.5</f>
        <v>0.5</v>
      </c>
      <c r="H37" s="4" t="s">
        <v>67</v>
      </c>
      <c r="I37" s="34">
        <f xml:space="preserve"> $B$37/2</f>
        <v>0.25</v>
      </c>
    </row>
    <row r="39" spans="1:18" x14ac:dyDescent="0.3">
      <c r="A39" s="4" t="s">
        <v>38</v>
      </c>
      <c r="B39" s="8">
        <v>0</v>
      </c>
      <c r="C39" s="8">
        <f xml:space="preserve"> B39 + $B$37</f>
        <v>0.5</v>
      </c>
      <c r="D39" s="8">
        <f t="shared" ref="D39:E39" si="16" xml:space="preserve"> C39 + $B$37</f>
        <v>1</v>
      </c>
      <c r="E39" s="8">
        <f t="shared" si="16"/>
        <v>1.5</v>
      </c>
      <c r="F39" s="8">
        <f xml:space="preserve"> E39 + $B$37</f>
        <v>2</v>
      </c>
      <c r="H39" s="4" t="s">
        <v>38</v>
      </c>
      <c r="I39" s="8">
        <f>0</f>
        <v>0</v>
      </c>
      <c r="J39" s="8">
        <f xml:space="preserve"> I39 + $I$37</f>
        <v>0.25</v>
      </c>
      <c r="K39" s="8">
        <f t="shared" ref="K39:P39" si="17" xml:space="preserve"> J39 + $I$37</f>
        <v>0.5</v>
      </c>
      <c r="L39" s="8">
        <f t="shared" si="17"/>
        <v>0.75</v>
      </c>
      <c r="M39" s="8">
        <f t="shared" si="17"/>
        <v>1</v>
      </c>
      <c r="N39" s="8">
        <f t="shared" si="17"/>
        <v>1.25</v>
      </c>
      <c r="O39" s="8">
        <f t="shared" si="17"/>
        <v>1.5</v>
      </c>
      <c r="P39" s="8">
        <f t="shared" si="17"/>
        <v>1.75</v>
      </c>
      <c r="Q39" s="8">
        <f xml:space="preserve"> P39 + $I$37</f>
        <v>2</v>
      </c>
    </row>
    <row r="40" spans="1:18" x14ac:dyDescent="0.3">
      <c r="A40" s="4" t="s">
        <v>65</v>
      </c>
      <c r="B40" s="8">
        <f xml:space="preserve"> SQRT(2.25 * EXP(3*B39) + 1)</f>
        <v>1.8027756377319946</v>
      </c>
      <c r="C40" s="8">
        <f t="shared" ref="C40:F40" si="18" xml:space="preserve"> SQRT(2.25 * EXP(3*C39) + 1)</f>
        <v>3.3292342074808503</v>
      </c>
      <c r="D40" s="8">
        <f t="shared" si="18"/>
        <v>6.796503371379452</v>
      </c>
      <c r="E40" s="8">
        <f t="shared" si="18"/>
        <v>14.26669357020659</v>
      </c>
      <c r="F40" s="8">
        <f t="shared" si="18"/>
        <v>30.144896506019954</v>
      </c>
      <c r="H40" s="4" t="s">
        <v>65</v>
      </c>
      <c r="I40" s="8">
        <f xml:space="preserve"> SQRT(2.25 * EXP(3*I39) + 1)</f>
        <v>1.8027756377319946</v>
      </c>
      <c r="J40" s="8">
        <f t="shared" ref="J40:Q40" si="19" xml:space="preserve"> SQRT(2.25 * EXP(3*J39) + 1)</f>
        <v>2.4006769956365472</v>
      </c>
      <c r="K40" s="8">
        <f t="shared" si="19"/>
        <v>3.3292342074808503</v>
      </c>
      <c r="L40" s="8">
        <f t="shared" si="19"/>
        <v>4.7273042668953185</v>
      </c>
      <c r="M40" s="8">
        <f t="shared" si="19"/>
        <v>6.796503371379452</v>
      </c>
      <c r="N40" s="8">
        <f t="shared" si="19"/>
        <v>9.8322141199295121</v>
      </c>
      <c r="O40" s="8">
        <f t="shared" si="19"/>
        <v>14.26669357020659</v>
      </c>
      <c r="P40" s="8">
        <f t="shared" si="19"/>
        <v>20.730993802322104</v>
      </c>
      <c r="Q40" s="8">
        <f t="shared" si="19"/>
        <v>30.144896506019954</v>
      </c>
    </row>
    <row r="43" spans="1:18" x14ac:dyDescent="0.3">
      <c r="A43" s="4" t="s">
        <v>69</v>
      </c>
      <c r="B43" s="39">
        <f xml:space="preserve"> $B$37/4</f>
        <v>0.125</v>
      </c>
    </row>
    <row r="45" spans="1:18" x14ac:dyDescent="0.3">
      <c r="A45" s="4" t="s">
        <v>38</v>
      </c>
      <c r="B45" s="37">
        <f>0</f>
        <v>0</v>
      </c>
      <c r="C45" s="37">
        <f xml:space="preserve"> B45 + $B$43</f>
        <v>0.125</v>
      </c>
      <c r="D45" s="37">
        <f t="shared" ref="D45:R45" si="20" xml:space="preserve"> C45 + $B$43</f>
        <v>0.25</v>
      </c>
      <c r="E45" s="37">
        <f t="shared" si="20"/>
        <v>0.375</v>
      </c>
      <c r="F45" s="37">
        <f t="shared" si="20"/>
        <v>0.5</v>
      </c>
      <c r="G45" s="37">
        <f t="shared" si="20"/>
        <v>0.625</v>
      </c>
      <c r="H45" s="37">
        <f t="shared" si="20"/>
        <v>0.75</v>
      </c>
      <c r="I45" s="37">
        <f t="shared" si="20"/>
        <v>0.875</v>
      </c>
      <c r="J45" s="37">
        <f xml:space="preserve"> I45 + $B$43</f>
        <v>1</v>
      </c>
      <c r="K45" s="37">
        <f t="shared" si="20"/>
        <v>1.125</v>
      </c>
      <c r="L45" s="37">
        <f t="shared" si="20"/>
        <v>1.25</v>
      </c>
      <c r="M45" s="37">
        <f t="shared" si="20"/>
        <v>1.375</v>
      </c>
      <c r="N45" s="37">
        <f t="shared" si="20"/>
        <v>1.5</v>
      </c>
      <c r="O45" s="37">
        <f xml:space="preserve"> N45 + $B$43</f>
        <v>1.625</v>
      </c>
      <c r="P45" s="37">
        <f t="shared" si="20"/>
        <v>1.75</v>
      </c>
      <c r="Q45" s="37">
        <f t="shared" si="20"/>
        <v>1.875</v>
      </c>
      <c r="R45" s="37">
        <f t="shared" si="20"/>
        <v>2</v>
      </c>
    </row>
    <row r="46" spans="1:18" x14ac:dyDescent="0.3">
      <c r="A46" s="4" t="s">
        <v>65</v>
      </c>
      <c r="B46" s="37">
        <f xml:space="preserve"> SQRT(2.25 * EXP(3*B45) + 1)</f>
        <v>1.8027756377319946</v>
      </c>
      <c r="C46" s="37">
        <f t="shared" ref="C46:R46" si="21" xml:space="preserve"> SQRT(2.25 * EXP(3*C45) + 1)</f>
        <v>2.06730033688648</v>
      </c>
      <c r="D46" s="37">
        <f t="shared" si="21"/>
        <v>2.4006769956365472</v>
      </c>
      <c r="E46" s="37">
        <f t="shared" si="21"/>
        <v>2.8161121977054768</v>
      </c>
      <c r="F46" s="37">
        <f t="shared" si="21"/>
        <v>3.3292342074808503</v>
      </c>
      <c r="G46" s="37">
        <f t="shared" si="21"/>
        <v>3.9587678664886066</v>
      </c>
      <c r="H46" s="37">
        <f t="shared" si="21"/>
        <v>4.7273042668953185</v>
      </c>
      <c r="I46" s="37">
        <f t="shared" si="21"/>
        <v>5.6621808447497468</v>
      </c>
      <c r="J46" s="37">
        <f t="shared" si="21"/>
        <v>6.796503371379452</v>
      </c>
      <c r="K46" s="37">
        <f t="shared" si="21"/>
        <v>8.1703511863186531</v>
      </c>
      <c r="L46" s="37">
        <f t="shared" si="21"/>
        <v>9.8322141199295121</v>
      </c>
      <c r="M46" s="37">
        <f xml:space="preserve"> SQRT(2.25 * EXP(3*M45) + 1)</f>
        <v>11.840716651171403</v>
      </c>
      <c r="N46" s="37">
        <f xml:space="preserve"> SQRT(2.25 * EXP(3*N45) + 1)</f>
        <v>14.26669357020659</v>
      </c>
      <c r="O46" s="37">
        <f xml:space="preserve"> SQRT(2.25 * EXP(3*O45) + 1)</f>
        <v>17.195692621245062</v>
      </c>
      <c r="P46" s="37">
        <f xml:space="preserve"> SQRT(2.25 * EXP(3*P45) + 1)</f>
        <v>20.730993802322104</v>
      </c>
      <c r="Q46" s="37">
        <f xml:space="preserve"> SQRT(2.25 * EXP(3*Q45) + 1)</f>
        <v>24.99725265258267</v>
      </c>
      <c r="R46" s="37">
        <f xml:space="preserve"> SQRT(2.25 * EXP(3*R45) + 1)</f>
        <v>30.144896506019954</v>
      </c>
    </row>
    <row r="50" spans="1:11" x14ac:dyDescent="0.3">
      <c r="A50" s="4" t="s">
        <v>43</v>
      </c>
      <c r="G50" s="4" t="s">
        <v>19</v>
      </c>
    </row>
    <row r="51" spans="1:11" x14ac:dyDescent="0.3">
      <c r="A51" s="4" t="s">
        <v>39</v>
      </c>
      <c r="B51" s="34">
        <f xml:space="preserve"> $B$37/ 2 * (B40 + 2*C40 + 2*D40 + 2*E40 + F40)</f>
        <v>20.183133610471433</v>
      </c>
      <c r="D51" s="4" t="s">
        <v>21</v>
      </c>
      <c r="E51" s="34">
        <f xml:space="preserve"> (B52-B51)/(B53-B52)</f>
        <v>3.9657751564902726</v>
      </c>
      <c r="G51" s="4" t="s">
        <v>39</v>
      </c>
      <c r="H51" s="34">
        <f xml:space="preserve"> $B$37/3 * (B40 + 4*C40 + 2*D40 + 4*E40 + F40)</f>
        <v>19.320731666210101</v>
      </c>
      <c r="J51" s="4" t="s">
        <v>21</v>
      </c>
      <c r="K51" s="34">
        <f xml:space="preserve"> (H52-H51)/(H53-H52)</f>
        <v>15.225153114942547</v>
      </c>
    </row>
    <row r="52" spans="1:11" x14ac:dyDescent="0.3">
      <c r="A52" s="4" t="s">
        <v>40</v>
      </c>
      <c r="B52" s="34">
        <f xml:space="preserve"> $I$37/ 2 * (I40 + 2*J40 + 2*K40 + 2*L40 + 2*M40 + 2*N40 + 2*O40 + 2*P40 + Q40)</f>
        <v>19.514364101431589</v>
      </c>
      <c r="G52" s="4" t="s">
        <v>40</v>
      </c>
      <c r="H52" s="34">
        <f xml:space="preserve"> $I$37/3 * (I40 + 4*J40 + 2*K40 + 4*L40 + 2*M40 + 4*N40 + 2*O40 + 4*P40 + Q40)</f>
        <v>19.291440931751637</v>
      </c>
    </row>
    <row r="53" spans="1:11" x14ac:dyDescent="0.3">
      <c r="A53" s="4" t="s">
        <v>41</v>
      </c>
      <c r="B53" s="34">
        <f xml:space="preserve"> $B$43/ 2 * (B46 + 2*C46 + 2*D46 + 2*E46 + 2*F46 + 2*G46 + 2*H46 + 2*I46 + 2*J46 + 2*K46 + 2*L46 + 2*M46 + 2*N46 + 2*O46 + 2*P46 + 2*Q46 + R46)</f>
        <v>19.345728845359304</v>
      </c>
      <c r="D53" s="4" t="s">
        <v>42</v>
      </c>
      <c r="E53" s="31">
        <f xml:space="preserve"> (B53-B52)/3</f>
        <v>-5.6211752024095084E-2</v>
      </c>
      <c r="G53" s="4" t="s">
        <v>41</v>
      </c>
      <c r="H53" s="34">
        <f xml:space="preserve"> $B$43/3 * (B46 + 4*C46 + 2*D46 + 4*E46 + 2*F46 + 4*G46 + 2*H46 + 4*I46 + 2*J46 + 4*K46 + 2*L46 + 4*M46 + 2*N46 + 4*O46 + 2*P46 + 4*Q46 + R46)</f>
        <v>19.289517093335213</v>
      </c>
      <c r="J53" s="4" t="s">
        <v>42</v>
      </c>
      <c r="K53" s="38">
        <f xml:space="preserve"> (H53-H52)/15</f>
        <v>-1.2825589442826412E-4</v>
      </c>
    </row>
  </sheetData>
  <mergeCells count="6">
    <mergeCell ref="A1:C1"/>
    <mergeCell ref="A4:B4"/>
    <mergeCell ref="C15:D15"/>
    <mergeCell ref="C16:D16"/>
    <mergeCell ref="A25:B25"/>
    <mergeCell ref="C35:E3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2009 Recurso</vt:lpstr>
      <vt:lpstr>2009</vt:lpstr>
      <vt:lpstr>2010</vt:lpstr>
      <vt:lpstr>2013</vt:lpstr>
      <vt:lpstr>2014</vt:lpstr>
      <vt:lpstr>2015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Silva</dc:creator>
  <cp:lastModifiedBy>Sofia Silva</cp:lastModifiedBy>
  <dcterms:created xsi:type="dcterms:W3CDTF">2017-01-03T17:05:33Z</dcterms:created>
  <dcterms:modified xsi:type="dcterms:W3CDTF">2017-01-23T17:07:06Z</dcterms:modified>
</cp:coreProperties>
</file>