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mathi\OneDrive\Desktop\Folders\PythonSim\"/>
    </mc:Choice>
  </mc:AlternateContent>
  <xr:revisionPtr revIDLastSave="0" documentId="13_ncr:1_{41CD3FDA-75EC-4456-B15D-A20D4FD6CA5E}" xr6:coauthVersionLast="47" xr6:coauthVersionMax="47" xr10:uidLastSave="{00000000-0000-0000-0000-000000000000}"/>
  <bookViews>
    <workbookView xWindow="15675" yWindow="2700" windowWidth="12315" windowHeight="10035" activeTab="2" xr2:uid="{00000000-000D-0000-FFFF-FFFF00000000}"/>
  </bookViews>
  <sheets>
    <sheet name="Volume Calculations" sheetId="1" r:id="rId1"/>
    <sheet name="Engines" sheetId="2" r:id="rId2"/>
    <sheet name="Sheet2" sheetId="5" r:id="rId3"/>
    <sheet name="Sheet1" sheetId="4" r:id="rId4"/>
    <sheet name="Trajectory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B24" i="2"/>
  <c r="B26" i="2"/>
  <c r="G13" i="2"/>
  <c r="B13" i="2"/>
  <c r="G18" i="2"/>
  <c r="G20" i="2"/>
  <c r="G16" i="2" s="1"/>
  <c r="G15" i="2"/>
  <c r="G14" i="2"/>
  <c r="G30" i="2"/>
  <c r="B30" i="2"/>
  <c r="B15" i="2"/>
  <c r="B14" i="2"/>
  <c r="G9" i="2"/>
  <c r="B24" i="1"/>
  <c r="B8" i="3"/>
  <c r="C6" i="3"/>
  <c r="B7" i="3" s="1"/>
  <c r="B18" i="2"/>
  <c r="B9" i="2"/>
  <c r="B9" i="3" s="1"/>
  <c r="C6" i="2"/>
  <c r="B5" i="2"/>
  <c r="C5" i="2" s="1"/>
  <c r="B16" i="1"/>
  <c r="B14" i="1"/>
  <c r="B13" i="1"/>
  <c r="B12" i="1"/>
  <c r="C5" i="1"/>
  <c r="C4" i="1"/>
  <c r="B7" i="1" s="1"/>
  <c r="C25" i="1" l="1"/>
  <c r="B29" i="1"/>
  <c r="D29" i="1" s="1"/>
  <c r="B33" i="1" s="1"/>
  <c r="B20" i="2" s="1"/>
  <c r="B16" i="2" s="1"/>
  <c r="B11" i="3" l="1"/>
  <c r="B32" i="2"/>
  <c r="B36" i="2" s="1"/>
  <c r="B13" i="3" l="1"/>
  <c r="B14" i="3" l="1"/>
  <c r="B16" i="3" s="1"/>
  <c r="B18" i="3" l="1"/>
  <c r="B17" i="3"/>
  <c r="B19" i="3" l="1"/>
</calcChain>
</file>

<file path=xl/sharedStrings.xml><?xml version="1.0" encoding="utf-8"?>
<sst xmlns="http://schemas.openxmlformats.org/spreadsheetml/2006/main" count="146" uniqueCount="73">
  <si>
    <t>Supposed More Accurate Equations for Rocket Motion</t>
  </si>
  <si>
    <t>Useful terms:</t>
  </si>
  <si>
    <t>Assume:</t>
  </si>
  <si>
    <t>Cross-sectional area:</t>
  </si>
  <si>
    <t>m^2</t>
  </si>
  <si>
    <t>Cd:</t>
  </si>
  <si>
    <t>k:</t>
  </si>
  <si>
    <t>Air Density:</t>
  </si>
  <si>
    <t>kg/m^3</t>
  </si>
  <si>
    <t>burn time:</t>
  </si>
  <si>
    <t>s</t>
  </si>
  <si>
    <t>Total Thrust:</t>
  </si>
  <si>
    <t>N</t>
  </si>
  <si>
    <t>http://www.rocketmime.com/rockets/RocketEquations.pdf</t>
  </si>
  <si>
    <t>Rocket Mass Init</t>
  </si>
  <si>
    <t>kg</t>
  </si>
  <si>
    <t>q:</t>
  </si>
  <si>
    <t>x:</t>
  </si>
  <si>
    <t>boostVelocity</t>
  </si>
  <si>
    <t>m/s</t>
  </si>
  <si>
    <t>boostAlt</t>
  </si>
  <si>
    <t>m</t>
  </si>
  <si>
    <t>coastAlt</t>
  </si>
  <si>
    <t>totalAlt</t>
  </si>
  <si>
    <t>Engines:</t>
  </si>
  <si>
    <t>ESTES D12-5</t>
  </si>
  <si>
    <t>Number:</t>
  </si>
  <si>
    <t>Dimensions:</t>
  </si>
  <si>
    <t>cm</t>
  </si>
  <si>
    <t>Diameter:</t>
  </si>
  <si>
    <t>Height:</t>
  </si>
  <si>
    <t>Thrust:</t>
  </si>
  <si>
    <t>Burn Time:</t>
  </si>
  <si>
    <t>Max Lift Weight/u:</t>
  </si>
  <si>
    <t>Total Max Lift W</t>
  </si>
  <si>
    <t>Mass Struct:</t>
  </si>
  <si>
    <t>Payload Mass:</t>
  </si>
  <si>
    <t>Total Initial Mass</t>
  </si>
  <si>
    <t>TWR:</t>
  </si>
  <si>
    <t>Impulse:</t>
  </si>
  <si>
    <t>N*s</t>
  </si>
  <si>
    <t>Specific Impulse:</t>
  </si>
  <si>
    <t>Burn Velocity:</t>
  </si>
  <si>
    <t>Speed of Sound:</t>
  </si>
  <si>
    <t>Max Mach</t>
  </si>
  <si>
    <t>Body:</t>
  </si>
  <si>
    <t>Cone</t>
  </si>
  <si>
    <t>in</t>
  </si>
  <si>
    <t>Base:</t>
  </si>
  <si>
    <t>Volume=</t>
  </si>
  <si>
    <t>m^3</t>
  </si>
  <si>
    <t>Payload Bay:</t>
  </si>
  <si>
    <t>Truncated Cone</t>
  </si>
  <si>
    <t>R:</t>
  </si>
  <si>
    <t>r:</t>
  </si>
  <si>
    <t>h:</t>
  </si>
  <si>
    <t>Cyllinder</t>
  </si>
  <si>
    <t>Diam.:</t>
  </si>
  <si>
    <t>(Engines 3/4 in)</t>
  </si>
  <si>
    <t>x 30 engines:</t>
  </si>
  <si>
    <t>Total:</t>
  </si>
  <si>
    <t>Infill:</t>
  </si>
  <si>
    <t xml:space="preserve">Volume = </t>
  </si>
  <si>
    <t>Assuming full 3d-printed body:</t>
  </si>
  <si>
    <t>Density:</t>
  </si>
  <si>
    <t xml:space="preserve">Mass = </t>
  </si>
  <si>
    <t>ESTES F15-4</t>
  </si>
  <si>
    <t>Dry Mass/u</t>
  </si>
  <si>
    <t>Wet Mass/u</t>
  </si>
  <si>
    <t>Total Mass:</t>
  </si>
  <si>
    <t>Total Prop Mass</t>
  </si>
  <si>
    <t>Dry Mass:</t>
  </si>
  <si>
    <t>Total Mass/u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</si>
</sst>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#,##0.000000"/>
    <numFmt numFmtId="166" formatCode="#,##0.0000"/>
    <numFmt numFmtId="167" formatCode="#,##0.00%"/>
    <numFmt numFmtId="168" formatCode="#,##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rgb="FFFF9999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/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0" xfId="0" applyAlignment="1"/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4" fontId="0" fillId="0" borderId="0" xfId="0" applyNumberFormat="1" applyAlignment="1">
      <alignment horizontal="left"/>
    </xf>
    <xf numFmtId="164" fontId="0" fillId="0" borderId="0" xfId="0" applyNumberFormat="1" applyAlignment="1"/>
    <xf numFmtId="165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left"/>
    </xf>
    <xf numFmtId="164" fontId="0" fillId="0" borderId="0" xfId="0" applyNumberFormat="1" applyAlignment="1"/>
    <xf numFmtId="4" fontId="1" fillId="2" borderId="4" xfId="0" applyNumberFormat="1" applyFont="1" applyFill="1" applyBorder="1" applyAlignment="1">
      <alignment horizontal="left"/>
    </xf>
    <xf numFmtId="166" fontId="0" fillId="0" borderId="0" xfId="0" applyNumberFormat="1" applyAlignment="1"/>
    <xf numFmtId="3" fontId="0" fillId="0" borderId="0" xfId="0" applyNumberFormat="1" applyAlignment="1"/>
    <xf numFmtId="4" fontId="1" fillId="2" borderId="7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166" fontId="1" fillId="2" borderId="6" xfId="0" applyNumberFormat="1" applyFont="1" applyFill="1" applyBorder="1" applyAlignment="1">
      <alignment horizontal="left"/>
    </xf>
    <xf numFmtId="164" fontId="1" fillId="2" borderId="6" xfId="0" applyNumberFormat="1" applyFont="1" applyFill="1" applyBorder="1" applyAlignment="1">
      <alignment horizontal="right"/>
    </xf>
    <xf numFmtId="164" fontId="1" fillId="2" borderId="7" xfId="0" applyNumberFormat="1" applyFont="1" applyFill="1" applyBorder="1" applyAlignment="1">
      <alignment horizontal="right"/>
    </xf>
    <xf numFmtId="0" fontId="1" fillId="2" borderId="8" xfId="0" applyFont="1" applyFill="1" applyBorder="1" applyAlignment="1">
      <alignment horizontal="left"/>
    </xf>
    <xf numFmtId="4" fontId="1" fillId="2" borderId="10" xfId="0" applyNumberFormat="1" applyFont="1" applyFill="1" applyBorder="1" applyAlignment="1">
      <alignment horizontal="left"/>
    </xf>
    <xf numFmtId="166" fontId="0" fillId="0" borderId="0" xfId="0" applyNumberFormat="1" applyAlignment="1">
      <alignment horizontal="right"/>
    </xf>
    <xf numFmtId="4" fontId="1" fillId="3" borderId="4" xfId="0" applyNumberFormat="1" applyFont="1" applyFill="1" applyBorder="1" applyAlignment="1">
      <alignment horizontal="left"/>
    </xf>
    <xf numFmtId="4" fontId="1" fillId="3" borderId="7" xfId="0" applyNumberFormat="1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166" fontId="1" fillId="3" borderId="6" xfId="0" applyNumberFormat="1" applyFont="1" applyFill="1" applyBorder="1" applyAlignment="1">
      <alignment horizontal="left"/>
    </xf>
    <xf numFmtId="164" fontId="1" fillId="3" borderId="6" xfId="0" applyNumberFormat="1" applyFont="1" applyFill="1" applyBorder="1" applyAlignment="1">
      <alignment horizontal="right"/>
    </xf>
    <xf numFmtId="164" fontId="1" fillId="3" borderId="7" xfId="0" applyNumberFormat="1" applyFont="1" applyFill="1" applyBorder="1" applyAlignment="1">
      <alignment horizontal="right"/>
    </xf>
    <xf numFmtId="0" fontId="1" fillId="3" borderId="8" xfId="0" applyFont="1" applyFill="1" applyBorder="1" applyAlignment="1">
      <alignment horizontal="left"/>
    </xf>
    <xf numFmtId="4" fontId="1" fillId="3" borderId="10" xfId="0" applyNumberFormat="1" applyFont="1" applyFill="1" applyBorder="1" applyAlignment="1">
      <alignment horizontal="left"/>
    </xf>
    <xf numFmtId="4" fontId="1" fillId="3" borderId="3" xfId="0" applyNumberFormat="1" applyFont="1" applyFill="1" applyBorder="1" applyAlignment="1">
      <alignment horizontal="left"/>
    </xf>
    <xf numFmtId="166" fontId="1" fillId="3" borderId="4" xfId="0" applyNumberFormat="1" applyFont="1" applyFill="1" applyBorder="1" applyAlignment="1">
      <alignment horizontal="left"/>
    </xf>
    <xf numFmtId="4" fontId="1" fillId="3" borderId="6" xfId="0" applyNumberFormat="1" applyFont="1" applyFill="1" applyBorder="1" applyAlignment="1">
      <alignment horizontal="left"/>
    </xf>
    <xf numFmtId="166" fontId="1" fillId="3" borderId="7" xfId="0" applyNumberFormat="1" applyFont="1" applyFill="1" applyBorder="1" applyAlignment="1">
      <alignment horizontal="left"/>
    </xf>
    <xf numFmtId="4" fontId="1" fillId="3" borderId="6" xfId="0" applyNumberFormat="1" applyFont="1" applyFill="1" applyBorder="1" applyAlignment="1">
      <alignment horizontal="right"/>
    </xf>
    <xf numFmtId="166" fontId="1" fillId="3" borderId="10" xfId="0" applyNumberFormat="1" applyFont="1" applyFill="1" applyBorder="1" applyAlignment="1">
      <alignment horizontal="left"/>
    </xf>
    <xf numFmtId="166" fontId="1" fillId="0" borderId="1" xfId="0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0" xfId="0" applyNumberFormat="1" applyAlignment="1"/>
    <xf numFmtId="3" fontId="0" fillId="0" borderId="0" xfId="0" applyNumberFormat="1" applyAlignment="1"/>
    <xf numFmtId="0" fontId="1" fillId="0" borderId="1" xfId="0" applyFont="1" applyBorder="1" applyAlignment="1"/>
    <xf numFmtId="166" fontId="1" fillId="3" borderId="6" xfId="0" applyNumberFormat="1" applyFont="1" applyFill="1" applyBorder="1" applyAlignment="1">
      <alignment horizontal="right"/>
    </xf>
    <xf numFmtId="166" fontId="1" fillId="2" borderId="9" xfId="0" applyNumberFormat="1" applyFont="1" applyFill="1" applyBorder="1" applyAlignment="1">
      <alignment horizontal="right"/>
    </xf>
    <xf numFmtId="166" fontId="1" fillId="3" borderId="9" xfId="0" applyNumberFormat="1" applyFont="1" applyFill="1" applyBorder="1" applyAlignment="1">
      <alignment horizontal="right"/>
    </xf>
    <xf numFmtId="168" fontId="1" fillId="3" borderId="9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/>
    <xf numFmtId="164" fontId="0" fillId="0" borderId="0" xfId="0" applyNumberFormat="1" applyAlignment="1">
      <alignment horizontal="right"/>
    </xf>
    <xf numFmtId="164" fontId="1" fillId="0" borderId="1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6" fontId="3" fillId="2" borderId="6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6" fontId="3" fillId="3" borderId="3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6" fontId="3" fillId="3" borderId="6" xfId="0" applyNumberFormat="1" applyFont="1" applyFill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6" fontId="1" fillId="3" borderId="6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left"/>
    </xf>
    <xf numFmtId="166" fontId="1" fillId="3" borderId="1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Sheet2!$B$1:$B$100</c:f>
              <c:numCache>
                <c:formatCode>General</c:formatCode>
                <c:ptCount val="100"/>
                <c:pt idx="0">
                  <c:v>0</c:v>
                </c:pt>
                <c:pt idx="1">
                  <c:v>15.9</c:v>
                </c:pt>
                <c:pt idx="2">
                  <c:v>31.8</c:v>
                </c:pt>
                <c:pt idx="3">
                  <c:v>47.7</c:v>
                </c:pt>
                <c:pt idx="4">
                  <c:v>63.6</c:v>
                </c:pt>
                <c:pt idx="5">
                  <c:v>79.5</c:v>
                </c:pt>
                <c:pt idx="6">
                  <c:v>95.4</c:v>
                </c:pt>
                <c:pt idx="7">
                  <c:v>111.3</c:v>
                </c:pt>
                <c:pt idx="8">
                  <c:v>127.2</c:v>
                </c:pt>
                <c:pt idx="9">
                  <c:v>143.1</c:v>
                </c:pt>
                <c:pt idx="10">
                  <c:v>159</c:v>
                </c:pt>
                <c:pt idx="11">
                  <c:v>174.9</c:v>
                </c:pt>
                <c:pt idx="12">
                  <c:v>190.8</c:v>
                </c:pt>
                <c:pt idx="13">
                  <c:v>206.7</c:v>
                </c:pt>
                <c:pt idx="14">
                  <c:v>222.6</c:v>
                </c:pt>
                <c:pt idx="15">
                  <c:v>238.5</c:v>
                </c:pt>
                <c:pt idx="16">
                  <c:v>254.4</c:v>
                </c:pt>
                <c:pt idx="17">
                  <c:v>270.3</c:v>
                </c:pt>
                <c:pt idx="18">
                  <c:v>286.2</c:v>
                </c:pt>
                <c:pt idx="19">
                  <c:v>302.10000000000002</c:v>
                </c:pt>
                <c:pt idx="20">
                  <c:v>318</c:v>
                </c:pt>
                <c:pt idx="21">
                  <c:v>333.9</c:v>
                </c:pt>
                <c:pt idx="22">
                  <c:v>349.8</c:v>
                </c:pt>
                <c:pt idx="23">
                  <c:v>365.7</c:v>
                </c:pt>
                <c:pt idx="24">
                  <c:v>381.6</c:v>
                </c:pt>
                <c:pt idx="25">
                  <c:v>397.5</c:v>
                </c:pt>
                <c:pt idx="26">
                  <c:v>413.4</c:v>
                </c:pt>
                <c:pt idx="27">
                  <c:v>429.3</c:v>
                </c:pt>
                <c:pt idx="28">
                  <c:v>445.2</c:v>
                </c:pt>
                <c:pt idx="29">
                  <c:v>461.1</c:v>
                </c:pt>
                <c:pt idx="30">
                  <c:v>477</c:v>
                </c:pt>
                <c:pt idx="31">
                  <c:v>492.9</c:v>
                </c:pt>
                <c:pt idx="32">
                  <c:v>508.8</c:v>
                </c:pt>
                <c:pt idx="33">
                  <c:v>524.70000000000005</c:v>
                </c:pt>
                <c:pt idx="34">
                  <c:v>540.6</c:v>
                </c:pt>
                <c:pt idx="35">
                  <c:v>556.5</c:v>
                </c:pt>
                <c:pt idx="36">
                  <c:v>572.4</c:v>
                </c:pt>
                <c:pt idx="37">
                  <c:v>588.29999999999995</c:v>
                </c:pt>
                <c:pt idx="38">
                  <c:v>604.20000000000005</c:v>
                </c:pt>
                <c:pt idx="39">
                  <c:v>620.1</c:v>
                </c:pt>
                <c:pt idx="40">
                  <c:v>636</c:v>
                </c:pt>
                <c:pt idx="41">
                  <c:v>651.9</c:v>
                </c:pt>
                <c:pt idx="42">
                  <c:v>667.8</c:v>
                </c:pt>
                <c:pt idx="43">
                  <c:v>683.7</c:v>
                </c:pt>
                <c:pt idx="44">
                  <c:v>699.6</c:v>
                </c:pt>
                <c:pt idx="45">
                  <c:v>715.5</c:v>
                </c:pt>
                <c:pt idx="46">
                  <c:v>731.4</c:v>
                </c:pt>
                <c:pt idx="47">
                  <c:v>747.3</c:v>
                </c:pt>
                <c:pt idx="48">
                  <c:v>753.37</c:v>
                </c:pt>
                <c:pt idx="49">
                  <c:v>745.79</c:v>
                </c:pt>
                <c:pt idx="50">
                  <c:v>738.3</c:v>
                </c:pt>
                <c:pt idx="51">
                  <c:v>730.91</c:v>
                </c:pt>
                <c:pt idx="52">
                  <c:v>723.61</c:v>
                </c:pt>
                <c:pt idx="53">
                  <c:v>716.41</c:v>
                </c:pt>
                <c:pt idx="54">
                  <c:v>709.31</c:v>
                </c:pt>
                <c:pt idx="55">
                  <c:v>702.3</c:v>
                </c:pt>
                <c:pt idx="56">
                  <c:v>695.39</c:v>
                </c:pt>
                <c:pt idx="57">
                  <c:v>688.57</c:v>
                </c:pt>
                <c:pt idx="58">
                  <c:v>681.85</c:v>
                </c:pt>
                <c:pt idx="59">
                  <c:v>675.23</c:v>
                </c:pt>
                <c:pt idx="60">
                  <c:v>668.7</c:v>
                </c:pt>
                <c:pt idx="61">
                  <c:v>662.27</c:v>
                </c:pt>
                <c:pt idx="62">
                  <c:v>655.93</c:v>
                </c:pt>
                <c:pt idx="63">
                  <c:v>649.69000000000005</c:v>
                </c:pt>
                <c:pt idx="64">
                  <c:v>643.54999999999995</c:v>
                </c:pt>
                <c:pt idx="65">
                  <c:v>637.5</c:v>
                </c:pt>
                <c:pt idx="66">
                  <c:v>631.54999999999995</c:v>
                </c:pt>
                <c:pt idx="67">
                  <c:v>625.69000000000005</c:v>
                </c:pt>
                <c:pt idx="68">
                  <c:v>619.92999999999995</c:v>
                </c:pt>
                <c:pt idx="69">
                  <c:v>614.27</c:v>
                </c:pt>
                <c:pt idx="70">
                  <c:v>608.70000000000005</c:v>
                </c:pt>
                <c:pt idx="71">
                  <c:v>603.23</c:v>
                </c:pt>
                <c:pt idx="72">
                  <c:v>597.85</c:v>
                </c:pt>
                <c:pt idx="73">
                  <c:v>592.57000000000005</c:v>
                </c:pt>
                <c:pt idx="74">
                  <c:v>587.39</c:v>
                </c:pt>
                <c:pt idx="75">
                  <c:v>582.29999999999995</c:v>
                </c:pt>
                <c:pt idx="76">
                  <c:v>577.30999999999995</c:v>
                </c:pt>
                <c:pt idx="77">
                  <c:v>572.41</c:v>
                </c:pt>
                <c:pt idx="78">
                  <c:v>567.61</c:v>
                </c:pt>
                <c:pt idx="79">
                  <c:v>562.91</c:v>
                </c:pt>
                <c:pt idx="80">
                  <c:v>558.29999999999995</c:v>
                </c:pt>
                <c:pt idx="81">
                  <c:v>553.79</c:v>
                </c:pt>
                <c:pt idx="82">
                  <c:v>549.37</c:v>
                </c:pt>
                <c:pt idx="83">
                  <c:v>545.04999999999995</c:v>
                </c:pt>
                <c:pt idx="84">
                  <c:v>540.83000000000004</c:v>
                </c:pt>
                <c:pt idx="85">
                  <c:v>536.70000000000005</c:v>
                </c:pt>
                <c:pt idx="86">
                  <c:v>532.66999999999996</c:v>
                </c:pt>
                <c:pt idx="87">
                  <c:v>528.73</c:v>
                </c:pt>
                <c:pt idx="88">
                  <c:v>524.89</c:v>
                </c:pt>
                <c:pt idx="89">
                  <c:v>521.15</c:v>
                </c:pt>
                <c:pt idx="90">
                  <c:v>517.5</c:v>
                </c:pt>
                <c:pt idx="91">
                  <c:v>513.95000000000005</c:v>
                </c:pt>
                <c:pt idx="92">
                  <c:v>510.49</c:v>
                </c:pt>
                <c:pt idx="93">
                  <c:v>507.13</c:v>
                </c:pt>
                <c:pt idx="94">
                  <c:v>503.87</c:v>
                </c:pt>
                <c:pt idx="95">
                  <c:v>500.7</c:v>
                </c:pt>
                <c:pt idx="96">
                  <c:v>497.63</c:v>
                </c:pt>
                <c:pt idx="97">
                  <c:v>494.65</c:v>
                </c:pt>
                <c:pt idx="98">
                  <c:v>491.77</c:v>
                </c:pt>
                <c:pt idx="99">
                  <c:v>488.99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F-45A1-A360-D0DD5FA78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75263"/>
        <c:axId val="484675679"/>
      </c:scatterChart>
      <c:valAx>
        <c:axId val="4846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75679"/>
        <c:crosses val="autoZero"/>
        <c:crossBetween val="midCat"/>
      </c:valAx>
      <c:valAx>
        <c:axId val="48467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7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Sheet1!$A$1:$A$25</c:f>
              <c:numCache>
                <c:formatCode>General</c:formatCode>
                <c:ptCount val="25"/>
                <c:pt idx="0">
                  <c:v>0.14799999999999999</c:v>
                </c:pt>
                <c:pt idx="1">
                  <c:v>0.22800000000000001</c:v>
                </c:pt>
                <c:pt idx="2">
                  <c:v>0.29399999999999998</c:v>
                </c:pt>
                <c:pt idx="3">
                  <c:v>0.35299999999999998</c:v>
                </c:pt>
                <c:pt idx="4">
                  <c:v>0.41899999999999998</c:v>
                </c:pt>
                <c:pt idx="5">
                  <c:v>0.47699999999999998</c:v>
                </c:pt>
                <c:pt idx="6">
                  <c:v>0.52</c:v>
                </c:pt>
                <c:pt idx="7">
                  <c:v>0.59299999999999997</c:v>
                </c:pt>
                <c:pt idx="8">
                  <c:v>0.68799999999999994</c:v>
                </c:pt>
                <c:pt idx="9">
                  <c:v>0.85499999999999998</c:v>
                </c:pt>
                <c:pt idx="10">
                  <c:v>1.0369999999999999</c:v>
                </c:pt>
                <c:pt idx="11">
                  <c:v>1.2050000000000001</c:v>
                </c:pt>
                <c:pt idx="12">
                  <c:v>1.423</c:v>
                </c:pt>
                <c:pt idx="13">
                  <c:v>1.452</c:v>
                </c:pt>
                <c:pt idx="14">
                  <c:v>1.5029999999999999</c:v>
                </c:pt>
                <c:pt idx="15">
                  <c:v>1.736</c:v>
                </c:pt>
                <c:pt idx="16">
                  <c:v>1.9550000000000001</c:v>
                </c:pt>
                <c:pt idx="17">
                  <c:v>2.21</c:v>
                </c:pt>
                <c:pt idx="18">
                  <c:v>2.4940000000000002</c:v>
                </c:pt>
                <c:pt idx="19">
                  <c:v>2.7629999999999999</c:v>
                </c:pt>
                <c:pt idx="20">
                  <c:v>3.12</c:v>
                </c:pt>
                <c:pt idx="21">
                  <c:v>3.3820000000000001</c:v>
                </c:pt>
                <c:pt idx="22">
                  <c:v>3.4039999999999999</c:v>
                </c:pt>
                <c:pt idx="23">
                  <c:v>3.4180000000000001</c:v>
                </c:pt>
                <c:pt idx="24">
                  <c:v>3.45</c:v>
                </c:pt>
              </c:numCache>
            </c:numRef>
          </c:xVal>
          <c:yVal>
            <c:numRef>
              <c:f>Sheet1!$B$1:$B$25</c:f>
              <c:numCache>
                <c:formatCode>General</c:formatCode>
                <c:ptCount val="25"/>
                <c:pt idx="0">
                  <c:v>7.6379999999999999</c:v>
                </c:pt>
                <c:pt idx="1">
                  <c:v>12.253</c:v>
                </c:pt>
                <c:pt idx="2">
                  <c:v>16.390999999999998</c:v>
                </c:pt>
                <c:pt idx="3">
                  <c:v>20.21</c:v>
                </c:pt>
                <c:pt idx="4">
                  <c:v>22.756</c:v>
                </c:pt>
                <c:pt idx="5">
                  <c:v>25.26</c:v>
                </c:pt>
                <c:pt idx="6">
                  <c:v>23.074000000000002</c:v>
                </c:pt>
                <c:pt idx="7">
                  <c:v>20.844999999999999</c:v>
                </c:pt>
                <c:pt idx="8">
                  <c:v>19.093</c:v>
                </c:pt>
                <c:pt idx="9">
                  <c:v>17.5</c:v>
                </c:pt>
                <c:pt idx="10">
                  <c:v>16.225000000000001</c:v>
                </c:pt>
                <c:pt idx="11">
                  <c:v>15.427</c:v>
                </c:pt>
                <c:pt idx="12">
                  <c:v>14.948</c:v>
                </c:pt>
                <c:pt idx="13">
                  <c:v>14.627000000000001</c:v>
                </c:pt>
                <c:pt idx="14">
                  <c:v>15.741</c:v>
                </c:pt>
                <c:pt idx="15">
                  <c:v>14.785</c:v>
                </c:pt>
                <c:pt idx="16">
                  <c:v>14.622999999999999</c:v>
                </c:pt>
                <c:pt idx="17">
                  <c:v>14.141</c:v>
                </c:pt>
                <c:pt idx="18">
                  <c:v>13.819000000000001</c:v>
                </c:pt>
                <c:pt idx="19">
                  <c:v>13.337999999999999</c:v>
                </c:pt>
                <c:pt idx="20">
                  <c:v>13.334</c:v>
                </c:pt>
                <c:pt idx="21">
                  <c:v>13.013</c:v>
                </c:pt>
                <c:pt idx="22">
                  <c:v>9.3520000000000003</c:v>
                </c:pt>
                <c:pt idx="23">
                  <c:v>4.8949999999999996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1-4249-8AC6-6BA93650C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654096"/>
        <c:axId val="1210654512"/>
      </c:scatterChart>
      <c:valAx>
        <c:axId val="12106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54512"/>
        <c:crosses val="autoZero"/>
        <c:crossBetween val="midCat"/>
      </c:valAx>
      <c:valAx>
        <c:axId val="12106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128587</xdr:colOff>
      <xdr:row>20</xdr:row>
      <xdr:rowOff>23812</xdr:rowOff>
    </xdr:from>
    <xdr:to>
      <xdr:col>19</xdr:col>
      <xdr:colOff>405542</xdr:colOff>
      <xdr:row>53</xdr:row>
      <xdr:rowOff>15252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2DA99F-8249-3E2A-331D-9D228F394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5962" y="4786312"/>
          <a:ext cx="5229955" cy="6897065"/>
        </a:xfrm>
        <a:prstGeom prst="rect">
          <a:avLst/>
        </a:prstGeom>
      </xdr:spPr>
    </xdr:pic>
    <xdr:clientData/>
  </xdr:twoCellAnchor>
  <xdr:twoCellAnchor editAs="oneCell">
    <xdr:from>
      <xdr:col>10</xdr:col>
      <xdr:colOff>109512</xdr:colOff>
      <xdr:row>1</xdr:row>
      <xdr:rowOff>19405</xdr:rowOff>
    </xdr:from>
    <xdr:to>
      <xdr:col>18</xdr:col>
      <xdr:colOff>217394</xdr:colOff>
      <xdr:row>17</xdr:row>
      <xdr:rowOff>213521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DDC5A3-CF54-34C5-0860-F6DFD6DE3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7921" y="261860"/>
          <a:ext cx="4956973" cy="4073388"/>
        </a:xfrm>
        <a:prstGeom prst="rect">
          <a:avLst/>
        </a:prstGeom>
      </xdr:spPr>
    </xdr:pic>
    <xdr:clientData/>
  </xdr:twoCellAnchor>
  <xdr:twoCellAnchor editAs="oneCell">
    <xdr:from>
      <xdr:col>18</xdr:col>
      <xdr:colOff>484909</xdr:colOff>
      <xdr:row>1</xdr:row>
      <xdr:rowOff>17318</xdr:rowOff>
    </xdr:from>
    <xdr:to>
      <xdr:col>28</xdr:col>
      <xdr:colOff>148148</xdr:colOff>
      <xdr:row>17</xdr:row>
      <xdr:rowOff>207819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178DB9-275E-DDA3-6BBC-5CB855475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72409" y="259773"/>
          <a:ext cx="5724603" cy="4069773"/>
        </a:xfrm>
        <a:prstGeom prst="rect">
          <a:avLst/>
        </a:prstGeom>
      </xdr:spPr>
    </xdr:pic>
    <xdr:clientData/>
  </xdr:twoCellAnchor>
  <xdr:twoCellAnchor editAs="oneCell">
    <xdr:from>
      <xdr:col>19</xdr:col>
      <xdr:colOff>484910</xdr:colOff>
      <xdr:row>20</xdr:row>
      <xdr:rowOff>190499</xdr:rowOff>
    </xdr:from>
    <xdr:to>
      <xdr:col>28</xdr:col>
      <xdr:colOff>288216</xdr:colOff>
      <xdr:row>53</xdr:row>
      <xdr:rowOff>20863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742C56-C0E1-0905-A4B6-37E582BE0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78546" y="5039590"/>
          <a:ext cx="5258534" cy="6792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A0374-291E-D624-B402-E8D453090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147637</xdr:rowOff>
    </xdr:from>
    <xdr:to>
      <xdr:col>11</xdr:col>
      <xdr:colOff>304800</xdr:colOff>
      <xdr:row>23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C5587-5304-0568-3CE7-AB37F6234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3"/>
  <sheetViews>
    <sheetView topLeftCell="A5" workbookViewId="0">
      <selection activeCell="B21" sqref="B21"/>
    </sheetView>
  </sheetViews>
  <sheetFormatPr defaultRowHeight="15" x14ac:dyDescent="0.25"/>
  <cols>
    <col min="1" max="1" width="13.5703125" style="7" bestFit="1" customWidth="1"/>
    <col min="2" max="2" width="12" style="42" bestFit="1" customWidth="1"/>
    <col min="3" max="3" width="13.5703125" style="9" bestFit="1" customWidth="1"/>
    <col min="4" max="4" width="13.5703125" style="43" bestFit="1" customWidth="1"/>
    <col min="5" max="5" width="13.5703125" style="7" bestFit="1" customWidth="1"/>
    <col min="6" max="6" width="13.5703125" style="44" bestFit="1" customWidth="1"/>
    <col min="7" max="7" width="13.5703125" style="7" bestFit="1" customWidth="1"/>
  </cols>
  <sheetData>
    <row r="1" spans="1:7" ht="18.75" customHeight="1" x14ac:dyDescent="0.25">
      <c r="A1" s="54" t="s">
        <v>45</v>
      </c>
      <c r="B1" s="55"/>
      <c r="C1" s="16"/>
      <c r="D1" s="17"/>
      <c r="E1" s="1"/>
      <c r="F1" s="18"/>
      <c r="G1" s="1"/>
    </row>
    <row r="2" spans="1:7" ht="18.75" customHeight="1" x14ac:dyDescent="0.25">
      <c r="A2" s="56" t="s">
        <v>46</v>
      </c>
      <c r="B2" s="57"/>
      <c r="C2" s="19"/>
      <c r="D2" s="17"/>
      <c r="E2" s="1"/>
      <c r="F2" s="18"/>
      <c r="G2" s="1"/>
    </row>
    <row r="3" spans="1:7" ht="18.75" customHeight="1" x14ac:dyDescent="0.25">
      <c r="A3" s="20"/>
      <c r="B3" s="21" t="s">
        <v>47</v>
      </c>
      <c r="C3" s="19" t="s">
        <v>21</v>
      </c>
      <c r="D3" s="17"/>
      <c r="E3" s="1"/>
      <c r="F3" s="18"/>
      <c r="G3" s="1"/>
    </row>
    <row r="4" spans="1:7" ht="18.75" customHeight="1" x14ac:dyDescent="0.25">
      <c r="A4" s="20" t="s">
        <v>48</v>
      </c>
      <c r="B4" s="22">
        <v>12</v>
      </c>
      <c r="C4" s="23">
        <f>B4/39.37</f>
        <v>0.30480060960121924</v>
      </c>
      <c r="D4" s="17"/>
      <c r="E4" s="1"/>
      <c r="F4" s="18"/>
      <c r="G4" s="1"/>
    </row>
    <row r="5" spans="1:7" ht="18.75" customHeight="1" x14ac:dyDescent="0.25">
      <c r="A5" s="20" t="s">
        <v>30</v>
      </c>
      <c r="B5" s="22">
        <v>24</v>
      </c>
      <c r="C5" s="23">
        <f>B5/39.37</f>
        <v>0.60960121920243848</v>
      </c>
      <c r="D5" s="17"/>
      <c r="E5" s="1"/>
      <c r="F5" s="18"/>
      <c r="G5" s="1"/>
    </row>
    <row r="6" spans="1:7" ht="18.75" customHeight="1" x14ac:dyDescent="0.25">
      <c r="A6" s="20"/>
      <c r="B6" s="21"/>
      <c r="C6" s="19"/>
      <c r="D6" s="17"/>
      <c r="E6" s="1"/>
      <c r="F6" s="18"/>
      <c r="G6" s="1"/>
    </row>
    <row r="7" spans="1:7" ht="18.75" customHeight="1" x14ac:dyDescent="0.25">
      <c r="A7" s="24" t="s">
        <v>49</v>
      </c>
      <c r="B7" s="47">
        <f>PI()*(C4/2)^2*(C5/3)</f>
        <v>1.4826755164729137E-2</v>
      </c>
      <c r="C7" s="25" t="s">
        <v>50</v>
      </c>
      <c r="D7" s="17"/>
      <c r="E7" s="1"/>
      <c r="F7" s="18"/>
      <c r="G7" s="1"/>
    </row>
    <row r="8" spans="1:7" ht="18.75" customHeight="1" x14ac:dyDescent="0.25">
      <c r="A8" s="1"/>
      <c r="B8" s="26"/>
      <c r="C8" s="3"/>
      <c r="D8" s="17"/>
      <c r="E8" s="1"/>
      <c r="F8" s="18"/>
      <c r="G8" s="1"/>
    </row>
    <row r="9" spans="1:7" ht="18.75" customHeight="1" x14ac:dyDescent="0.25">
      <c r="A9" s="58" t="s">
        <v>51</v>
      </c>
      <c r="B9" s="59"/>
      <c r="C9" s="27"/>
      <c r="D9" s="17"/>
      <c r="E9" s="1"/>
      <c r="F9" s="18"/>
      <c r="G9" s="1"/>
    </row>
    <row r="10" spans="1:7" ht="18.75" customHeight="1" x14ac:dyDescent="0.25">
      <c r="A10" s="60" t="s">
        <v>52</v>
      </c>
      <c r="B10" s="61"/>
      <c r="C10" s="28"/>
      <c r="D10" s="17"/>
      <c r="E10" s="1"/>
      <c r="F10" s="18"/>
      <c r="G10" s="1"/>
    </row>
    <row r="11" spans="1:7" ht="18.75" customHeight="1" x14ac:dyDescent="0.25">
      <c r="A11" s="29"/>
      <c r="B11" s="30" t="s">
        <v>47</v>
      </c>
      <c r="C11" s="28" t="s">
        <v>21</v>
      </c>
      <c r="D11" s="17"/>
      <c r="E11" s="1"/>
      <c r="F11" s="18"/>
      <c r="G11" s="1"/>
    </row>
    <row r="12" spans="1:7" ht="18.75" customHeight="1" x14ac:dyDescent="0.25">
      <c r="A12" s="29" t="s">
        <v>53</v>
      </c>
      <c r="B12" s="31">
        <f>C12*39.37</f>
        <v>5.7716419999999999</v>
      </c>
      <c r="C12" s="32">
        <v>0.14660000000000001</v>
      </c>
      <c r="D12" s="17"/>
      <c r="E12" s="1"/>
      <c r="F12" s="18"/>
      <c r="G12" s="1"/>
    </row>
    <row r="13" spans="1:7" ht="18.75" customHeight="1" x14ac:dyDescent="0.25">
      <c r="A13" s="29" t="s">
        <v>54</v>
      </c>
      <c r="B13" s="31">
        <f>C13*39.37</f>
        <v>2.2051136999999996</v>
      </c>
      <c r="C13" s="32">
        <v>5.6009999999999997E-2</v>
      </c>
      <c r="D13" s="17"/>
      <c r="E13" s="1"/>
      <c r="F13" s="18"/>
      <c r="G13" s="1"/>
    </row>
    <row r="14" spans="1:7" ht="18.75" customHeight="1" x14ac:dyDescent="0.25">
      <c r="A14" s="29" t="s">
        <v>55</v>
      </c>
      <c r="B14" s="31">
        <f>C14*39.37</f>
        <v>11.528717099999998</v>
      </c>
      <c r="C14" s="32">
        <v>0.29282999999999998</v>
      </c>
      <c r="D14" s="17"/>
      <c r="E14" s="1"/>
      <c r="F14" s="18"/>
      <c r="G14" s="1"/>
    </row>
    <row r="15" spans="1:7" ht="18.75" customHeight="1" x14ac:dyDescent="0.25">
      <c r="A15" s="29"/>
      <c r="B15" s="30"/>
      <c r="C15" s="28"/>
      <c r="D15" s="17"/>
      <c r="E15" s="1"/>
      <c r="F15" s="18"/>
      <c r="G15" s="1"/>
    </row>
    <row r="16" spans="1:7" ht="18.75" customHeight="1" x14ac:dyDescent="0.25">
      <c r="A16" s="33" t="s">
        <v>49</v>
      </c>
      <c r="B16" s="48">
        <f>(1/3)*PI()*C14*(C12^2+C13^2+(C12*C13))</f>
        <v>1.0070336348177904E-2</v>
      </c>
      <c r="C16" s="34" t="s">
        <v>50</v>
      </c>
      <c r="D16" s="17"/>
      <c r="E16" s="1"/>
      <c r="F16" s="18"/>
      <c r="G16" s="1"/>
    </row>
    <row r="17" spans="1:7" ht="18.75" customHeight="1" x14ac:dyDescent="0.25">
      <c r="A17" s="1"/>
      <c r="B17" s="26"/>
      <c r="C17" s="3"/>
      <c r="D17" s="17"/>
      <c r="E17" s="1"/>
      <c r="F17" s="18"/>
      <c r="G17" s="1"/>
    </row>
    <row r="18" spans="1:7" ht="18.75" customHeight="1" x14ac:dyDescent="0.25">
      <c r="A18" s="58" t="s">
        <v>24</v>
      </c>
      <c r="B18" s="59"/>
      <c r="C18" s="35"/>
      <c r="D18" s="36"/>
      <c r="E18" s="1"/>
      <c r="F18" s="18"/>
      <c r="G18" s="1"/>
    </row>
    <row r="19" spans="1:7" ht="18.75" customHeight="1" x14ac:dyDescent="0.25">
      <c r="A19" s="60" t="s">
        <v>56</v>
      </c>
      <c r="B19" s="61"/>
      <c r="C19" s="37"/>
      <c r="D19" s="38"/>
      <c r="E19" s="1"/>
      <c r="F19" s="18"/>
      <c r="G19" s="1"/>
    </row>
    <row r="20" spans="1:7" ht="18.75" customHeight="1" x14ac:dyDescent="0.25">
      <c r="A20" s="29"/>
      <c r="B20" s="30" t="s">
        <v>21</v>
      </c>
      <c r="C20" s="37"/>
      <c r="D20" s="38"/>
      <c r="E20" s="1"/>
      <c r="F20" s="18"/>
      <c r="G20" s="1"/>
    </row>
    <row r="21" spans="1:7" ht="18.75" customHeight="1" x14ac:dyDescent="0.25">
      <c r="A21" s="29" t="s">
        <v>57</v>
      </c>
      <c r="B21" s="39">
        <v>2.9000000000000001E-2</v>
      </c>
      <c r="C21" s="37"/>
      <c r="D21" s="38"/>
      <c r="E21" s="1"/>
      <c r="F21" s="18"/>
      <c r="G21" s="1"/>
    </row>
    <row r="22" spans="1:7" ht="18.75" customHeight="1" x14ac:dyDescent="0.25">
      <c r="A22" s="29" t="s">
        <v>30</v>
      </c>
      <c r="B22" s="39">
        <v>0.114</v>
      </c>
      <c r="C22" s="37"/>
      <c r="D22" s="38"/>
      <c r="E22" s="1"/>
      <c r="F22" s="18"/>
      <c r="G22" s="1"/>
    </row>
    <row r="23" spans="1:7" ht="18.75" customHeight="1" x14ac:dyDescent="0.25">
      <c r="A23" s="63" t="s">
        <v>58</v>
      </c>
      <c r="B23" s="64"/>
      <c r="C23" s="37"/>
      <c r="D23" s="38"/>
      <c r="E23" s="1"/>
      <c r="F23" s="18"/>
      <c r="G23" s="1"/>
    </row>
    <row r="24" spans="1:7" ht="18.75" customHeight="1" x14ac:dyDescent="0.25">
      <c r="A24" s="29" t="s">
        <v>49</v>
      </c>
      <c r="B24" s="46">
        <f>PI()*(B21/2)^2*B22</f>
        <v>7.5299263517566965E-5</v>
      </c>
      <c r="C24" s="37" t="s">
        <v>50</v>
      </c>
      <c r="D24" s="38"/>
      <c r="E24" s="1"/>
      <c r="F24" s="18"/>
      <c r="G24" s="1"/>
    </row>
    <row r="25" spans="1:7" ht="18.75" customHeight="1" x14ac:dyDescent="0.25">
      <c r="A25" s="65" t="s">
        <v>59</v>
      </c>
      <c r="B25" s="66"/>
      <c r="C25" s="49">
        <f>B24*30</f>
        <v>2.258977905527009E-3</v>
      </c>
      <c r="D25" s="40" t="s">
        <v>50</v>
      </c>
      <c r="E25" s="1"/>
      <c r="F25" s="18"/>
      <c r="G25" s="1"/>
    </row>
    <row r="26" spans="1:7" ht="18.75" customHeight="1" x14ac:dyDescent="0.25">
      <c r="A26" s="1"/>
      <c r="B26" s="26"/>
      <c r="C26" s="3"/>
      <c r="D26" s="17"/>
      <c r="E26" s="1"/>
      <c r="F26" s="18"/>
      <c r="G26" s="1"/>
    </row>
    <row r="27" spans="1:7" ht="18.75" customHeight="1" x14ac:dyDescent="0.25">
      <c r="A27" s="67" t="s">
        <v>60</v>
      </c>
      <c r="B27" s="68"/>
      <c r="C27" s="3"/>
      <c r="D27" s="68" t="s">
        <v>61</v>
      </c>
      <c r="E27" s="67"/>
      <c r="F27" s="18"/>
      <c r="G27" s="1"/>
    </row>
    <row r="28" spans="1:7" ht="18.75" customHeight="1" x14ac:dyDescent="0.25">
      <c r="A28" s="1"/>
      <c r="B28" s="26"/>
      <c r="C28" s="3"/>
      <c r="D28" s="62">
        <v>0.6</v>
      </c>
      <c r="E28" s="62"/>
      <c r="F28" s="18"/>
      <c r="G28" s="1"/>
    </row>
    <row r="29" spans="1:7" ht="18.75" customHeight="1" x14ac:dyDescent="0.25">
      <c r="A29" s="1" t="s">
        <v>62</v>
      </c>
      <c r="B29" s="12">
        <f>B7-B16-C25</f>
        <v>2.497440911024224E-3</v>
      </c>
      <c r="C29" s="3" t="s">
        <v>50</v>
      </c>
      <c r="D29" s="41">
        <f>B29*(D28+0.15)</f>
        <v>1.873080683268168E-3</v>
      </c>
      <c r="E29" s="1" t="s">
        <v>50</v>
      </c>
      <c r="F29" s="18"/>
      <c r="G29" s="1"/>
    </row>
    <row r="30" spans="1:7" ht="18.75" customHeight="1" x14ac:dyDescent="0.25">
      <c r="A30" s="1"/>
      <c r="B30" s="26"/>
      <c r="C30" s="3"/>
      <c r="D30" s="17"/>
      <c r="E30" s="1"/>
      <c r="F30" s="18"/>
      <c r="G30" s="1"/>
    </row>
    <row r="31" spans="1:7" ht="18.75" customHeight="1" x14ac:dyDescent="0.25">
      <c r="A31" s="1" t="s">
        <v>63</v>
      </c>
      <c r="B31" s="26"/>
      <c r="C31" s="3"/>
      <c r="D31" s="17"/>
      <c r="E31" s="1" t="s">
        <v>64</v>
      </c>
      <c r="F31" s="5">
        <v>1100</v>
      </c>
      <c r="G31" s="1" t="s">
        <v>8</v>
      </c>
    </row>
    <row r="32" spans="1:7" ht="18.75" customHeight="1" x14ac:dyDescent="0.25">
      <c r="A32" s="1"/>
      <c r="B32" s="26"/>
      <c r="C32" s="3"/>
      <c r="D32" s="17"/>
      <c r="E32" s="1"/>
      <c r="F32" s="18"/>
      <c r="G32" s="1"/>
    </row>
    <row r="33" spans="1:7" ht="18.75" customHeight="1" x14ac:dyDescent="0.25">
      <c r="A33" s="1" t="s">
        <v>65</v>
      </c>
      <c r="B33" s="41">
        <f>D29*F31</f>
        <v>2.060388751594985</v>
      </c>
      <c r="C33" s="3" t="s">
        <v>15</v>
      </c>
      <c r="D33" s="17"/>
      <c r="E33" s="1"/>
      <c r="F33" s="18"/>
      <c r="G33" s="1"/>
    </row>
  </sheetData>
  <mergeCells count="11">
    <mergeCell ref="D28:E28"/>
    <mergeCell ref="A19:B19"/>
    <mergeCell ref="A23:B23"/>
    <mergeCell ref="A25:B25"/>
    <mergeCell ref="A27:B27"/>
    <mergeCell ref="D27:E27"/>
    <mergeCell ref="A1:B1"/>
    <mergeCell ref="A2:B2"/>
    <mergeCell ref="A9:B9"/>
    <mergeCell ref="A10:B10"/>
    <mergeCell ref="A18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36"/>
  <sheetViews>
    <sheetView zoomScale="85" zoomScaleNormal="85" workbookViewId="0">
      <selection activeCell="E13" sqref="E13"/>
    </sheetView>
  </sheetViews>
  <sheetFormatPr defaultRowHeight="15" x14ac:dyDescent="0.25"/>
  <cols>
    <col min="1" max="1" width="17.7109375" style="7" bestFit="1" customWidth="1"/>
    <col min="2" max="2" width="12.28515625" style="8" customWidth="1"/>
    <col min="3" max="3" width="13.5703125" style="14" bestFit="1" customWidth="1"/>
    <col min="4" max="4" width="10.5703125" style="15" bestFit="1" customWidth="1"/>
    <col min="5" max="5" width="13.5703125" style="7" bestFit="1" customWidth="1"/>
    <col min="6" max="6" width="20" style="7" customWidth="1"/>
    <col min="7" max="8" width="13.5703125" style="7" bestFit="1" customWidth="1"/>
    <col min="9" max="9" width="13.5703125" style="15" bestFit="1" customWidth="1"/>
    <col min="10" max="10" width="13.5703125" style="7" bestFit="1" customWidth="1"/>
  </cols>
  <sheetData>
    <row r="1" spans="1:10" ht="19.5" customHeight="1" x14ac:dyDescent="0.25">
      <c r="A1" s="67" t="s">
        <v>24</v>
      </c>
      <c r="B1" s="69"/>
      <c r="C1" s="10"/>
      <c r="D1" s="11"/>
      <c r="E1" s="1"/>
      <c r="F1" s="1"/>
      <c r="G1" s="1"/>
      <c r="H1" s="1"/>
      <c r="I1" s="11"/>
      <c r="J1" s="1"/>
    </row>
    <row r="2" spans="1:10" ht="19.5" customHeight="1" x14ac:dyDescent="0.25">
      <c r="A2" s="67" t="s">
        <v>25</v>
      </c>
      <c r="B2" s="69"/>
      <c r="C2" s="10" t="s">
        <v>26</v>
      </c>
      <c r="D2" s="12">
        <v>30</v>
      </c>
      <c r="E2" s="1"/>
      <c r="F2" s="67" t="s">
        <v>66</v>
      </c>
      <c r="G2" s="69"/>
      <c r="H2" s="1"/>
      <c r="I2" s="11"/>
      <c r="J2" s="1"/>
    </row>
    <row r="3" spans="1:10" ht="18.75" customHeight="1" x14ac:dyDescent="0.25">
      <c r="A3" s="1" t="s">
        <v>27</v>
      </c>
      <c r="B3" s="2"/>
      <c r="C3" s="10"/>
      <c r="D3" s="11"/>
      <c r="E3" s="1"/>
      <c r="F3" s="7" t="s">
        <v>27</v>
      </c>
      <c r="G3" s="8"/>
      <c r="H3" s="14"/>
      <c r="I3" s="11"/>
      <c r="J3" s="1"/>
    </row>
    <row r="4" spans="1:10" ht="18.75" customHeight="1" x14ac:dyDescent="0.25">
      <c r="A4" s="1"/>
      <c r="B4" s="4" t="s">
        <v>28</v>
      </c>
      <c r="C4" s="4" t="s">
        <v>21</v>
      </c>
      <c r="D4" s="11"/>
      <c r="E4" s="1"/>
      <c r="G4" s="4" t="s">
        <v>28</v>
      </c>
      <c r="H4" s="4" t="s">
        <v>21</v>
      </c>
      <c r="I4" s="11"/>
      <c r="J4" s="1"/>
    </row>
    <row r="5" spans="1:10" ht="18.75" customHeight="1" x14ac:dyDescent="0.25">
      <c r="A5" s="1" t="s">
        <v>29</v>
      </c>
      <c r="B5" s="13">
        <f>7*0.75</f>
        <v>5.25</v>
      </c>
      <c r="C5" s="13">
        <f>B5/100</f>
        <v>5.2499999999999998E-2</v>
      </c>
      <c r="D5" s="11"/>
      <c r="E5" s="1"/>
      <c r="F5" s="7" t="s">
        <v>29</v>
      </c>
      <c r="G5" s="13"/>
      <c r="H5" s="13">
        <v>5.8000000000000003E-2</v>
      </c>
      <c r="I5" s="11"/>
      <c r="J5" s="1"/>
    </row>
    <row r="6" spans="1:10" ht="18.75" customHeight="1" x14ac:dyDescent="0.25">
      <c r="A6" s="1" t="s">
        <v>30</v>
      </c>
      <c r="B6" s="13">
        <v>7</v>
      </c>
      <c r="C6" s="13">
        <f>B6/100</f>
        <v>7.0000000000000007E-2</v>
      </c>
      <c r="D6" s="11"/>
      <c r="E6" s="1"/>
      <c r="F6" s="7" t="s">
        <v>30</v>
      </c>
      <c r="G6" s="13"/>
      <c r="H6" s="13">
        <v>0.114</v>
      </c>
      <c r="I6" s="11"/>
      <c r="J6" s="1"/>
    </row>
    <row r="7" spans="1:10" ht="18.75" customHeight="1" x14ac:dyDescent="0.25">
      <c r="A7" s="1"/>
      <c r="B7" s="13"/>
      <c r="C7" s="13"/>
      <c r="D7" s="11"/>
      <c r="E7" s="1"/>
      <c r="G7" s="13"/>
      <c r="H7" s="13"/>
      <c r="I7" s="11"/>
      <c r="J7" s="1"/>
    </row>
    <row r="8" spans="1:10" ht="18.75" customHeight="1" x14ac:dyDescent="0.25">
      <c r="A8" s="1" t="s">
        <v>31</v>
      </c>
      <c r="B8" s="13">
        <v>32.9</v>
      </c>
      <c r="C8" s="50" t="s">
        <v>12</v>
      </c>
      <c r="D8" s="12"/>
      <c r="E8" s="1"/>
      <c r="F8" s="7" t="s">
        <v>31</v>
      </c>
      <c r="G8" s="13">
        <v>25.26</v>
      </c>
      <c r="H8" s="50" t="s">
        <v>12</v>
      </c>
      <c r="I8" s="11"/>
      <c r="J8" s="1"/>
    </row>
    <row r="9" spans="1:10" ht="18.75" customHeight="1" x14ac:dyDescent="0.25">
      <c r="A9" s="1" t="s">
        <v>11</v>
      </c>
      <c r="B9" s="13">
        <f>B8*D2</f>
        <v>987</v>
      </c>
      <c r="C9" s="50" t="s">
        <v>12</v>
      </c>
      <c r="D9" s="12"/>
      <c r="E9" s="1"/>
      <c r="F9" s="7" t="s">
        <v>11</v>
      </c>
      <c r="G9" s="13">
        <f>G8*$D$2</f>
        <v>757.80000000000007</v>
      </c>
      <c r="H9" s="50" t="s">
        <v>12</v>
      </c>
      <c r="I9" s="11"/>
      <c r="J9" s="1"/>
    </row>
    <row r="10" spans="1:10" ht="18.75" customHeight="1" x14ac:dyDescent="0.25">
      <c r="A10" s="1" t="s">
        <v>32</v>
      </c>
      <c r="B10" s="13">
        <v>1.6</v>
      </c>
      <c r="C10" s="50" t="s">
        <v>10</v>
      </c>
      <c r="D10" s="11"/>
      <c r="E10" s="1"/>
      <c r="F10" s="7" t="s">
        <v>32</v>
      </c>
      <c r="G10" s="13">
        <v>3.45</v>
      </c>
      <c r="H10" s="50" t="s">
        <v>10</v>
      </c>
      <c r="I10" s="11"/>
      <c r="J10" s="1"/>
    </row>
    <row r="11" spans="1:10" ht="18.75" customHeight="1" x14ac:dyDescent="0.25">
      <c r="A11" s="1" t="s">
        <v>67</v>
      </c>
      <c r="B11" s="13">
        <v>4.5699999999999998E-2</v>
      </c>
      <c r="C11" s="50" t="s">
        <v>15</v>
      </c>
      <c r="D11" s="11"/>
      <c r="E11" s="1"/>
      <c r="F11" s="7" t="s">
        <v>67</v>
      </c>
      <c r="G11" s="13">
        <v>4.2000000000000003E-2</v>
      </c>
      <c r="H11" s="50" t="s">
        <v>15</v>
      </c>
      <c r="I11" s="11"/>
      <c r="J11" s="1"/>
    </row>
    <row r="12" spans="1:10" ht="18.75" customHeight="1" x14ac:dyDescent="0.25">
      <c r="A12" s="1" t="s">
        <v>68</v>
      </c>
      <c r="B12" s="13">
        <v>2.4199999999999999E-2</v>
      </c>
      <c r="C12" s="50" t="s">
        <v>15</v>
      </c>
      <c r="D12" s="11"/>
      <c r="E12" s="1"/>
      <c r="F12" s="7" t="s">
        <v>68</v>
      </c>
      <c r="G12" s="13">
        <v>0.06</v>
      </c>
      <c r="H12" s="50" t="s">
        <v>15</v>
      </c>
      <c r="I12" s="11"/>
      <c r="J12" s="1"/>
    </row>
    <row r="13" spans="1:10" ht="18.75" customHeight="1" x14ac:dyDescent="0.25">
      <c r="A13" s="7" t="s">
        <v>72</v>
      </c>
      <c r="B13" s="13">
        <f>B12+B11</f>
        <v>6.989999999999999E-2</v>
      </c>
      <c r="C13" s="50" t="s">
        <v>15</v>
      </c>
      <c r="D13" s="11"/>
      <c r="E13" s="1"/>
      <c r="F13" s="7" t="s">
        <v>72</v>
      </c>
      <c r="G13" s="13">
        <f>G12+G11</f>
        <v>0.10200000000000001</v>
      </c>
      <c r="H13" s="50" t="s">
        <v>15</v>
      </c>
      <c r="I13" s="11"/>
      <c r="J13" s="1"/>
    </row>
    <row r="14" spans="1:10" ht="18.75" customHeight="1" x14ac:dyDescent="0.25">
      <c r="A14" s="7" t="s">
        <v>69</v>
      </c>
      <c r="B14" s="52">
        <f>(B11+B12)*$D$2</f>
        <v>2.0969999999999995</v>
      </c>
      <c r="C14" s="14" t="s">
        <v>15</v>
      </c>
      <c r="D14" s="11"/>
      <c r="E14" s="1"/>
      <c r="F14" s="7" t="s">
        <v>69</v>
      </c>
      <c r="G14" s="52">
        <f>(G11+G12)*$D$2</f>
        <v>3.06</v>
      </c>
      <c r="H14" s="53" t="s">
        <v>15</v>
      </c>
      <c r="I14" s="11"/>
      <c r="J14" s="1"/>
    </row>
    <row r="15" spans="1:10" ht="18.75" customHeight="1" x14ac:dyDescent="0.25">
      <c r="A15" s="7" t="s">
        <v>70</v>
      </c>
      <c r="B15" s="8">
        <f>B12*$D$2</f>
        <v>0.72599999999999998</v>
      </c>
      <c r="C15" s="14" t="s">
        <v>15</v>
      </c>
      <c r="D15" s="11"/>
      <c r="E15" s="1"/>
      <c r="F15" s="7" t="s">
        <v>70</v>
      </c>
      <c r="G15" s="8">
        <f>G12*$D$2</f>
        <v>1.7999999999999998</v>
      </c>
      <c r="H15" s="14" t="s">
        <v>15</v>
      </c>
      <c r="I15" s="11"/>
      <c r="J15" s="1"/>
    </row>
    <row r="16" spans="1:10" ht="18.75" customHeight="1" x14ac:dyDescent="0.25">
      <c r="A16" s="7" t="s">
        <v>71</v>
      </c>
      <c r="B16" s="13">
        <f>B11-B12+B20</f>
        <v>2.0818887515949851</v>
      </c>
      <c r="C16" s="14" t="s">
        <v>15</v>
      </c>
      <c r="D16" s="11"/>
      <c r="E16" s="1"/>
      <c r="F16" s="7" t="s">
        <v>71</v>
      </c>
      <c r="G16" s="13">
        <f>G11-G12+G20</f>
        <v>2.0423887515949852</v>
      </c>
      <c r="H16" s="14" t="s">
        <v>15</v>
      </c>
      <c r="I16" s="11"/>
      <c r="J16" s="1"/>
    </row>
    <row r="17" spans="1:10" ht="18.75" customHeight="1" x14ac:dyDescent="0.25">
      <c r="A17" s="1" t="s">
        <v>33</v>
      </c>
      <c r="B17" s="13">
        <v>0.28299999999999997</v>
      </c>
      <c r="C17" s="50" t="s">
        <v>15</v>
      </c>
      <c r="E17" s="1"/>
      <c r="F17" s="7" t="s">
        <v>33</v>
      </c>
      <c r="G17" s="13">
        <v>0.59499999999999997</v>
      </c>
      <c r="H17" s="50" t="s">
        <v>15</v>
      </c>
      <c r="I17" s="11"/>
      <c r="J17" s="1"/>
    </row>
    <row r="18" spans="1:10" ht="18.75" customHeight="1" x14ac:dyDescent="0.25">
      <c r="A18" s="1" t="s">
        <v>34</v>
      </c>
      <c r="B18" s="13">
        <f>B17*D2</f>
        <v>8.4899999999999984</v>
      </c>
      <c r="C18" s="50" t="s">
        <v>15</v>
      </c>
      <c r="D18" s="11"/>
      <c r="E18" s="1"/>
      <c r="F18" s="7" t="s">
        <v>34</v>
      </c>
      <c r="G18" s="13">
        <f>G17*D2</f>
        <v>17.849999999999998</v>
      </c>
      <c r="H18" s="50" t="s">
        <v>15</v>
      </c>
      <c r="I18" s="11"/>
      <c r="J18" s="1"/>
    </row>
    <row r="19" spans="1:10" ht="18.75" customHeight="1" x14ac:dyDescent="0.25">
      <c r="A19" s="1"/>
      <c r="B19" s="13"/>
      <c r="C19" s="50"/>
      <c r="D19" s="11"/>
      <c r="E19" s="1"/>
      <c r="F19" s="45"/>
      <c r="G19" s="51"/>
      <c r="H19" s="51"/>
      <c r="I19" s="13"/>
      <c r="J19" s="1"/>
    </row>
    <row r="20" spans="1:10" ht="18.75" customHeight="1" x14ac:dyDescent="0.25">
      <c r="A20" s="1" t="s">
        <v>35</v>
      </c>
      <c r="B20" s="13">
        <f>'Volume Calculations'!B33</f>
        <v>2.060388751594985</v>
      </c>
      <c r="C20" s="50" t="s">
        <v>15</v>
      </c>
      <c r="D20" s="11"/>
      <c r="E20" s="1"/>
      <c r="F20" s="7" t="s">
        <v>35</v>
      </c>
      <c r="G20" s="13">
        <f>'Volume Calculations'!B33</f>
        <v>2.060388751594985</v>
      </c>
      <c r="H20" s="50" t="s">
        <v>15</v>
      </c>
      <c r="I20" s="13"/>
      <c r="J20" s="1"/>
    </row>
    <row r="21" spans="1:10" ht="18.75" customHeight="1" x14ac:dyDescent="0.25">
      <c r="A21" s="1"/>
      <c r="B21" s="13">
        <v>2.06</v>
      </c>
      <c r="C21" s="50"/>
      <c r="D21" s="11"/>
      <c r="E21" s="1"/>
      <c r="F21" s="1"/>
      <c r="G21" s="13">
        <v>2.06</v>
      </c>
      <c r="H21" s="15"/>
      <c r="I21" s="11"/>
      <c r="J21" s="1"/>
    </row>
    <row r="22" spans="1:10" ht="18.75" customHeight="1" x14ac:dyDescent="0.25">
      <c r="A22" s="1" t="s">
        <v>36</v>
      </c>
      <c r="B22" s="13">
        <v>0</v>
      </c>
      <c r="C22" s="50" t="s">
        <v>15</v>
      </c>
      <c r="D22" s="11"/>
      <c r="E22" s="1"/>
      <c r="F22" s="7" t="s">
        <v>36</v>
      </c>
      <c r="G22" s="13">
        <v>0</v>
      </c>
      <c r="H22" s="50" t="s">
        <v>15</v>
      </c>
      <c r="I22" s="11"/>
      <c r="J22" s="1"/>
    </row>
    <row r="23" spans="1:10" ht="18.75" customHeight="1" x14ac:dyDescent="0.25">
      <c r="A23" s="1"/>
      <c r="B23" s="13"/>
      <c r="C23" s="50"/>
      <c r="D23" s="11"/>
      <c r="E23" s="1"/>
      <c r="F23" s="1"/>
      <c r="G23" s="15"/>
      <c r="H23" s="15"/>
      <c r="I23" s="11"/>
      <c r="J23" s="1"/>
    </row>
    <row r="24" spans="1:10" ht="18.75" customHeight="1" x14ac:dyDescent="0.25">
      <c r="A24" s="1" t="s">
        <v>37</v>
      </c>
      <c r="B24" s="13">
        <f>B14+B20+B22</f>
        <v>4.1573887515949846</v>
      </c>
      <c r="C24" s="50" t="s">
        <v>15</v>
      </c>
      <c r="D24" s="11"/>
      <c r="E24" s="1"/>
      <c r="F24" s="7" t="s">
        <v>37</v>
      </c>
      <c r="G24" s="13">
        <f>G22+G20+G14</f>
        <v>5.1203887515949855</v>
      </c>
      <c r="H24" s="50" t="s">
        <v>15</v>
      </c>
      <c r="I24" s="11"/>
      <c r="J24" s="1"/>
    </row>
    <row r="25" spans="1:10" ht="18.75" customHeight="1" x14ac:dyDescent="0.25">
      <c r="A25" s="1"/>
      <c r="B25" s="13"/>
      <c r="C25" s="50"/>
      <c r="D25" s="11"/>
      <c r="E25" s="1"/>
      <c r="I25" s="11"/>
      <c r="J25" s="1"/>
    </row>
    <row r="26" spans="1:10" ht="18.75" customHeight="1" x14ac:dyDescent="0.25">
      <c r="A26" s="1" t="s">
        <v>38</v>
      </c>
      <c r="B26" s="13">
        <f>B9/(B20*9.8+B11*9.8+B22*9.8)</f>
        <v>47.820532557335341</v>
      </c>
      <c r="C26" s="50"/>
      <c r="D26" s="11"/>
      <c r="E26" s="1"/>
      <c r="F26" s="1"/>
      <c r="G26" s="1"/>
      <c r="H26" s="1"/>
      <c r="I26" s="11"/>
      <c r="J26" s="1"/>
    </row>
    <row r="27" spans="1:10" ht="18.75" customHeight="1" x14ac:dyDescent="0.25">
      <c r="A27" s="1"/>
      <c r="B27" s="13"/>
      <c r="C27" s="50"/>
      <c r="D27" s="11"/>
      <c r="E27" s="1"/>
      <c r="F27" s="1"/>
      <c r="G27" s="1"/>
      <c r="H27" s="1"/>
      <c r="I27" s="11"/>
      <c r="J27" s="1"/>
    </row>
    <row r="28" spans="1:10" ht="18.75" customHeight="1" x14ac:dyDescent="0.25">
      <c r="A28" s="1" t="s">
        <v>39</v>
      </c>
      <c r="B28" s="13">
        <v>20</v>
      </c>
      <c r="C28" s="50" t="s">
        <v>40</v>
      </c>
      <c r="D28" s="11"/>
      <c r="E28" s="1"/>
      <c r="F28" s="7" t="s">
        <v>39</v>
      </c>
      <c r="G28" s="13">
        <v>49.61</v>
      </c>
      <c r="H28" s="50" t="s">
        <v>40</v>
      </c>
      <c r="I28" s="11"/>
      <c r="J28" s="1"/>
    </row>
    <row r="29" spans="1:10" ht="18.75" customHeight="1" x14ac:dyDescent="0.25">
      <c r="A29" s="1"/>
      <c r="B29" s="13"/>
      <c r="C29" s="50"/>
      <c r="D29" s="11"/>
      <c r="E29" s="1"/>
      <c r="I29" s="11"/>
      <c r="J29" s="1"/>
    </row>
    <row r="30" spans="1:10" ht="18.75" customHeight="1" x14ac:dyDescent="0.25">
      <c r="A30" s="1" t="s">
        <v>41</v>
      </c>
      <c r="B30" s="13">
        <f>B28/(9.81*B12)</f>
        <v>84.245288582236043</v>
      </c>
      <c r="C30" s="50" t="s">
        <v>10</v>
      </c>
      <c r="D30" s="11"/>
      <c r="E30" s="1"/>
      <c r="F30" s="1" t="s">
        <v>41</v>
      </c>
      <c r="G30" s="13">
        <f>G28/(9.81*G12)</f>
        <v>84.284743459055377</v>
      </c>
      <c r="H30" s="1"/>
      <c r="I30" s="11"/>
      <c r="J30" s="1"/>
    </row>
    <row r="31" spans="1:10" ht="18.75" customHeight="1" x14ac:dyDescent="0.25">
      <c r="A31" s="1"/>
      <c r="B31" s="13"/>
      <c r="C31" s="50"/>
      <c r="D31" s="11"/>
      <c r="E31" s="1"/>
      <c r="F31" s="1"/>
      <c r="G31" s="1"/>
      <c r="H31" s="1"/>
      <c r="I31" s="11"/>
      <c r="J31" s="1"/>
    </row>
    <row r="32" spans="1:10" ht="18.75" customHeight="1" x14ac:dyDescent="0.25">
      <c r="A32" s="1" t="s">
        <v>42</v>
      </c>
      <c r="B32" s="13">
        <f>(9.81)*(B30)*LN((B24)/(B24-B12))</f>
        <v>4.824768068428603</v>
      </c>
      <c r="C32" s="50" t="s">
        <v>19</v>
      </c>
      <c r="D32" s="11"/>
      <c r="E32" s="1"/>
      <c r="F32" s="1"/>
      <c r="G32" s="1"/>
      <c r="H32" s="1"/>
      <c r="I32" s="11"/>
      <c r="J32" s="1"/>
    </row>
    <row r="33" spans="1:10" ht="18.75" customHeight="1" x14ac:dyDescent="0.25">
      <c r="A33" s="1"/>
      <c r="B33" s="13"/>
      <c r="C33" s="50"/>
      <c r="D33" s="11"/>
      <c r="E33" s="1"/>
      <c r="F33" s="1"/>
      <c r="G33" s="1"/>
      <c r="H33" s="1"/>
      <c r="I33" s="11"/>
      <c r="J33" s="1"/>
    </row>
    <row r="34" spans="1:10" x14ac:dyDescent="0.25">
      <c r="A34" s="1" t="s">
        <v>43</v>
      </c>
      <c r="B34" s="13">
        <v>343</v>
      </c>
      <c r="C34" s="50" t="s">
        <v>19</v>
      </c>
    </row>
    <row r="35" spans="1:10" x14ac:dyDescent="0.25">
      <c r="A35" s="1"/>
      <c r="B35" s="13"/>
      <c r="C35" s="50"/>
    </row>
    <row r="36" spans="1:10" x14ac:dyDescent="0.25">
      <c r="A36" s="1" t="s">
        <v>44</v>
      </c>
      <c r="B36" s="13">
        <f>B32/B34</f>
        <v>1.4066379208246656E-2</v>
      </c>
      <c r="C36" s="50"/>
    </row>
  </sheetData>
  <mergeCells count="3">
    <mergeCell ref="A1:B1"/>
    <mergeCell ref="A2:B2"/>
    <mergeCell ref="F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9FF7-03F9-4642-B82A-19E788EFFFF2}">
  <dimension ref="A1:B100"/>
  <sheetViews>
    <sheetView tabSelected="1" workbookViewId="0">
      <selection activeCell="D16" sqref="D16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2</v>
      </c>
      <c r="B2">
        <v>15.9</v>
      </c>
    </row>
    <row r="3" spans="1:2" x14ac:dyDescent="0.25">
      <c r="A3">
        <v>3</v>
      </c>
      <c r="B3">
        <v>31.8</v>
      </c>
    </row>
    <row r="4" spans="1:2" x14ac:dyDescent="0.25">
      <c r="A4">
        <v>4</v>
      </c>
      <c r="B4">
        <v>47.7</v>
      </c>
    </row>
    <row r="5" spans="1:2" x14ac:dyDescent="0.25">
      <c r="A5">
        <v>5</v>
      </c>
      <c r="B5">
        <v>63.6</v>
      </c>
    </row>
    <row r="6" spans="1:2" x14ac:dyDescent="0.25">
      <c r="A6">
        <v>6</v>
      </c>
      <c r="B6">
        <v>79.5</v>
      </c>
    </row>
    <row r="7" spans="1:2" x14ac:dyDescent="0.25">
      <c r="A7">
        <v>7</v>
      </c>
      <c r="B7">
        <v>95.4</v>
      </c>
    </row>
    <row r="8" spans="1:2" x14ac:dyDescent="0.25">
      <c r="A8">
        <v>8</v>
      </c>
      <c r="B8">
        <v>111.3</v>
      </c>
    </row>
    <row r="9" spans="1:2" x14ac:dyDescent="0.25">
      <c r="A9">
        <v>9</v>
      </c>
      <c r="B9">
        <v>127.2</v>
      </c>
    </row>
    <row r="10" spans="1:2" x14ac:dyDescent="0.25">
      <c r="A10">
        <v>10</v>
      </c>
      <c r="B10">
        <v>143.1</v>
      </c>
    </row>
    <row r="11" spans="1:2" x14ac:dyDescent="0.25">
      <c r="A11">
        <v>11</v>
      </c>
      <c r="B11">
        <v>159</v>
      </c>
    </row>
    <row r="12" spans="1:2" x14ac:dyDescent="0.25">
      <c r="A12">
        <v>12</v>
      </c>
      <c r="B12">
        <v>174.9</v>
      </c>
    </row>
    <row r="13" spans="1:2" x14ac:dyDescent="0.25">
      <c r="A13">
        <v>13</v>
      </c>
      <c r="B13">
        <v>190.8</v>
      </c>
    </row>
    <row r="14" spans="1:2" x14ac:dyDescent="0.25">
      <c r="A14">
        <v>14</v>
      </c>
      <c r="B14">
        <v>206.7</v>
      </c>
    </row>
    <row r="15" spans="1:2" x14ac:dyDescent="0.25">
      <c r="A15">
        <v>15</v>
      </c>
      <c r="B15">
        <v>222.6</v>
      </c>
    </row>
    <row r="16" spans="1:2" x14ac:dyDescent="0.25">
      <c r="A16">
        <v>16</v>
      </c>
      <c r="B16">
        <v>238.5</v>
      </c>
    </row>
    <row r="17" spans="1:2" x14ac:dyDescent="0.25">
      <c r="A17">
        <v>17</v>
      </c>
      <c r="B17">
        <v>254.4</v>
      </c>
    </row>
    <row r="18" spans="1:2" x14ac:dyDescent="0.25">
      <c r="A18">
        <v>18</v>
      </c>
      <c r="B18">
        <v>270.3</v>
      </c>
    </row>
    <row r="19" spans="1:2" x14ac:dyDescent="0.25">
      <c r="A19">
        <v>19</v>
      </c>
      <c r="B19">
        <v>286.2</v>
      </c>
    </row>
    <row r="20" spans="1:2" x14ac:dyDescent="0.25">
      <c r="A20">
        <v>20</v>
      </c>
      <c r="B20">
        <v>302.10000000000002</v>
      </c>
    </row>
    <row r="21" spans="1:2" x14ac:dyDescent="0.25">
      <c r="A21">
        <v>21</v>
      </c>
      <c r="B21">
        <v>318</v>
      </c>
    </row>
    <row r="22" spans="1:2" x14ac:dyDescent="0.25">
      <c r="A22">
        <v>22</v>
      </c>
      <c r="B22">
        <v>333.9</v>
      </c>
    </row>
    <row r="23" spans="1:2" x14ac:dyDescent="0.25">
      <c r="A23">
        <v>23</v>
      </c>
      <c r="B23">
        <v>349.8</v>
      </c>
    </row>
    <row r="24" spans="1:2" x14ac:dyDescent="0.25">
      <c r="A24">
        <v>24</v>
      </c>
      <c r="B24">
        <v>365.7</v>
      </c>
    </row>
    <row r="25" spans="1:2" x14ac:dyDescent="0.25">
      <c r="A25">
        <v>25</v>
      </c>
      <c r="B25">
        <v>381.6</v>
      </c>
    </row>
    <row r="26" spans="1:2" x14ac:dyDescent="0.25">
      <c r="A26">
        <v>26</v>
      </c>
      <c r="B26">
        <v>397.5</v>
      </c>
    </row>
    <row r="27" spans="1:2" x14ac:dyDescent="0.25">
      <c r="A27">
        <v>27</v>
      </c>
      <c r="B27">
        <v>413.4</v>
      </c>
    </row>
    <row r="28" spans="1:2" x14ac:dyDescent="0.25">
      <c r="A28">
        <v>28</v>
      </c>
      <c r="B28">
        <v>429.3</v>
      </c>
    </row>
    <row r="29" spans="1:2" x14ac:dyDescent="0.25">
      <c r="A29">
        <v>29</v>
      </c>
      <c r="B29">
        <v>445.2</v>
      </c>
    </row>
    <row r="30" spans="1:2" x14ac:dyDescent="0.25">
      <c r="A30">
        <v>30</v>
      </c>
      <c r="B30">
        <v>461.1</v>
      </c>
    </row>
    <row r="31" spans="1:2" x14ac:dyDescent="0.25">
      <c r="A31">
        <v>31</v>
      </c>
      <c r="B31">
        <v>477</v>
      </c>
    </row>
    <row r="32" spans="1:2" x14ac:dyDescent="0.25">
      <c r="A32">
        <v>32</v>
      </c>
      <c r="B32">
        <v>492.9</v>
      </c>
    </row>
    <row r="33" spans="1:2" x14ac:dyDescent="0.25">
      <c r="A33">
        <v>33</v>
      </c>
      <c r="B33">
        <v>508.8</v>
      </c>
    </row>
    <row r="34" spans="1:2" x14ac:dyDescent="0.25">
      <c r="A34">
        <v>34</v>
      </c>
      <c r="B34">
        <v>524.70000000000005</v>
      </c>
    </row>
    <row r="35" spans="1:2" x14ac:dyDescent="0.25">
      <c r="A35">
        <v>35</v>
      </c>
      <c r="B35">
        <v>540.6</v>
      </c>
    </row>
    <row r="36" spans="1:2" x14ac:dyDescent="0.25">
      <c r="A36">
        <v>36</v>
      </c>
      <c r="B36">
        <v>556.5</v>
      </c>
    </row>
    <row r="37" spans="1:2" x14ac:dyDescent="0.25">
      <c r="A37">
        <v>37</v>
      </c>
      <c r="B37">
        <v>572.4</v>
      </c>
    </row>
    <row r="38" spans="1:2" x14ac:dyDescent="0.25">
      <c r="A38">
        <v>38</v>
      </c>
      <c r="B38">
        <v>588.29999999999995</v>
      </c>
    </row>
    <row r="39" spans="1:2" x14ac:dyDescent="0.25">
      <c r="A39">
        <v>39</v>
      </c>
      <c r="B39">
        <v>604.20000000000005</v>
      </c>
    </row>
    <row r="40" spans="1:2" x14ac:dyDescent="0.25">
      <c r="A40">
        <v>40</v>
      </c>
      <c r="B40">
        <v>620.1</v>
      </c>
    </row>
    <row r="41" spans="1:2" x14ac:dyDescent="0.25">
      <c r="A41">
        <v>41</v>
      </c>
      <c r="B41">
        <v>636</v>
      </c>
    </row>
    <row r="42" spans="1:2" x14ac:dyDescent="0.25">
      <c r="A42">
        <v>42</v>
      </c>
      <c r="B42">
        <v>651.9</v>
      </c>
    </row>
    <row r="43" spans="1:2" x14ac:dyDescent="0.25">
      <c r="A43">
        <v>43</v>
      </c>
      <c r="B43">
        <v>667.8</v>
      </c>
    </row>
    <row r="44" spans="1:2" x14ac:dyDescent="0.25">
      <c r="A44">
        <v>44</v>
      </c>
      <c r="B44">
        <v>683.7</v>
      </c>
    </row>
    <row r="45" spans="1:2" x14ac:dyDescent="0.25">
      <c r="A45">
        <v>45</v>
      </c>
      <c r="B45">
        <v>699.6</v>
      </c>
    </row>
    <row r="46" spans="1:2" x14ac:dyDescent="0.25">
      <c r="A46">
        <v>46</v>
      </c>
      <c r="B46">
        <v>715.5</v>
      </c>
    </row>
    <row r="47" spans="1:2" x14ac:dyDescent="0.25">
      <c r="A47">
        <v>47</v>
      </c>
      <c r="B47">
        <v>731.4</v>
      </c>
    </row>
    <row r="48" spans="1:2" x14ac:dyDescent="0.25">
      <c r="A48">
        <v>48</v>
      </c>
      <c r="B48">
        <v>747.3</v>
      </c>
    </row>
    <row r="49" spans="1:2" x14ac:dyDescent="0.25">
      <c r="A49">
        <v>49</v>
      </c>
      <c r="B49">
        <v>753.37</v>
      </c>
    </row>
    <row r="50" spans="1:2" x14ac:dyDescent="0.25">
      <c r="A50">
        <v>50</v>
      </c>
      <c r="B50">
        <v>745.79</v>
      </c>
    </row>
    <row r="51" spans="1:2" x14ac:dyDescent="0.25">
      <c r="A51">
        <v>51</v>
      </c>
      <c r="B51">
        <v>738.3</v>
      </c>
    </row>
    <row r="52" spans="1:2" x14ac:dyDescent="0.25">
      <c r="A52">
        <v>52</v>
      </c>
      <c r="B52">
        <v>730.91</v>
      </c>
    </row>
    <row r="53" spans="1:2" x14ac:dyDescent="0.25">
      <c r="A53">
        <v>53</v>
      </c>
      <c r="B53">
        <v>723.61</v>
      </c>
    </row>
    <row r="54" spans="1:2" x14ac:dyDescent="0.25">
      <c r="A54">
        <v>54</v>
      </c>
      <c r="B54">
        <v>716.41</v>
      </c>
    </row>
    <row r="55" spans="1:2" x14ac:dyDescent="0.25">
      <c r="A55">
        <v>55</v>
      </c>
      <c r="B55">
        <v>709.31</v>
      </c>
    </row>
    <row r="56" spans="1:2" x14ac:dyDescent="0.25">
      <c r="A56">
        <v>56</v>
      </c>
      <c r="B56">
        <v>702.3</v>
      </c>
    </row>
    <row r="57" spans="1:2" x14ac:dyDescent="0.25">
      <c r="A57">
        <v>57</v>
      </c>
      <c r="B57">
        <v>695.39</v>
      </c>
    </row>
    <row r="58" spans="1:2" x14ac:dyDescent="0.25">
      <c r="A58">
        <v>58</v>
      </c>
      <c r="B58">
        <v>688.57</v>
      </c>
    </row>
    <row r="59" spans="1:2" x14ac:dyDescent="0.25">
      <c r="A59">
        <v>59</v>
      </c>
      <c r="B59">
        <v>681.85</v>
      </c>
    </row>
    <row r="60" spans="1:2" x14ac:dyDescent="0.25">
      <c r="A60">
        <v>60</v>
      </c>
      <c r="B60">
        <v>675.23</v>
      </c>
    </row>
    <row r="61" spans="1:2" x14ac:dyDescent="0.25">
      <c r="A61">
        <v>61</v>
      </c>
      <c r="B61">
        <v>668.7</v>
      </c>
    </row>
    <row r="62" spans="1:2" x14ac:dyDescent="0.25">
      <c r="A62">
        <v>62</v>
      </c>
      <c r="B62">
        <v>662.27</v>
      </c>
    </row>
    <row r="63" spans="1:2" x14ac:dyDescent="0.25">
      <c r="A63">
        <v>63</v>
      </c>
      <c r="B63">
        <v>655.93</v>
      </c>
    </row>
    <row r="64" spans="1:2" x14ac:dyDescent="0.25">
      <c r="A64">
        <v>64</v>
      </c>
      <c r="B64">
        <v>649.69000000000005</v>
      </c>
    </row>
    <row r="65" spans="1:2" x14ac:dyDescent="0.25">
      <c r="A65">
        <v>65</v>
      </c>
      <c r="B65">
        <v>643.54999999999995</v>
      </c>
    </row>
    <row r="66" spans="1:2" x14ac:dyDescent="0.25">
      <c r="A66">
        <v>66</v>
      </c>
      <c r="B66">
        <v>637.5</v>
      </c>
    </row>
    <row r="67" spans="1:2" x14ac:dyDescent="0.25">
      <c r="A67">
        <v>67</v>
      </c>
      <c r="B67">
        <v>631.54999999999995</v>
      </c>
    </row>
    <row r="68" spans="1:2" x14ac:dyDescent="0.25">
      <c r="A68">
        <v>68</v>
      </c>
      <c r="B68">
        <v>625.69000000000005</v>
      </c>
    </row>
    <row r="69" spans="1:2" x14ac:dyDescent="0.25">
      <c r="A69">
        <v>69</v>
      </c>
      <c r="B69">
        <v>619.92999999999995</v>
      </c>
    </row>
    <row r="70" spans="1:2" x14ac:dyDescent="0.25">
      <c r="A70">
        <v>70</v>
      </c>
      <c r="B70">
        <v>614.27</v>
      </c>
    </row>
    <row r="71" spans="1:2" x14ac:dyDescent="0.25">
      <c r="A71">
        <v>71</v>
      </c>
      <c r="B71">
        <v>608.70000000000005</v>
      </c>
    </row>
    <row r="72" spans="1:2" x14ac:dyDescent="0.25">
      <c r="A72">
        <v>72</v>
      </c>
      <c r="B72">
        <v>603.23</v>
      </c>
    </row>
    <row r="73" spans="1:2" x14ac:dyDescent="0.25">
      <c r="A73">
        <v>73</v>
      </c>
      <c r="B73">
        <v>597.85</v>
      </c>
    </row>
    <row r="74" spans="1:2" x14ac:dyDescent="0.25">
      <c r="A74">
        <v>74</v>
      </c>
      <c r="B74">
        <v>592.57000000000005</v>
      </c>
    </row>
    <row r="75" spans="1:2" x14ac:dyDescent="0.25">
      <c r="A75">
        <v>75</v>
      </c>
      <c r="B75">
        <v>587.39</v>
      </c>
    </row>
    <row r="76" spans="1:2" x14ac:dyDescent="0.25">
      <c r="A76">
        <v>76</v>
      </c>
      <c r="B76">
        <v>582.29999999999995</v>
      </c>
    </row>
    <row r="77" spans="1:2" x14ac:dyDescent="0.25">
      <c r="A77">
        <v>77</v>
      </c>
      <c r="B77">
        <v>577.30999999999995</v>
      </c>
    </row>
    <row r="78" spans="1:2" x14ac:dyDescent="0.25">
      <c r="A78">
        <v>78</v>
      </c>
      <c r="B78">
        <v>572.41</v>
      </c>
    </row>
    <row r="79" spans="1:2" x14ac:dyDescent="0.25">
      <c r="A79">
        <v>79</v>
      </c>
      <c r="B79">
        <v>567.61</v>
      </c>
    </row>
    <row r="80" spans="1:2" x14ac:dyDescent="0.25">
      <c r="A80">
        <v>80</v>
      </c>
      <c r="B80">
        <v>562.91</v>
      </c>
    </row>
    <row r="81" spans="1:2" x14ac:dyDescent="0.25">
      <c r="A81">
        <v>81</v>
      </c>
      <c r="B81">
        <v>558.29999999999995</v>
      </c>
    </row>
    <row r="82" spans="1:2" x14ac:dyDescent="0.25">
      <c r="A82">
        <v>82</v>
      </c>
      <c r="B82">
        <v>553.79</v>
      </c>
    </row>
    <row r="83" spans="1:2" x14ac:dyDescent="0.25">
      <c r="A83">
        <v>83</v>
      </c>
      <c r="B83">
        <v>549.37</v>
      </c>
    </row>
    <row r="84" spans="1:2" x14ac:dyDescent="0.25">
      <c r="A84">
        <v>84</v>
      </c>
      <c r="B84">
        <v>545.04999999999995</v>
      </c>
    </row>
    <row r="85" spans="1:2" x14ac:dyDescent="0.25">
      <c r="A85">
        <v>85</v>
      </c>
      <c r="B85">
        <v>540.83000000000004</v>
      </c>
    </row>
    <row r="86" spans="1:2" x14ac:dyDescent="0.25">
      <c r="A86">
        <v>86</v>
      </c>
      <c r="B86">
        <v>536.70000000000005</v>
      </c>
    </row>
    <row r="87" spans="1:2" x14ac:dyDescent="0.25">
      <c r="A87">
        <v>87</v>
      </c>
      <c r="B87">
        <v>532.66999999999996</v>
      </c>
    </row>
    <row r="88" spans="1:2" x14ac:dyDescent="0.25">
      <c r="A88">
        <v>88</v>
      </c>
      <c r="B88">
        <v>528.73</v>
      </c>
    </row>
    <row r="89" spans="1:2" x14ac:dyDescent="0.25">
      <c r="A89">
        <v>89</v>
      </c>
      <c r="B89">
        <v>524.89</v>
      </c>
    </row>
    <row r="90" spans="1:2" x14ac:dyDescent="0.25">
      <c r="A90">
        <v>90</v>
      </c>
      <c r="B90">
        <v>521.15</v>
      </c>
    </row>
    <row r="91" spans="1:2" x14ac:dyDescent="0.25">
      <c r="A91">
        <v>91</v>
      </c>
      <c r="B91">
        <v>517.5</v>
      </c>
    </row>
    <row r="92" spans="1:2" x14ac:dyDescent="0.25">
      <c r="A92">
        <v>92</v>
      </c>
      <c r="B92">
        <v>513.95000000000005</v>
      </c>
    </row>
    <row r="93" spans="1:2" x14ac:dyDescent="0.25">
      <c r="A93">
        <v>93</v>
      </c>
      <c r="B93">
        <v>510.49</v>
      </c>
    </row>
    <row r="94" spans="1:2" x14ac:dyDescent="0.25">
      <c r="A94">
        <v>94</v>
      </c>
      <c r="B94">
        <v>507.13</v>
      </c>
    </row>
    <row r="95" spans="1:2" x14ac:dyDescent="0.25">
      <c r="A95">
        <v>95</v>
      </c>
      <c r="B95">
        <v>503.87</v>
      </c>
    </row>
    <row r="96" spans="1:2" x14ac:dyDescent="0.25">
      <c r="A96">
        <v>96</v>
      </c>
      <c r="B96">
        <v>500.7</v>
      </c>
    </row>
    <row r="97" spans="1:2" x14ac:dyDescent="0.25">
      <c r="A97">
        <v>97</v>
      </c>
      <c r="B97">
        <v>497.63</v>
      </c>
    </row>
    <row r="98" spans="1:2" x14ac:dyDescent="0.25">
      <c r="A98">
        <v>98</v>
      </c>
      <c r="B98">
        <v>494.65</v>
      </c>
    </row>
    <row r="99" spans="1:2" x14ac:dyDescent="0.25">
      <c r="A99">
        <v>99</v>
      </c>
      <c r="B99">
        <v>491.77</v>
      </c>
    </row>
    <row r="100" spans="1:2" x14ac:dyDescent="0.25">
      <c r="A100">
        <v>100</v>
      </c>
      <c r="B100">
        <v>488.99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EF21-8666-430D-9780-CE8A7F39FB76}">
  <dimension ref="A1:B25"/>
  <sheetViews>
    <sheetView workbookViewId="0">
      <selection activeCell="B25" sqref="A1:B25"/>
    </sheetView>
  </sheetViews>
  <sheetFormatPr defaultRowHeight="15" x14ac:dyDescent="0.25"/>
  <sheetData>
    <row r="1" spans="1:2" x14ac:dyDescent="0.25">
      <c r="A1">
        <v>0.14799999999999999</v>
      </c>
      <c r="B1">
        <v>7.6379999999999999</v>
      </c>
    </row>
    <row r="2" spans="1:2" x14ac:dyDescent="0.25">
      <c r="A2">
        <v>0.22800000000000001</v>
      </c>
      <c r="B2">
        <v>12.253</v>
      </c>
    </row>
    <row r="3" spans="1:2" x14ac:dyDescent="0.25">
      <c r="A3">
        <v>0.29399999999999998</v>
      </c>
      <c r="B3">
        <v>16.390999999999998</v>
      </c>
    </row>
    <row r="4" spans="1:2" x14ac:dyDescent="0.25">
      <c r="A4">
        <v>0.35299999999999998</v>
      </c>
      <c r="B4">
        <v>20.21</v>
      </c>
    </row>
    <row r="5" spans="1:2" x14ac:dyDescent="0.25">
      <c r="A5">
        <v>0.41899999999999998</v>
      </c>
      <c r="B5">
        <v>22.756</v>
      </c>
    </row>
    <row r="6" spans="1:2" x14ac:dyDescent="0.25">
      <c r="A6">
        <v>0.47699999999999998</v>
      </c>
      <c r="B6">
        <v>25.26</v>
      </c>
    </row>
    <row r="7" spans="1:2" x14ac:dyDescent="0.25">
      <c r="A7">
        <v>0.52</v>
      </c>
      <c r="B7">
        <v>23.074000000000002</v>
      </c>
    </row>
    <row r="8" spans="1:2" x14ac:dyDescent="0.25">
      <c r="A8">
        <v>0.59299999999999997</v>
      </c>
      <c r="B8">
        <v>20.844999999999999</v>
      </c>
    </row>
    <row r="9" spans="1:2" x14ac:dyDescent="0.25">
      <c r="A9">
        <v>0.68799999999999994</v>
      </c>
      <c r="B9">
        <v>19.093</v>
      </c>
    </row>
    <row r="10" spans="1:2" x14ac:dyDescent="0.25">
      <c r="A10">
        <v>0.85499999999999998</v>
      </c>
      <c r="B10">
        <v>17.5</v>
      </c>
    </row>
    <row r="11" spans="1:2" x14ac:dyDescent="0.25">
      <c r="A11">
        <v>1.0369999999999999</v>
      </c>
      <c r="B11">
        <v>16.225000000000001</v>
      </c>
    </row>
    <row r="12" spans="1:2" x14ac:dyDescent="0.25">
      <c r="A12">
        <v>1.2050000000000001</v>
      </c>
      <c r="B12">
        <v>15.427</v>
      </c>
    </row>
    <row r="13" spans="1:2" x14ac:dyDescent="0.25">
      <c r="A13">
        <v>1.423</v>
      </c>
      <c r="B13">
        <v>14.948</v>
      </c>
    </row>
    <row r="14" spans="1:2" x14ac:dyDescent="0.25">
      <c r="A14">
        <v>1.452</v>
      </c>
      <c r="B14">
        <v>14.627000000000001</v>
      </c>
    </row>
    <row r="15" spans="1:2" x14ac:dyDescent="0.25">
      <c r="A15">
        <v>1.5029999999999999</v>
      </c>
      <c r="B15">
        <v>15.741</v>
      </c>
    </row>
    <row r="16" spans="1:2" x14ac:dyDescent="0.25">
      <c r="A16">
        <v>1.736</v>
      </c>
      <c r="B16">
        <v>14.785</v>
      </c>
    </row>
    <row r="17" spans="1:2" x14ac:dyDescent="0.25">
      <c r="A17">
        <v>1.9550000000000001</v>
      </c>
      <c r="B17">
        <v>14.622999999999999</v>
      </c>
    </row>
    <row r="18" spans="1:2" x14ac:dyDescent="0.25">
      <c r="A18">
        <v>2.21</v>
      </c>
      <c r="B18">
        <v>14.141</v>
      </c>
    </row>
    <row r="19" spans="1:2" x14ac:dyDescent="0.25">
      <c r="A19">
        <v>2.4940000000000002</v>
      </c>
      <c r="B19">
        <v>13.819000000000001</v>
      </c>
    </row>
    <row r="20" spans="1:2" x14ac:dyDescent="0.25">
      <c r="A20">
        <v>2.7629999999999999</v>
      </c>
      <c r="B20">
        <v>13.337999999999999</v>
      </c>
    </row>
    <row r="21" spans="1:2" x14ac:dyDescent="0.25">
      <c r="A21">
        <v>3.12</v>
      </c>
      <c r="B21">
        <v>13.334</v>
      </c>
    </row>
    <row r="22" spans="1:2" x14ac:dyDescent="0.25">
      <c r="A22">
        <v>3.3820000000000001</v>
      </c>
      <c r="B22">
        <v>13.013</v>
      </c>
    </row>
    <row r="23" spans="1:2" x14ac:dyDescent="0.25">
      <c r="A23">
        <v>3.4039999999999999</v>
      </c>
      <c r="B23">
        <v>9.3520000000000003</v>
      </c>
    </row>
    <row r="24" spans="1:2" x14ac:dyDescent="0.25">
      <c r="A24">
        <v>3.4180000000000001</v>
      </c>
      <c r="B24">
        <v>4.8949999999999996</v>
      </c>
    </row>
    <row r="25" spans="1:2" x14ac:dyDescent="0.25">
      <c r="A25">
        <v>3.45</v>
      </c>
      <c r="B2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19"/>
  <sheetViews>
    <sheetView workbookViewId="0"/>
  </sheetViews>
  <sheetFormatPr defaultRowHeight="15" x14ac:dyDescent="0.25"/>
  <cols>
    <col min="1" max="1" width="16" style="7" bestFit="1" customWidth="1"/>
    <col min="2" max="2" width="10.85546875" style="8" bestFit="1" customWidth="1"/>
    <col min="3" max="3" width="13.5703125" style="9" bestFit="1" customWidth="1"/>
    <col min="4" max="6" width="13.5703125" style="7" bestFit="1" customWidth="1"/>
    <col min="7" max="7" width="12.28515625" style="7" bestFit="1" customWidth="1"/>
    <col min="8" max="8" width="13.5703125" style="9" bestFit="1" customWidth="1"/>
    <col min="9" max="10" width="13.5703125" style="7" bestFit="1" customWidth="1"/>
  </cols>
  <sheetData>
    <row r="1" spans="1:10" ht="18.75" customHeight="1" x14ac:dyDescent="0.25">
      <c r="A1" s="1" t="s">
        <v>0</v>
      </c>
      <c r="B1" s="2"/>
      <c r="C1" s="3"/>
      <c r="D1" s="1"/>
      <c r="E1" s="1"/>
      <c r="F1" s="1"/>
      <c r="G1" s="1"/>
      <c r="H1" s="3"/>
      <c r="I1" s="1"/>
      <c r="J1" s="1"/>
    </row>
    <row r="2" spans="1:10" ht="18.75" customHeight="1" x14ac:dyDescent="0.25">
      <c r="A2" s="1"/>
      <c r="B2" s="2"/>
      <c r="C2" s="3"/>
      <c r="D2" s="1"/>
      <c r="E2" s="1"/>
      <c r="F2" s="1"/>
      <c r="G2" s="1"/>
      <c r="H2" s="3"/>
      <c r="I2" s="1"/>
      <c r="J2" s="1"/>
    </row>
    <row r="3" spans="1:10" ht="18.75" customHeight="1" x14ac:dyDescent="0.25">
      <c r="A3" s="1"/>
      <c r="B3" s="2"/>
      <c r="C3" s="3"/>
      <c r="D3" s="1"/>
      <c r="E3" s="1"/>
      <c r="F3" s="1"/>
      <c r="G3" s="1"/>
      <c r="H3" s="3"/>
      <c r="I3" s="1"/>
      <c r="J3" s="1"/>
    </row>
    <row r="4" spans="1:10" ht="18.75" customHeight="1" x14ac:dyDescent="0.25">
      <c r="A4" s="1"/>
      <c r="B4" s="2"/>
      <c r="C4" s="3"/>
      <c r="D4" s="1"/>
      <c r="E4" s="1"/>
      <c r="F4" s="1"/>
      <c r="G4" s="1"/>
      <c r="H4" s="3"/>
      <c r="I4" s="1"/>
      <c r="J4" s="1"/>
    </row>
    <row r="5" spans="1:10" ht="18.75" customHeight="1" x14ac:dyDescent="0.25">
      <c r="A5" s="1" t="s">
        <v>1</v>
      </c>
      <c r="B5" s="2"/>
      <c r="C5" s="3"/>
      <c r="D5" s="1"/>
      <c r="E5" s="1"/>
      <c r="F5" s="1"/>
      <c r="G5" s="1" t="s">
        <v>2</v>
      </c>
      <c r="H5" s="3"/>
      <c r="I5" s="1"/>
      <c r="J5" s="1"/>
    </row>
    <row r="6" spans="1:10" ht="18.75" customHeight="1" x14ac:dyDescent="0.25">
      <c r="A6" s="1" t="s">
        <v>3</v>
      </c>
      <c r="B6" s="2"/>
      <c r="C6" s="4">
        <f>PI()*('Volume Calculations'!C4/2)^2</f>
        <v>7.2966168854423252E-2</v>
      </c>
      <c r="D6" s="1" t="s">
        <v>4</v>
      </c>
      <c r="E6" s="1"/>
      <c r="F6" s="1"/>
      <c r="G6" s="1" t="s">
        <v>5</v>
      </c>
      <c r="H6" s="4">
        <v>0.75</v>
      </c>
      <c r="I6" s="1"/>
      <c r="J6" s="1"/>
    </row>
    <row r="7" spans="1:10" ht="18.75" customHeight="1" x14ac:dyDescent="0.25">
      <c r="A7" s="1" t="s">
        <v>6</v>
      </c>
      <c r="B7" s="4">
        <f>0.5*H7*H6*C6</f>
        <v>3.2834775984490458E-2</v>
      </c>
      <c r="C7" s="3"/>
      <c r="D7" s="1"/>
      <c r="E7" s="1"/>
      <c r="F7" s="1"/>
      <c r="G7" s="1" t="s">
        <v>7</v>
      </c>
      <c r="H7" s="4">
        <v>1.2</v>
      </c>
      <c r="I7" s="1" t="s">
        <v>8</v>
      </c>
      <c r="J7" s="1"/>
    </row>
    <row r="8" spans="1:10" ht="18.75" customHeight="1" x14ac:dyDescent="0.25">
      <c r="A8" s="1" t="s">
        <v>9</v>
      </c>
      <c r="B8" s="4">
        <f>Engines!B10</f>
        <v>1.6</v>
      </c>
      <c r="C8" s="3" t="s">
        <v>10</v>
      </c>
      <c r="D8" s="1"/>
      <c r="E8" s="1"/>
      <c r="F8" s="1"/>
      <c r="G8" s="1"/>
      <c r="H8" s="3"/>
      <c r="I8" s="1"/>
      <c r="J8" s="1"/>
    </row>
    <row r="9" spans="1:10" ht="18.75" customHeight="1" x14ac:dyDescent="0.25">
      <c r="A9" s="1" t="s">
        <v>11</v>
      </c>
      <c r="B9" s="5">
        <f>Engines!B9</f>
        <v>987</v>
      </c>
      <c r="C9" s="3" t="s">
        <v>12</v>
      </c>
      <c r="D9" s="70" t="s">
        <v>13</v>
      </c>
      <c r="E9" s="70"/>
      <c r="F9" s="70"/>
      <c r="G9" s="70"/>
      <c r="H9" s="71"/>
      <c r="I9" s="70"/>
      <c r="J9" s="6"/>
    </row>
    <row r="10" spans="1:10" ht="18.75" customHeight="1" x14ac:dyDescent="0.25">
      <c r="A10" s="1"/>
      <c r="B10" s="2"/>
      <c r="C10" s="3"/>
      <c r="D10" s="1"/>
      <c r="E10" s="1"/>
      <c r="F10" s="1"/>
      <c r="G10" s="1"/>
      <c r="H10" s="3"/>
      <c r="I10" s="1"/>
      <c r="J10" s="1"/>
    </row>
    <row r="11" spans="1:10" ht="18.75" customHeight="1" x14ac:dyDescent="0.25">
      <c r="A11" s="1" t="s">
        <v>14</v>
      </c>
      <c r="B11" s="4">
        <f>Engines!B20+Engines!B22+Engines!B11</f>
        <v>2.1060887515949851</v>
      </c>
      <c r="C11" s="3" t="s">
        <v>15</v>
      </c>
      <c r="D11" s="1"/>
      <c r="E11" s="1"/>
      <c r="F11" s="1"/>
      <c r="G11" s="1"/>
      <c r="H11" s="3"/>
      <c r="I11" s="1"/>
      <c r="J11" s="1"/>
    </row>
    <row r="12" spans="1:10" ht="18.75" customHeight="1" x14ac:dyDescent="0.25">
      <c r="A12" s="1"/>
      <c r="B12" s="2"/>
      <c r="C12" s="3"/>
      <c r="D12" s="1"/>
      <c r="E12" s="1"/>
      <c r="F12" s="1"/>
      <c r="G12" s="1"/>
      <c r="H12" s="3"/>
      <c r="I12" s="1"/>
      <c r="J12" s="1"/>
    </row>
    <row r="13" spans="1:10" ht="18.75" customHeight="1" x14ac:dyDescent="0.25">
      <c r="A13" s="1" t="s">
        <v>16</v>
      </c>
      <c r="B13" s="4">
        <f>SQRT((B9-(B11*9.81))/B7)</f>
        <v>171.55278996359638</v>
      </c>
      <c r="C13" s="3"/>
      <c r="D13" s="1"/>
      <c r="E13" s="1"/>
      <c r="F13" s="1"/>
      <c r="G13" s="1"/>
      <c r="H13" s="3"/>
      <c r="I13" s="1"/>
      <c r="J13" s="1"/>
    </row>
    <row r="14" spans="1:10" ht="18.75" customHeight="1" x14ac:dyDescent="0.25">
      <c r="A14" s="1" t="s">
        <v>17</v>
      </c>
      <c r="B14" s="4">
        <f>(2*B7*B13)/B11</f>
        <v>5.3491548480120974</v>
      </c>
      <c r="C14" s="3"/>
      <c r="D14" s="1"/>
      <c r="E14" s="1"/>
      <c r="F14" s="1"/>
      <c r="G14" s="1"/>
      <c r="H14" s="3"/>
      <c r="I14" s="1"/>
      <c r="J14" s="1"/>
    </row>
    <row r="15" spans="1:10" ht="18.75" customHeight="1" x14ac:dyDescent="0.25">
      <c r="A15" s="1"/>
      <c r="B15" s="2"/>
      <c r="C15" s="3"/>
      <c r="D15" s="1"/>
      <c r="E15" s="1"/>
      <c r="F15" s="1"/>
      <c r="G15" s="1"/>
      <c r="H15" s="3"/>
      <c r="I15" s="1"/>
      <c r="J15" s="1"/>
    </row>
    <row r="16" spans="1:10" ht="18.75" customHeight="1" x14ac:dyDescent="0.25">
      <c r="A16" s="1" t="s">
        <v>18</v>
      </c>
      <c r="B16" s="4">
        <f>B13*(1-EXP(-B14*B8))/(1+EXP(-B14*B8))</f>
        <v>171.48696798031321</v>
      </c>
      <c r="C16" s="3" t="s">
        <v>19</v>
      </c>
      <c r="D16" s="1"/>
      <c r="E16" s="1"/>
      <c r="F16" s="1"/>
      <c r="G16" s="1"/>
      <c r="H16" s="3"/>
      <c r="I16" s="1"/>
      <c r="J16" s="1"/>
    </row>
    <row r="17" spans="1:10" ht="18.75" customHeight="1" x14ac:dyDescent="0.25">
      <c r="A17" s="1" t="s">
        <v>20</v>
      </c>
      <c r="B17" s="4">
        <f>(-B11/(2*B7))*LN((B9-(B11*9.81)-B7*B16^2)/(B9-B11*9.81))</f>
        <v>230.03691216608831</v>
      </c>
      <c r="C17" s="3" t="s">
        <v>21</v>
      </c>
      <c r="D17" s="1"/>
      <c r="E17" s="1"/>
      <c r="F17" s="1"/>
      <c r="G17" s="1"/>
      <c r="H17" s="3"/>
      <c r="I17" s="1"/>
      <c r="J17" s="1"/>
    </row>
    <row r="18" spans="1:10" ht="18.75" customHeight="1" x14ac:dyDescent="0.25">
      <c r="A18" s="1" t="s">
        <v>22</v>
      </c>
      <c r="B18" s="4">
        <f>(B11/(2*B7))*LN((B11*9.81+B7*B16^2)/(B11*9.81))</f>
        <v>123.97637654657298</v>
      </c>
      <c r="C18" s="3" t="s">
        <v>21</v>
      </c>
      <c r="D18" s="1"/>
      <c r="E18" s="1"/>
      <c r="F18" s="1"/>
      <c r="G18" s="1"/>
      <c r="H18" s="3"/>
      <c r="I18" s="1"/>
      <c r="J18" s="1"/>
    </row>
    <row r="19" spans="1:10" ht="18.75" customHeight="1" x14ac:dyDescent="0.25">
      <c r="A19" s="1" t="s">
        <v>23</v>
      </c>
      <c r="B19" s="4">
        <f>B18+B17</f>
        <v>354.01328871266128</v>
      </c>
      <c r="C19" s="3" t="s">
        <v>21</v>
      </c>
      <c r="D19" s="1"/>
      <c r="E19" s="1"/>
      <c r="F19" s="1"/>
      <c r="G19" s="1"/>
      <c r="H19" s="3"/>
      <c r="I19" s="1"/>
      <c r="J19" s="1"/>
    </row>
  </sheetData>
  <mergeCells count="1">
    <mergeCell ref="D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Volume Calculations</vt:lpstr>
      <vt:lpstr>Engines</vt:lpstr>
      <vt:lpstr>Sheet2</vt:lpstr>
      <vt:lpstr>Sheet1</vt:lpstr>
      <vt:lpstr>Trajectory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Mathieu Cote</cp:lastModifiedBy>
  <dcterms:created xsi:type="dcterms:W3CDTF">2022-11-26T01:51:02Z</dcterms:created>
  <dcterms:modified xsi:type="dcterms:W3CDTF">2022-11-26T04:58:52Z</dcterms:modified>
</cp:coreProperties>
</file>