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mathi\Desktop\python\PythonSim\"/>
    </mc:Choice>
  </mc:AlternateContent>
  <xr:revisionPtr revIDLastSave="0" documentId="13_ncr:1_{C75491A4-B41B-4B95-9C94-D27AB5A88991}" xr6:coauthVersionLast="47" xr6:coauthVersionMax="47" xr10:uidLastSave="{00000000-0000-0000-0000-000000000000}"/>
  <bookViews>
    <workbookView xWindow="19230" yWindow="1920" windowWidth="16080" windowHeight="14805" activeTab="1" xr2:uid="{00000000-000D-0000-FFFF-FFFF00000000}"/>
  </bookViews>
  <sheets>
    <sheet name="Volume Calculations" sheetId="1" r:id="rId1"/>
    <sheet name="Engines" sheetId="2" r:id="rId2"/>
    <sheet name="Trajecto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2" l="1"/>
  <c r="O9" i="2"/>
  <c r="O30" i="2"/>
  <c r="O18" i="2"/>
  <c r="O15" i="2"/>
  <c r="O14" i="2"/>
  <c r="O24" i="2" s="1"/>
  <c r="O13" i="2"/>
  <c r="K20" i="2"/>
  <c r="K18" i="2"/>
  <c r="K30" i="2"/>
  <c r="K9" i="2"/>
  <c r="G13" i="2"/>
  <c r="B13" i="2"/>
  <c r="G18" i="2"/>
  <c r="G20" i="2"/>
  <c r="G16" i="2" s="1"/>
  <c r="G15" i="2"/>
  <c r="G14" i="2"/>
  <c r="G24" i="2" s="1"/>
  <c r="G30" i="2"/>
  <c r="B30" i="2"/>
  <c r="B15" i="2"/>
  <c r="B14" i="2"/>
  <c r="B24" i="2" s="1"/>
  <c r="G9" i="2"/>
  <c r="B24" i="1"/>
  <c r="B8" i="3"/>
  <c r="C6" i="3"/>
  <c r="B7" i="3" s="1"/>
  <c r="B18" i="2"/>
  <c r="B9" i="2"/>
  <c r="B9" i="3" s="1"/>
  <c r="C6" i="2"/>
  <c r="B5" i="2"/>
  <c r="C5" i="2" s="1"/>
  <c r="B16" i="1"/>
  <c r="B14" i="1"/>
  <c r="B13" i="1"/>
  <c r="B12" i="1"/>
  <c r="C5" i="1"/>
  <c r="C4" i="1"/>
  <c r="B7" i="1" s="1"/>
  <c r="B26" i="2" l="1"/>
  <c r="C25" i="1"/>
  <c r="B29" i="1"/>
  <c r="D29" i="1" s="1"/>
  <c r="B33" i="1" s="1"/>
  <c r="B20" i="2" s="1"/>
  <c r="B16" i="2" s="1"/>
  <c r="B11" i="3" l="1"/>
  <c r="B32" i="2"/>
  <c r="B36" i="2" s="1"/>
  <c r="B13" i="3" l="1"/>
  <c r="B14" i="3" l="1"/>
  <c r="B16" i="3" s="1"/>
  <c r="B18" i="3" l="1"/>
  <c r="B17" i="3"/>
  <c r="B19" i="3" l="1"/>
</calcChain>
</file>

<file path=xl/sharedStrings.xml><?xml version="1.0" encoding="utf-8"?>
<sst xmlns="http://schemas.openxmlformats.org/spreadsheetml/2006/main" count="212" uniqueCount="74">
  <si>
    <t>Supposed More Accurate Equations for Rocket Motion</t>
  </si>
  <si>
    <t>Useful terms:</t>
  </si>
  <si>
    <t>Assume:</t>
  </si>
  <si>
    <t>Cross-sectional area:</t>
  </si>
  <si>
    <t>m^2</t>
  </si>
  <si>
    <t>Cd:</t>
  </si>
  <si>
    <t>k:</t>
  </si>
  <si>
    <t>Air Density:</t>
  </si>
  <si>
    <t>kg/m^3</t>
  </si>
  <si>
    <t>burn time:</t>
  </si>
  <si>
    <t>s</t>
  </si>
  <si>
    <t>Total Thrust:</t>
  </si>
  <si>
    <t>N</t>
  </si>
  <si>
    <t>http://www.rocketmime.com/rockets/RocketEquations.pdf</t>
  </si>
  <si>
    <t>Rocket Mass Init</t>
  </si>
  <si>
    <t>kg</t>
  </si>
  <si>
    <t>q:</t>
  </si>
  <si>
    <t>x:</t>
  </si>
  <si>
    <t>boostVelocity</t>
  </si>
  <si>
    <t>m/s</t>
  </si>
  <si>
    <t>boostAlt</t>
  </si>
  <si>
    <t>m</t>
  </si>
  <si>
    <t>coastAlt</t>
  </si>
  <si>
    <t>totalAlt</t>
  </si>
  <si>
    <t>Engines:</t>
  </si>
  <si>
    <t>ESTES D12-5</t>
  </si>
  <si>
    <t>Number:</t>
  </si>
  <si>
    <t>Dimensions:</t>
  </si>
  <si>
    <t>cm</t>
  </si>
  <si>
    <t>Diameter:</t>
  </si>
  <si>
    <t>Height:</t>
  </si>
  <si>
    <t>Thrust:</t>
  </si>
  <si>
    <t>Burn Time:</t>
  </si>
  <si>
    <t>Max Lift Weight/u:</t>
  </si>
  <si>
    <t>Total Max Lift W</t>
  </si>
  <si>
    <t>Mass Struct:</t>
  </si>
  <si>
    <t>Total Initial Mass</t>
  </si>
  <si>
    <t>TWR:</t>
  </si>
  <si>
    <t>Impulse:</t>
  </si>
  <si>
    <t>N*s</t>
  </si>
  <si>
    <t>Specific Impulse:</t>
  </si>
  <si>
    <t>Burn Velocity:</t>
  </si>
  <si>
    <t>Speed of Sound:</t>
  </si>
  <si>
    <t>Max Mach</t>
  </si>
  <si>
    <t>Body:</t>
  </si>
  <si>
    <t>Cone</t>
  </si>
  <si>
    <t>in</t>
  </si>
  <si>
    <t>Base:</t>
  </si>
  <si>
    <t>Volume=</t>
  </si>
  <si>
    <t>m^3</t>
  </si>
  <si>
    <t>Payload Bay:</t>
  </si>
  <si>
    <t>Truncated Cone</t>
  </si>
  <si>
    <t>R:</t>
  </si>
  <si>
    <t>r:</t>
  </si>
  <si>
    <t>h:</t>
  </si>
  <si>
    <t>Cyllinder</t>
  </si>
  <si>
    <t>Diam.:</t>
  </si>
  <si>
    <t>(Engines 3/4 in)</t>
  </si>
  <si>
    <t>x 30 engines:</t>
  </si>
  <si>
    <t>Total:</t>
  </si>
  <si>
    <t>Infill:</t>
  </si>
  <si>
    <t xml:space="preserve">Volume = </t>
  </si>
  <si>
    <t>Assuming full 3d-printed body:</t>
  </si>
  <si>
    <t>Density:</t>
  </si>
  <si>
    <t xml:space="preserve">Mass = </t>
  </si>
  <si>
    <t>ESTES F15-4</t>
  </si>
  <si>
    <t>Dry Mass/u</t>
  </si>
  <si>
    <t>Wet Mass/u</t>
  </si>
  <si>
    <t>Total Mass:</t>
  </si>
  <si>
    <t>Total Prop Mass</t>
  </si>
  <si>
    <t>Dry Mass:</t>
  </si>
  <si>
    <t>Total Mass/u</t>
  </si>
  <si>
    <t>AeroTech H13-P</t>
  </si>
  <si>
    <t>ESTES E12-4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</si>
</sst>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#,##0.000000"/>
    <numFmt numFmtId="166" formatCode="#,##0.0000"/>
    <numFmt numFmtId="167" formatCode="#,##0.00%"/>
    <numFmt numFmtId="168" formatCode="#,##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rgb="FFFF9999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4" fontId="0" fillId="0" borderId="0" xfId="0" applyNumberFormat="1" applyAlignment="1">
      <alignment horizontal="right"/>
    </xf>
    <xf numFmtId="4" fontId="0" fillId="0" borderId="0" xfId="0" applyNumberFormat="1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4" fontId="0" fillId="0" borderId="0" xfId="0" applyNumberFormat="1" applyAlignment="1">
      <alignment horizontal="left"/>
    </xf>
    <xf numFmtId="164" fontId="0" fillId="0" borderId="0" xfId="0" applyNumberFormat="1"/>
    <xf numFmtId="165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4" fontId="1" fillId="2" borderId="4" xfId="0" applyNumberFormat="1" applyFont="1" applyFill="1" applyBorder="1" applyAlignment="1">
      <alignment horizontal="left"/>
    </xf>
    <xf numFmtId="166" fontId="0" fillId="0" borderId="0" xfId="0" applyNumberFormat="1"/>
    <xf numFmtId="3" fontId="0" fillId="0" borderId="0" xfId="0" applyNumberFormat="1"/>
    <xf numFmtId="4" fontId="1" fillId="2" borderId="7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166" fontId="1" fillId="2" borderId="6" xfId="0" applyNumberFormat="1" applyFont="1" applyFill="1" applyBorder="1" applyAlignment="1">
      <alignment horizontal="left"/>
    </xf>
    <xf numFmtId="164" fontId="1" fillId="2" borderId="6" xfId="0" applyNumberFormat="1" applyFont="1" applyFill="1" applyBorder="1" applyAlignment="1">
      <alignment horizontal="right"/>
    </xf>
    <xf numFmtId="164" fontId="1" fillId="2" borderId="7" xfId="0" applyNumberFormat="1" applyFont="1" applyFill="1" applyBorder="1" applyAlignment="1">
      <alignment horizontal="right"/>
    </xf>
    <xf numFmtId="0" fontId="1" fillId="2" borderId="8" xfId="0" applyFont="1" applyFill="1" applyBorder="1" applyAlignment="1">
      <alignment horizontal="left"/>
    </xf>
    <xf numFmtId="4" fontId="1" fillId="2" borderId="10" xfId="0" applyNumberFormat="1" applyFont="1" applyFill="1" applyBorder="1" applyAlignment="1">
      <alignment horizontal="left"/>
    </xf>
    <xf numFmtId="166" fontId="0" fillId="0" borderId="0" xfId="0" applyNumberFormat="1" applyAlignment="1">
      <alignment horizontal="right"/>
    </xf>
    <xf numFmtId="4" fontId="1" fillId="3" borderId="4" xfId="0" applyNumberFormat="1" applyFont="1" applyFill="1" applyBorder="1" applyAlignment="1">
      <alignment horizontal="left"/>
    </xf>
    <xf numFmtId="4" fontId="1" fillId="3" borderId="7" xfId="0" applyNumberFormat="1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166" fontId="1" fillId="3" borderId="6" xfId="0" applyNumberFormat="1" applyFont="1" applyFill="1" applyBorder="1" applyAlignment="1">
      <alignment horizontal="left"/>
    </xf>
    <xf numFmtId="164" fontId="1" fillId="3" borderId="6" xfId="0" applyNumberFormat="1" applyFont="1" applyFill="1" applyBorder="1" applyAlignment="1">
      <alignment horizontal="right"/>
    </xf>
    <xf numFmtId="164" fontId="1" fillId="3" borderId="7" xfId="0" applyNumberFormat="1" applyFont="1" applyFill="1" applyBorder="1" applyAlignment="1">
      <alignment horizontal="right"/>
    </xf>
    <xf numFmtId="0" fontId="1" fillId="3" borderId="8" xfId="0" applyFont="1" applyFill="1" applyBorder="1" applyAlignment="1">
      <alignment horizontal="left"/>
    </xf>
    <xf numFmtId="4" fontId="1" fillId="3" borderId="10" xfId="0" applyNumberFormat="1" applyFont="1" applyFill="1" applyBorder="1" applyAlignment="1">
      <alignment horizontal="left"/>
    </xf>
    <xf numFmtId="4" fontId="1" fillId="3" borderId="3" xfId="0" applyNumberFormat="1" applyFont="1" applyFill="1" applyBorder="1" applyAlignment="1">
      <alignment horizontal="left"/>
    </xf>
    <xf numFmtId="166" fontId="1" fillId="3" borderId="4" xfId="0" applyNumberFormat="1" applyFont="1" applyFill="1" applyBorder="1" applyAlignment="1">
      <alignment horizontal="left"/>
    </xf>
    <xf numFmtId="4" fontId="1" fillId="3" borderId="6" xfId="0" applyNumberFormat="1" applyFont="1" applyFill="1" applyBorder="1" applyAlignment="1">
      <alignment horizontal="left"/>
    </xf>
    <xf numFmtId="166" fontId="1" fillId="3" borderId="7" xfId="0" applyNumberFormat="1" applyFont="1" applyFill="1" applyBorder="1" applyAlignment="1">
      <alignment horizontal="left"/>
    </xf>
    <xf numFmtId="4" fontId="1" fillId="3" borderId="6" xfId="0" applyNumberFormat="1" applyFont="1" applyFill="1" applyBorder="1" applyAlignment="1">
      <alignment horizontal="right"/>
    </xf>
    <xf numFmtId="166" fontId="1" fillId="3" borderId="10" xfId="0" applyNumberFormat="1" applyFont="1" applyFill="1" applyBorder="1" applyAlignment="1">
      <alignment horizontal="left"/>
    </xf>
    <xf numFmtId="166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166" fontId="1" fillId="3" borderId="6" xfId="0" applyNumberFormat="1" applyFont="1" applyFill="1" applyBorder="1" applyAlignment="1">
      <alignment horizontal="right"/>
    </xf>
    <xf numFmtId="166" fontId="1" fillId="2" borderId="9" xfId="0" applyNumberFormat="1" applyFont="1" applyFill="1" applyBorder="1" applyAlignment="1">
      <alignment horizontal="right"/>
    </xf>
    <xf numFmtId="166" fontId="1" fillId="3" borderId="9" xfId="0" applyNumberFormat="1" applyFont="1" applyFill="1" applyBorder="1" applyAlignment="1">
      <alignment horizontal="right"/>
    </xf>
    <xf numFmtId="168" fontId="1" fillId="3" borderId="9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/>
    <xf numFmtId="164" fontId="0" fillId="0" borderId="0" xfId="0" applyNumberFormat="1" applyAlignment="1">
      <alignment horizontal="right"/>
    </xf>
    <xf numFmtId="0" fontId="3" fillId="2" borderId="2" xfId="0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6" fontId="3" fillId="2" borderId="6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6" fontId="3" fillId="3" borderId="3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6" fontId="3" fillId="3" borderId="6" xfId="0" applyNumberFormat="1" applyFont="1" applyFill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6" fontId="1" fillId="3" borderId="6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left"/>
    </xf>
    <xf numFmtId="166" fontId="1" fillId="3" borderId="1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427012</xdr:colOff>
      <xdr:row>34</xdr:row>
      <xdr:rowOff>64762</xdr:rowOff>
    </xdr:from>
    <xdr:to>
      <xdr:col>10</xdr:col>
      <xdr:colOff>413941</xdr:colOff>
      <xdr:row>55</xdr:row>
      <xdr:rowOff>1854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DDC5A3-CF54-34C5-0860-F6DFD6DE3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7607" y="8244167"/>
          <a:ext cx="4945977" cy="4064592"/>
        </a:xfrm>
        <a:prstGeom prst="rect">
          <a:avLst/>
        </a:prstGeom>
      </xdr:spPr>
    </xdr:pic>
    <xdr:clientData/>
  </xdr:twoCellAnchor>
  <xdr:twoCellAnchor editAs="oneCell">
    <xdr:from>
      <xdr:col>18</xdr:col>
      <xdr:colOff>484909</xdr:colOff>
      <xdr:row>1</xdr:row>
      <xdr:rowOff>17318</xdr:rowOff>
    </xdr:from>
    <xdr:to>
      <xdr:col>28</xdr:col>
      <xdr:colOff>148148</xdr:colOff>
      <xdr:row>17</xdr:row>
      <xdr:rowOff>207819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178DB9-275E-DDA3-6BBC-5CB855475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72409" y="259773"/>
          <a:ext cx="5724603" cy="4069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3"/>
  <sheetViews>
    <sheetView workbookViewId="0">
      <selection activeCell="D28" sqref="D28:E28"/>
    </sheetView>
  </sheetViews>
  <sheetFormatPr defaultRowHeight="15" x14ac:dyDescent="0.25"/>
  <cols>
    <col min="1" max="1" width="13.5703125" bestFit="1" customWidth="1"/>
    <col min="2" max="2" width="12" style="20" bestFit="1" customWidth="1"/>
    <col min="3" max="3" width="13.5703125" style="2" bestFit="1" customWidth="1"/>
    <col min="4" max="4" width="13.5703125" style="11" bestFit="1" customWidth="1"/>
    <col min="5" max="5" width="13.5703125" bestFit="1" customWidth="1"/>
    <col min="6" max="6" width="13.5703125" style="12" bestFit="1" customWidth="1"/>
    <col min="7" max="7" width="13.5703125" bestFit="1" customWidth="1"/>
  </cols>
  <sheetData>
    <row r="1" spans="1:3" ht="18.75" customHeight="1" x14ac:dyDescent="0.25">
      <c r="A1" s="44" t="s">
        <v>44</v>
      </c>
      <c r="B1" s="45"/>
      <c r="C1" s="10"/>
    </row>
    <row r="2" spans="1:3" ht="18.75" customHeight="1" x14ac:dyDescent="0.25">
      <c r="A2" s="46" t="s">
        <v>45</v>
      </c>
      <c r="B2" s="47"/>
      <c r="C2" s="13"/>
    </row>
    <row r="3" spans="1:3" ht="18.75" customHeight="1" x14ac:dyDescent="0.25">
      <c r="A3" s="14"/>
      <c r="B3" s="15" t="s">
        <v>46</v>
      </c>
      <c r="C3" s="13" t="s">
        <v>21</v>
      </c>
    </row>
    <row r="4" spans="1:3" ht="18.75" customHeight="1" x14ac:dyDescent="0.25">
      <c r="A4" s="14" t="s">
        <v>47</v>
      </c>
      <c r="B4" s="16">
        <v>12</v>
      </c>
      <c r="C4" s="17">
        <f>B4/39.37</f>
        <v>0.30480060960121924</v>
      </c>
    </row>
    <row r="5" spans="1:3" ht="18.75" customHeight="1" x14ac:dyDescent="0.25">
      <c r="A5" s="14" t="s">
        <v>30</v>
      </c>
      <c r="B5" s="16">
        <v>24</v>
      </c>
      <c r="C5" s="17">
        <f>B5/39.37</f>
        <v>0.60960121920243848</v>
      </c>
    </row>
    <row r="6" spans="1:3" ht="18.75" customHeight="1" x14ac:dyDescent="0.25">
      <c r="A6" s="14"/>
      <c r="B6" s="15"/>
      <c r="C6" s="13"/>
    </row>
    <row r="7" spans="1:3" ht="18.75" customHeight="1" x14ac:dyDescent="0.25">
      <c r="A7" s="18" t="s">
        <v>48</v>
      </c>
      <c r="B7" s="38">
        <f>PI()*(C4/2)^2*(C5/3)</f>
        <v>1.4826755164729137E-2</v>
      </c>
      <c r="C7" s="19" t="s">
        <v>49</v>
      </c>
    </row>
    <row r="8" spans="1:3" ht="18.75" customHeight="1" x14ac:dyDescent="0.25"/>
    <row r="9" spans="1:3" ht="18.75" customHeight="1" x14ac:dyDescent="0.25">
      <c r="A9" s="48" t="s">
        <v>50</v>
      </c>
      <c r="B9" s="49"/>
      <c r="C9" s="21"/>
    </row>
    <row r="10" spans="1:3" ht="18.75" customHeight="1" x14ac:dyDescent="0.25">
      <c r="A10" s="50" t="s">
        <v>51</v>
      </c>
      <c r="B10" s="51"/>
      <c r="C10" s="22"/>
    </row>
    <row r="11" spans="1:3" ht="18.75" customHeight="1" x14ac:dyDescent="0.25">
      <c r="A11" s="23"/>
      <c r="B11" s="24" t="s">
        <v>46</v>
      </c>
      <c r="C11" s="22" t="s">
        <v>21</v>
      </c>
    </row>
    <row r="12" spans="1:3" ht="18.75" customHeight="1" x14ac:dyDescent="0.25">
      <c r="A12" s="23" t="s">
        <v>52</v>
      </c>
      <c r="B12" s="25">
        <f>C12*39.37</f>
        <v>5.7716419999999999</v>
      </c>
      <c r="C12" s="26">
        <v>0.14660000000000001</v>
      </c>
    </row>
    <row r="13" spans="1:3" ht="18.75" customHeight="1" x14ac:dyDescent="0.25">
      <c r="A13" s="23" t="s">
        <v>53</v>
      </c>
      <c r="B13" s="25">
        <f>C13*39.37</f>
        <v>2.2051136999999996</v>
      </c>
      <c r="C13" s="26">
        <v>5.6009999999999997E-2</v>
      </c>
    </row>
    <row r="14" spans="1:3" ht="18.75" customHeight="1" x14ac:dyDescent="0.25">
      <c r="A14" s="23" t="s">
        <v>54</v>
      </c>
      <c r="B14" s="25">
        <f>C14*39.37</f>
        <v>11.528717099999998</v>
      </c>
      <c r="C14" s="26">
        <v>0.29282999999999998</v>
      </c>
    </row>
    <row r="15" spans="1:3" ht="18.75" customHeight="1" x14ac:dyDescent="0.25">
      <c r="A15" s="23"/>
      <c r="B15" s="24"/>
      <c r="C15" s="22"/>
    </row>
    <row r="16" spans="1:3" ht="18.75" customHeight="1" x14ac:dyDescent="0.25">
      <c r="A16" s="27" t="s">
        <v>48</v>
      </c>
      <c r="B16" s="39">
        <f>(1/3)*PI()*C14*(C12^2+C13^2+(C12*C13))</f>
        <v>1.0070336348177904E-2</v>
      </c>
      <c r="C16" s="28" t="s">
        <v>49</v>
      </c>
    </row>
    <row r="17" spans="1:7" ht="18.75" customHeight="1" x14ac:dyDescent="0.25"/>
    <row r="18" spans="1:7" ht="18.75" customHeight="1" x14ac:dyDescent="0.25">
      <c r="A18" s="48" t="s">
        <v>24</v>
      </c>
      <c r="B18" s="49"/>
      <c r="C18" s="29"/>
      <c r="D18" s="30"/>
    </row>
    <row r="19" spans="1:7" ht="18.75" customHeight="1" x14ac:dyDescent="0.25">
      <c r="A19" s="50" t="s">
        <v>55</v>
      </c>
      <c r="B19" s="51"/>
      <c r="C19" s="31"/>
      <c r="D19" s="32"/>
    </row>
    <row r="20" spans="1:7" ht="18.75" customHeight="1" x14ac:dyDescent="0.25">
      <c r="A20" s="23"/>
      <c r="B20" s="24" t="s">
        <v>21</v>
      </c>
      <c r="C20" s="31"/>
      <c r="D20" s="32"/>
    </row>
    <row r="21" spans="1:7" ht="18.75" customHeight="1" x14ac:dyDescent="0.25">
      <c r="A21" s="23" t="s">
        <v>56</v>
      </c>
      <c r="B21" s="33">
        <v>2.9000000000000001E-2</v>
      </c>
      <c r="C21" s="31"/>
      <c r="D21" s="32"/>
    </row>
    <row r="22" spans="1:7" ht="18.75" customHeight="1" x14ac:dyDescent="0.25">
      <c r="A22" s="23" t="s">
        <v>30</v>
      </c>
      <c r="B22" s="33">
        <v>0.114</v>
      </c>
      <c r="C22" s="31"/>
      <c r="D22" s="32"/>
    </row>
    <row r="23" spans="1:7" ht="18.75" customHeight="1" x14ac:dyDescent="0.25">
      <c r="A23" s="53" t="s">
        <v>57</v>
      </c>
      <c r="B23" s="54"/>
      <c r="C23" s="31"/>
      <c r="D23" s="32"/>
    </row>
    <row r="24" spans="1:7" ht="18.75" customHeight="1" x14ac:dyDescent="0.25">
      <c r="A24" s="23" t="s">
        <v>48</v>
      </c>
      <c r="B24" s="37">
        <f>PI()*(B21/2)^2*B22</f>
        <v>7.5299263517566965E-5</v>
      </c>
      <c r="C24" s="31" t="s">
        <v>49</v>
      </c>
      <c r="D24" s="32"/>
    </row>
    <row r="25" spans="1:7" ht="18.75" customHeight="1" x14ac:dyDescent="0.25">
      <c r="A25" s="55" t="s">
        <v>58</v>
      </c>
      <c r="B25" s="56"/>
      <c r="C25" s="40">
        <f>B24*30</f>
        <v>2.258977905527009E-3</v>
      </c>
      <c r="D25" s="34" t="s">
        <v>49</v>
      </c>
    </row>
    <row r="26" spans="1:7" ht="18.75" customHeight="1" x14ac:dyDescent="0.25"/>
    <row r="27" spans="1:7" ht="18.75" customHeight="1" x14ac:dyDescent="0.25">
      <c r="A27" s="57" t="s">
        <v>59</v>
      </c>
      <c r="B27" s="58"/>
      <c r="D27" s="58" t="s">
        <v>60</v>
      </c>
      <c r="E27" s="57"/>
    </row>
    <row r="28" spans="1:7" ht="18.75" customHeight="1" x14ac:dyDescent="0.25">
      <c r="D28" s="52">
        <v>0.6</v>
      </c>
      <c r="E28" s="52"/>
    </row>
    <row r="29" spans="1:7" ht="18.75" customHeight="1" x14ac:dyDescent="0.25">
      <c r="A29" t="s">
        <v>61</v>
      </c>
      <c r="B29" s="8">
        <f>B7-B16-C25</f>
        <v>2.497440911024224E-3</v>
      </c>
      <c r="C29" s="2" t="s">
        <v>49</v>
      </c>
      <c r="D29" s="35">
        <f>B29*(D28+0.15)</f>
        <v>1.873080683268168E-3</v>
      </c>
      <c r="E29" t="s">
        <v>49</v>
      </c>
    </row>
    <row r="30" spans="1:7" ht="18.75" customHeight="1" x14ac:dyDescent="0.25"/>
    <row r="31" spans="1:7" ht="18.75" customHeight="1" x14ac:dyDescent="0.25">
      <c r="A31" t="s">
        <v>62</v>
      </c>
      <c r="E31" t="s">
        <v>63</v>
      </c>
      <c r="F31" s="4">
        <v>1100</v>
      </c>
      <c r="G31" t="s">
        <v>8</v>
      </c>
    </row>
    <row r="32" spans="1:7" ht="18.75" customHeight="1" x14ac:dyDescent="0.25"/>
    <row r="33" spans="1:3" ht="18.75" customHeight="1" x14ac:dyDescent="0.25">
      <c r="A33" t="s">
        <v>64</v>
      </c>
      <c r="B33" s="35">
        <f>D29*F31</f>
        <v>2.060388751594985</v>
      </c>
      <c r="C33" s="2" t="s">
        <v>15</v>
      </c>
    </row>
  </sheetData>
  <mergeCells count="11">
    <mergeCell ref="D28:E28"/>
    <mergeCell ref="A19:B19"/>
    <mergeCell ref="A23:B23"/>
    <mergeCell ref="A25:B25"/>
    <mergeCell ref="A27:B27"/>
    <mergeCell ref="D27:E27"/>
    <mergeCell ref="A1:B1"/>
    <mergeCell ref="A2:B2"/>
    <mergeCell ref="A9:B9"/>
    <mergeCell ref="A10:B10"/>
    <mergeCell ref="A18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P36"/>
  <sheetViews>
    <sheetView tabSelected="1" topLeftCell="H1" zoomScale="85" zoomScaleNormal="85" workbookViewId="0">
      <selection activeCell="Q21" sqref="Q21"/>
    </sheetView>
  </sheetViews>
  <sheetFormatPr defaultRowHeight="15" x14ac:dyDescent="0.25"/>
  <cols>
    <col min="1" max="1" width="17.7109375" bestFit="1" customWidth="1"/>
    <col min="2" max="2" width="12.28515625" style="1" customWidth="1"/>
    <col min="3" max="3" width="13.5703125" style="6" bestFit="1" customWidth="1"/>
    <col min="4" max="4" width="10.5703125" style="7" bestFit="1" customWidth="1"/>
    <col min="5" max="5" width="13.5703125" bestFit="1" customWidth="1"/>
    <col min="6" max="6" width="20" customWidth="1"/>
    <col min="7" max="8" width="13.5703125" bestFit="1" customWidth="1"/>
    <col min="9" max="9" width="13.5703125" style="7" bestFit="1" customWidth="1"/>
    <col min="10" max="10" width="13.5703125" bestFit="1" customWidth="1"/>
  </cols>
  <sheetData>
    <row r="1" spans="1:16" ht="19.5" customHeight="1" x14ac:dyDescent="0.25">
      <c r="A1" s="57" t="s">
        <v>24</v>
      </c>
      <c r="B1" s="59"/>
    </row>
    <row r="2" spans="1:16" ht="19.5" customHeight="1" x14ac:dyDescent="0.25">
      <c r="A2" s="57" t="s">
        <v>25</v>
      </c>
      <c r="B2" s="59"/>
      <c r="C2" s="6" t="s">
        <v>26</v>
      </c>
      <c r="D2" s="8">
        <v>30</v>
      </c>
      <c r="F2" s="57" t="s">
        <v>65</v>
      </c>
      <c r="G2" s="59"/>
      <c r="J2" s="57" t="s">
        <v>72</v>
      </c>
      <c r="K2" s="59"/>
      <c r="N2" s="57" t="s">
        <v>73</v>
      </c>
      <c r="O2" s="59"/>
    </row>
    <row r="3" spans="1:16" ht="18.75" customHeight="1" x14ac:dyDescent="0.25">
      <c r="A3" t="s">
        <v>27</v>
      </c>
      <c r="F3" t="s">
        <v>27</v>
      </c>
      <c r="G3" s="1"/>
      <c r="H3" s="6"/>
      <c r="J3" t="s">
        <v>27</v>
      </c>
      <c r="K3" s="1"/>
      <c r="L3" s="6"/>
      <c r="N3" t="s">
        <v>27</v>
      </c>
      <c r="O3" s="1"/>
      <c r="P3" s="6"/>
    </row>
    <row r="4" spans="1:16" ht="18.75" customHeight="1" x14ac:dyDescent="0.25">
      <c r="B4" s="3" t="s">
        <v>28</v>
      </c>
      <c r="C4" s="3" t="s">
        <v>21</v>
      </c>
      <c r="G4" s="3" t="s">
        <v>28</v>
      </c>
      <c r="H4" s="3" t="s">
        <v>21</v>
      </c>
      <c r="K4" s="3" t="s">
        <v>28</v>
      </c>
      <c r="L4" s="3" t="s">
        <v>21</v>
      </c>
      <c r="O4" s="3" t="s">
        <v>28</v>
      </c>
      <c r="P4" s="3" t="s">
        <v>21</v>
      </c>
    </row>
    <row r="5" spans="1:16" ht="18.75" customHeight="1" x14ac:dyDescent="0.25">
      <c r="A5" t="s">
        <v>29</v>
      </c>
      <c r="B5" s="9">
        <f>7*0.75</f>
        <v>5.25</v>
      </c>
      <c r="C5" s="9">
        <f>B5/100</f>
        <v>5.2499999999999998E-2</v>
      </c>
      <c r="F5" t="s">
        <v>29</v>
      </c>
      <c r="G5" s="9"/>
      <c r="H5" s="9">
        <v>5.8000000000000003E-2</v>
      </c>
      <c r="J5" t="s">
        <v>29</v>
      </c>
      <c r="K5" s="9"/>
      <c r="L5" s="9">
        <v>2.9000000000000001E-2</v>
      </c>
      <c r="N5" t="s">
        <v>29</v>
      </c>
      <c r="O5" s="9"/>
      <c r="P5" s="9">
        <v>2.4E-2</v>
      </c>
    </row>
    <row r="6" spans="1:16" ht="18.75" customHeight="1" x14ac:dyDescent="0.25">
      <c r="A6" t="s">
        <v>30</v>
      </c>
      <c r="B6" s="9">
        <v>7</v>
      </c>
      <c r="C6" s="9">
        <f>B6/100</f>
        <v>7.0000000000000007E-2</v>
      </c>
      <c r="F6" t="s">
        <v>30</v>
      </c>
      <c r="G6" s="9"/>
      <c r="H6" s="9">
        <v>0.114</v>
      </c>
      <c r="J6" t="s">
        <v>30</v>
      </c>
      <c r="K6" s="9"/>
      <c r="L6" s="9">
        <v>0.20300000000000001</v>
      </c>
      <c r="N6" t="s">
        <v>30</v>
      </c>
      <c r="O6" s="9"/>
      <c r="P6" s="9">
        <v>9.7000000000000003E-2</v>
      </c>
    </row>
    <row r="7" spans="1:16" ht="18.75" customHeight="1" x14ac:dyDescent="0.25">
      <c r="B7" s="9"/>
      <c r="C7" s="9"/>
      <c r="G7" s="9"/>
      <c r="H7" s="9"/>
      <c r="K7" s="9"/>
      <c r="L7" s="9"/>
      <c r="O7" s="9"/>
      <c r="P7" s="9"/>
    </row>
    <row r="8" spans="1:16" ht="18.75" customHeight="1" x14ac:dyDescent="0.25">
      <c r="A8" t="s">
        <v>31</v>
      </c>
      <c r="B8" s="9">
        <v>32.9</v>
      </c>
      <c r="C8" s="41" t="s">
        <v>12</v>
      </c>
      <c r="D8" s="8"/>
      <c r="F8" t="s">
        <v>31</v>
      </c>
      <c r="G8" s="9">
        <v>25.26</v>
      </c>
      <c r="H8" s="41" t="s">
        <v>12</v>
      </c>
      <c r="J8" t="s">
        <v>31</v>
      </c>
      <c r="K8" s="9">
        <v>43.5</v>
      </c>
      <c r="L8" s="41" t="s">
        <v>12</v>
      </c>
      <c r="N8" t="s">
        <v>31</v>
      </c>
      <c r="O8" s="9">
        <v>30.6</v>
      </c>
      <c r="P8" s="41" t="s">
        <v>12</v>
      </c>
    </row>
    <row r="9" spans="1:16" ht="18.75" customHeight="1" x14ac:dyDescent="0.25">
      <c r="A9" t="s">
        <v>11</v>
      </c>
      <c r="B9" s="9">
        <f>B8*D2</f>
        <v>987</v>
      </c>
      <c r="C9" s="41" t="s">
        <v>12</v>
      </c>
      <c r="D9" s="8"/>
      <c r="F9" t="s">
        <v>11</v>
      </c>
      <c r="G9" s="9">
        <f>G8*$D$2</f>
        <v>757.80000000000007</v>
      </c>
      <c r="H9" s="41" t="s">
        <v>12</v>
      </c>
      <c r="J9" t="s">
        <v>11</v>
      </c>
      <c r="K9" s="9">
        <f>K8*$D$2</f>
        <v>1305</v>
      </c>
      <c r="L9" s="41" t="s">
        <v>12</v>
      </c>
      <c r="N9" t="s">
        <v>11</v>
      </c>
      <c r="O9" s="9">
        <f>O8*$D$2</f>
        <v>918</v>
      </c>
      <c r="P9" s="41" t="s">
        <v>12</v>
      </c>
    </row>
    <row r="10" spans="1:16" ht="18.75" customHeight="1" x14ac:dyDescent="0.25">
      <c r="A10" t="s">
        <v>32</v>
      </c>
      <c r="B10" s="9">
        <v>1.6</v>
      </c>
      <c r="C10" s="41" t="s">
        <v>10</v>
      </c>
      <c r="F10" t="s">
        <v>32</v>
      </c>
      <c r="G10" s="9">
        <v>3.45</v>
      </c>
      <c r="H10" s="41" t="s">
        <v>10</v>
      </c>
      <c r="J10" t="s">
        <v>32</v>
      </c>
      <c r="K10" s="9">
        <v>15.2</v>
      </c>
      <c r="L10" s="41" t="s">
        <v>10</v>
      </c>
      <c r="N10" t="s">
        <v>32</v>
      </c>
      <c r="O10" s="9">
        <v>2.7</v>
      </c>
      <c r="P10" s="41" t="s">
        <v>10</v>
      </c>
    </row>
    <row r="11" spans="1:16" ht="18.75" customHeight="1" x14ac:dyDescent="0.25">
      <c r="A11" t="s">
        <v>66</v>
      </c>
      <c r="B11" s="9">
        <v>4.5699999999999998E-2</v>
      </c>
      <c r="C11" s="41" t="s">
        <v>15</v>
      </c>
      <c r="F11" t="s">
        <v>66</v>
      </c>
      <c r="G11" s="9">
        <v>4.2000000000000003E-2</v>
      </c>
      <c r="H11" s="41" t="s">
        <v>15</v>
      </c>
      <c r="J11" t="s">
        <v>66</v>
      </c>
      <c r="K11" s="9">
        <v>8.6999999999999994E-2</v>
      </c>
      <c r="L11" s="41" t="s">
        <v>15</v>
      </c>
      <c r="N11" t="s">
        <v>66</v>
      </c>
      <c r="O11" s="9">
        <v>2.4299999999999999E-2</v>
      </c>
      <c r="P11" s="41" t="s">
        <v>15</v>
      </c>
    </row>
    <row r="12" spans="1:16" ht="18.75" customHeight="1" x14ac:dyDescent="0.25">
      <c r="A12" t="s">
        <v>67</v>
      </c>
      <c r="B12" s="9">
        <v>2.4199999999999999E-2</v>
      </c>
      <c r="C12" s="41" t="s">
        <v>15</v>
      </c>
      <c r="F12" t="s">
        <v>67</v>
      </c>
      <c r="G12" s="9">
        <v>0.06</v>
      </c>
      <c r="H12" s="41" t="s">
        <v>15</v>
      </c>
      <c r="J12" t="s">
        <v>67</v>
      </c>
      <c r="K12" s="9">
        <v>0.1164</v>
      </c>
      <c r="L12" s="41" t="s">
        <v>15</v>
      </c>
      <c r="N12" t="s">
        <v>67</v>
      </c>
      <c r="O12" s="9">
        <v>6.1199999999999997E-2</v>
      </c>
      <c r="P12" s="41" t="s">
        <v>15</v>
      </c>
    </row>
    <row r="13" spans="1:16" ht="18.75" customHeight="1" x14ac:dyDescent="0.25">
      <c r="A13" t="s">
        <v>71</v>
      </c>
      <c r="B13" s="9">
        <f>B12+B11</f>
        <v>6.989999999999999E-2</v>
      </c>
      <c r="C13" s="41" t="s">
        <v>15</v>
      </c>
      <c r="F13" t="s">
        <v>71</v>
      </c>
      <c r="G13" s="9">
        <f>G12+G11</f>
        <v>0.10200000000000001</v>
      </c>
      <c r="H13" s="41" t="s">
        <v>15</v>
      </c>
      <c r="J13" t="s">
        <v>71</v>
      </c>
      <c r="K13" s="9">
        <v>0.2034</v>
      </c>
      <c r="L13" s="41" t="s">
        <v>15</v>
      </c>
      <c r="N13" t="s">
        <v>71</v>
      </c>
      <c r="O13" s="9">
        <f>O12+O11</f>
        <v>8.5499999999999993E-2</v>
      </c>
      <c r="P13" s="41" t="s">
        <v>15</v>
      </c>
    </row>
    <row r="14" spans="1:16" ht="18.75" customHeight="1" x14ac:dyDescent="0.25">
      <c r="A14" t="s">
        <v>68</v>
      </c>
      <c r="B14" s="43">
        <f>(B11+B12)*$D$2</f>
        <v>2.0969999999999995</v>
      </c>
      <c r="C14" s="6" t="s">
        <v>15</v>
      </c>
      <c r="F14" t="s">
        <v>68</v>
      </c>
      <c r="G14" s="43">
        <f>(G11+G12)*$D$2</f>
        <v>3.06</v>
      </c>
      <c r="H14" s="41" t="s">
        <v>15</v>
      </c>
      <c r="J14" t="s">
        <v>68</v>
      </c>
      <c r="K14" s="43">
        <v>6.1020000000000003</v>
      </c>
      <c r="L14" s="41" t="s">
        <v>15</v>
      </c>
      <c r="N14" t="s">
        <v>68</v>
      </c>
      <c r="O14" s="43">
        <f>(O11+O12)*$D$2</f>
        <v>2.5649999999999999</v>
      </c>
      <c r="P14" s="41" t="s">
        <v>15</v>
      </c>
    </row>
    <row r="15" spans="1:16" ht="18.75" customHeight="1" x14ac:dyDescent="0.25">
      <c r="A15" t="s">
        <v>69</v>
      </c>
      <c r="B15" s="1">
        <f>B12*$D$2</f>
        <v>0.72599999999999998</v>
      </c>
      <c r="C15" s="6" t="s">
        <v>15</v>
      </c>
      <c r="F15" t="s">
        <v>69</v>
      </c>
      <c r="G15" s="1">
        <f>G12*$D$2</f>
        <v>1.7999999999999998</v>
      </c>
      <c r="H15" s="6" t="s">
        <v>15</v>
      </c>
      <c r="J15" t="s">
        <v>69</v>
      </c>
      <c r="K15" s="1">
        <v>3.492</v>
      </c>
      <c r="L15" s="6" t="s">
        <v>15</v>
      </c>
      <c r="N15" t="s">
        <v>69</v>
      </c>
      <c r="O15" s="1">
        <f>O12*$D$2</f>
        <v>1.8359999999999999</v>
      </c>
      <c r="P15" s="6" t="s">
        <v>15</v>
      </c>
    </row>
    <row r="16" spans="1:16" ht="18.75" customHeight="1" x14ac:dyDescent="0.25">
      <c r="A16" t="s">
        <v>70</v>
      </c>
      <c r="B16" s="9">
        <f>B11-B12+B20</f>
        <v>2.0818887515949851</v>
      </c>
      <c r="C16" s="6" t="s">
        <v>15</v>
      </c>
      <c r="F16" t="s">
        <v>70</v>
      </c>
      <c r="G16" s="9">
        <f>G11-G12+G20</f>
        <v>2.0423887515949852</v>
      </c>
      <c r="H16" s="6" t="s">
        <v>15</v>
      </c>
      <c r="J16" t="s">
        <v>70</v>
      </c>
      <c r="K16" s="9">
        <v>2.0309887515949852</v>
      </c>
      <c r="L16" s="6" t="s">
        <v>15</v>
      </c>
      <c r="N16" t="s">
        <v>70</v>
      </c>
      <c r="O16" s="9">
        <v>2.0234887515949849</v>
      </c>
      <c r="P16" s="6" t="s">
        <v>15</v>
      </c>
    </row>
    <row r="17" spans="1:16" ht="18.75" customHeight="1" x14ac:dyDescent="0.25">
      <c r="A17" t="s">
        <v>33</v>
      </c>
      <c r="B17" s="9">
        <v>0.28299999999999997</v>
      </c>
      <c r="C17" s="41" t="s">
        <v>15</v>
      </c>
      <c r="F17" t="s">
        <v>33</v>
      </c>
      <c r="G17" s="9">
        <v>0.59499999999999997</v>
      </c>
      <c r="H17" s="41" t="s">
        <v>15</v>
      </c>
      <c r="J17" t="s">
        <v>33</v>
      </c>
      <c r="K17" s="9">
        <v>0.59499999999999997</v>
      </c>
      <c r="L17" s="41" t="s">
        <v>15</v>
      </c>
      <c r="N17" t="s">
        <v>33</v>
      </c>
      <c r="O17" s="9">
        <v>0.48199999999999998</v>
      </c>
      <c r="P17" s="41" t="s">
        <v>15</v>
      </c>
    </row>
    <row r="18" spans="1:16" ht="18.75" customHeight="1" x14ac:dyDescent="0.25">
      <c r="A18" t="s">
        <v>34</v>
      </c>
      <c r="B18" s="9">
        <f>B17*D2</f>
        <v>8.4899999999999984</v>
      </c>
      <c r="C18" s="41" t="s">
        <v>15</v>
      </c>
      <c r="F18" t="s">
        <v>34</v>
      </c>
      <c r="G18" s="9">
        <f>G17*D2</f>
        <v>17.849999999999998</v>
      </c>
      <c r="H18" s="41" t="s">
        <v>15</v>
      </c>
      <c r="J18" t="s">
        <v>34</v>
      </c>
      <c r="K18" s="9">
        <f>K17*$D$2</f>
        <v>17.849999999999998</v>
      </c>
      <c r="L18" s="41" t="s">
        <v>15</v>
      </c>
      <c r="N18" t="s">
        <v>34</v>
      </c>
      <c r="O18" s="9">
        <f>O17*L2</f>
        <v>0</v>
      </c>
      <c r="P18" s="41" t="s">
        <v>15</v>
      </c>
    </row>
    <row r="19" spans="1:16" ht="18.75" customHeight="1" x14ac:dyDescent="0.25">
      <c r="B19" s="9"/>
      <c r="C19" s="41"/>
      <c r="F19" s="36"/>
      <c r="G19" s="42"/>
      <c r="H19" s="42"/>
      <c r="I19" s="9"/>
      <c r="J19" s="36"/>
      <c r="K19" s="42"/>
      <c r="L19" s="42"/>
      <c r="N19" s="36"/>
      <c r="O19" s="42"/>
      <c r="P19" s="42"/>
    </row>
    <row r="20" spans="1:16" ht="18.75" customHeight="1" x14ac:dyDescent="0.25">
      <c r="A20" t="s">
        <v>35</v>
      </c>
      <c r="B20" s="9">
        <f>'Volume Calculations'!B33</f>
        <v>2.060388751594985</v>
      </c>
      <c r="C20" s="41" t="s">
        <v>15</v>
      </c>
      <c r="F20" t="s">
        <v>35</v>
      </c>
      <c r="G20" s="9">
        <f>'Volume Calculations'!B33</f>
        <v>2.060388751594985</v>
      </c>
      <c r="H20" s="41" t="s">
        <v>15</v>
      </c>
      <c r="I20" s="9"/>
      <c r="J20" t="s">
        <v>35</v>
      </c>
      <c r="K20" s="9">
        <f>'Volume Calculations'!B33</f>
        <v>2.060388751594985</v>
      </c>
      <c r="L20" s="41" t="s">
        <v>15</v>
      </c>
      <c r="N20" t="s">
        <v>35</v>
      </c>
      <c r="O20" s="9">
        <f>'Volume Calculations'!B33</f>
        <v>2.060388751594985</v>
      </c>
      <c r="P20" s="41" t="s">
        <v>15</v>
      </c>
    </row>
    <row r="21" spans="1:16" ht="18.75" customHeight="1" x14ac:dyDescent="0.25">
      <c r="B21" s="9">
        <v>2.06</v>
      </c>
      <c r="C21" s="41"/>
      <c r="G21" s="9">
        <v>2.06</v>
      </c>
      <c r="H21" s="7"/>
      <c r="K21" s="9">
        <v>2.06</v>
      </c>
      <c r="L21" s="7"/>
      <c r="O21" s="9">
        <v>2.06</v>
      </c>
      <c r="P21" s="7"/>
    </row>
    <row r="22" spans="1:16" ht="18.75" customHeight="1" x14ac:dyDescent="0.25">
      <c r="B22" s="9"/>
      <c r="C22" s="41"/>
      <c r="G22" s="9"/>
      <c r="H22" s="41"/>
      <c r="K22" s="9"/>
      <c r="L22" s="41"/>
      <c r="O22" s="9"/>
      <c r="P22" s="41"/>
    </row>
    <row r="23" spans="1:16" ht="18.75" customHeight="1" x14ac:dyDescent="0.25">
      <c r="B23" s="9"/>
      <c r="C23" s="41"/>
      <c r="G23" s="7"/>
      <c r="H23" s="7"/>
      <c r="K23" s="7"/>
      <c r="L23" s="7"/>
      <c r="O23" s="7"/>
      <c r="P23" s="7"/>
    </row>
    <row r="24" spans="1:16" ht="18.75" customHeight="1" x14ac:dyDescent="0.25">
      <c r="A24" t="s">
        <v>36</v>
      </c>
      <c r="B24" s="9">
        <f>B14+B20+B22</f>
        <v>4.1573887515949846</v>
      </c>
      <c r="C24" s="41" t="s">
        <v>15</v>
      </c>
      <c r="F24" t="s">
        <v>36</v>
      </c>
      <c r="G24" s="9">
        <f>G22+G20+G14</f>
        <v>5.1203887515949855</v>
      </c>
      <c r="H24" s="41" t="s">
        <v>15</v>
      </c>
      <c r="J24" t="s">
        <v>36</v>
      </c>
      <c r="K24" s="9">
        <v>8.1623887515949853</v>
      </c>
      <c r="L24" s="41" t="s">
        <v>15</v>
      </c>
      <c r="N24" t="s">
        <v>36</v>
      </c>
      <c r="O24" s="9">
        <f>O22+O20+O14</f>
        <v>4.6253887515949845</v>
      </c>
      <c r="P24" s="41" t="s">
        <v>15</v>
      </c>
    </row>
    <row r="25" spans="1:16" ht="18.75" customHeight="1" x14ac:dyDescent="0.25">
      <c r="B25" s="9"/>
      <c r="C25" s="41"/>
    </row>
    <row r="26" spans="1:16" ht="18.75" customHeight="1" x14ac:dyDescent="0.25">
      <c r="A26" t="s">
        <v>37</v>
      </c>
      <c r="B26" s="9">
        <f>B9/(B20*9.8+B11*9.8+B22*9.8)</f>
        <v>47.820532557335341</v>
      </c>
      <c r="C26" s="41"/>
    </row>
    <row r="27" spans="1:16" ht="18.75" customHeight="1" x14ac:dyDescent="0.25">
      <c r="B27" s="9"/>
      <c r="C27" s="41"/>
    </row>
    <row r="28" spans="1:16" ht="18.75" customHeight="1" x14ac:dyDescent="0.25">
      <c r="A28" t="s">
        <v>38</v>
      </c>
      <c r="B28" s="9">
        <v>20</v>
      </c>
      <c r="C28" s="41" t="s">
        <v>39</v>
      </c>
      <c r="F28" t="s">
        <v>38</v>
      </c>
      <c r="G28" s="9">
        <v>49.61</v>
      </c>
      <c r="H28" s="41" t="s">
        <v>39</v>
      </c>
      <c r="J28" t="s">
        <v>38</v>
      </c>
      <c r="K28" s="9">
        <v>211.2</v>
      </c>
      <c r="L28" s="41" t="s">
        <v>39</v>
      </c>
      <c r="N28" t="s">
        <v>38</v>
      </c>
      <c r="O28" s="9">
        <v>30</v>
      </c>
      <c r="P28" s="41" t="s">
        <v>39</v>
      </c>
    </row>
    <row r="29" spans="1:16" ht="18.75" customHeight="1" x14ac:dyDescent="0.25">
      <c r="B29" s="9"/>
      <c r="C29" s="41"/>
    </row>
    <row r="30" spans="1:16" ht="18.75" customHeight="1" x14ac:dyDescent="0.25">
      <c r="A30" t="s">
        <v>40</v>
      </c>
      <c r="B30" s="9">
        <f>B28/(9.81*B12)</f>
        <v>84.245288582236043</v>
      </c>
      <c r="C30" s="41" t="s">
        <v>10</v>
      </c>
      <c r="F30" t="s">
        <v>40</v>
      </c>
      <c r="G30" s="9">
        <f>G28/(9.81*G12)</f>
        <v>84.284743459055377</v>
      </c>
      <c r="J30" t="s">
        <v>40</v>
      </c>
      <c r="K30" s="9">
        <f>K28/(9.81*K12)</f>
        <v>184.95749130384519</v>
      </c>
      <c r="N30" t="s">
        <v>40</v>
      </c>
      <c r="O30" s="9">
        <f>O28/(9.81*O12)</f>
        <v>49.969019208090984</v>
      </c>
    </row>
    <row r="31" spans="1:16" ht="18.75" customHeight="1" x14ac:dyDescent="0.25">
      <c r="B31" s="9"/>
      <c r="C31" s="41"/>
    </row>
    <row r="32" spans="1:16" ht="18.75" customHeight="1" x14ac:dyDescent="0.25">
      <c r="A32" t="s">
        <v>41</v>
      </c>
      <c r="B32" s="9">
        <f>(9.81)*(B30)*LN((B24)/(B24-B12))</f>
        <v>4.824768068428603</v>
      </c>
      <c r="C32" s="41" t="s">
        <v>19</v>
      </c>
    </row>
    <row r="33" spans="1:3" ht="18.75" customHeight="1" x14ac:dyDescent="0.25">
      <c r="B33" s="9"/>
      <c r="C33" s="41"/>
    </row>
    <row r="34" spans="1:3" x14ac:dyDescent="0.25">
      <c r="A34" t="s">
        <v>42</v>
      </c>
      <c r="B34" s="9">
        <v>343</v>
      </c>
      <c r="C34" s="41" t="s">
        <v>19</v>
      </c>
    </row>
    <row r="35" spans="1:3" x14ac:dyDescent="0.25">
      <c r="B35" s="9"/>
      <c r="C35" s="41"/>
    </row>
    <row r="36" spans="1:3" x14ac:dyDescent="0.25">
      <c r="A36" t="s">
        <v>43</v>
      </c>
      <c r="B36" s="9">
        <f>B32/B34</f>
        <v>1.4066379208246656E-2</v>
      </c>
      <c r="C36" s="41"/>
    </row>
  </sheetData>
  <mergeCells count="5">
    <mergeCell ref="A1:B1"/>
    <mergeCell ref="A2:B2"/>
    <mergeCell ref="F2:G2"/>
    <mergeCell ref="J2:K2"/>
    <mergeCell ref="N2: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19"/>
  <sheetViews>
    <sheetView workbookViewId="0">
      <selection activeCell="F15" sqref="F15"/>
    </sheetView>
  </sheetViews>
  <sheetFormatPr defaultRowHeight="15" x14ac:dyDescent="0.25"/>
  <cols>
    <col min="1" max="1" width="16" bestFit="1" customWidth="1"/>
    <col min="2" max="2" width="10.85546875" style="1" bestFit="1" customWidth="1"/>
    <col min="3" max="3" width="13.5703125" style="2" bestFit="1" customWidth="1"/>
    <col min="4" max="6" width="13.5703125" bestFit="1" customWidth="1"/>
    <col min="7" max="7" width="12.28515625" bestFit="1" customWidth="1"/>
    <col min="8" max="8" width="13.5703125" style="2" bestFit="1" customWidth="1"/>
    <col min="9" max="10" width="13.5703125" bestFit="1" customWidth="1"/>
  </cols>
  <sheetData>
    <row r="1" spans="1:10" ht="18.75" customHeight="1" x14ac:dyDescent="0.25">
      <c r="A1" t="s">
        <v>0</v>
      </c>
    </row>
    <row r="2" spans="1:10" ht="18.75" customHeight="1" x14ac:dyDescent="0.25"/>
    <row r="3" spans="1:10" ht="18.75" customHeight="1" x14ac:dyDescent="0.25"/>
    <row r="4" spans="1:10" ht="18.75" customHeight="1" x14ac:dyDescent="0.25"/>
    <row r="5" spans="1:10" ht="18.75" customHeight="1" x14ac:dyDescent="0.25">
      <c r="A5" t="s">
        <v>1</v>
      </c>
      <c r="G5" t="s">
        <v>2</v>
      </c>
    </row>
    <row r="6" spans="1:10" ht="18.75" customHeight="1" x14ac:dyDescent="0.25">
      <c r="A6" t="s">
        <v>3</v>
      </c>
      <c r="C6" s="3">
        <f>PI()*('Volume Calculations'!C4/2)^2</f>
        <v>7.2966168854423252E-2</v>
      </c>
      <c r="D6" t="s">
        <v>4</v>
      </c>
      <c r="G6" t="s">
        <v>5</v>
      </c>
      <c r="H6" s="3">
        <v>0.75</v>
      </c>
    </row>
    <row r="7" spans="1:10" ht="18.75" customHeight="1" x14ac:dyDescent="0.25">
      <c r="A7" t="s">
        <v>6</v>
      </c>
      <c r="B7" s="3">
        <f>0.5*H7*H6*C6</f>
        <v>3.2834775984490458E-2</v>
      </c>
      <c r="G7" t="s">
        <v>7</v>
      </c>
      <c r="H7" s="3">
        <v>1.2</v>
      </c>
      <c r="I7" t="s">
        <v>8</v>
      </c>
    </row>
    <row r="8" spans="1:10" ht="18.75" customHeight="1" x14ac:dyDescent="0.25">
      <c r="A8" t="s">
        <v>9</v>
      </c>
      <c r="B8" s="3">
        <f>Engines!B10</f>
        <v>1.6</v>
      </c>
      <c r="C8" s="2" t="s">
        <v>10</v>
      </c>
    </row>
    <row r="9" spans="1:10" ht="18.75" customHeight="1" x14ac:dyDescent="0.25">
      <c r="A9" t="s">
        <v>11</v>
      </c>
      <c r="B9" s="4">
        <f>Engines!B9</f>
        <v>987</v>
      </c>
      <c r="C9" s="2" t="s">
        <v>12</v>
      </c>
      <c r="D9" s="60" t="s">
        <v>13</v>
      </c>
      <c r="E9" s="60"/>
      <c r="F9" s="60"/>
      <c r="G9" s="60"/>
      <c r="H9" s="61"/>
      <c r="I9" s="60"/>
      <c r="J9" s="5"/>
    </row>
    <row r="10" spans="1:10" ht="18.75" customHeight="1" x14ac:dyDescent="0.25"/>
    <row r="11" spans="1:10" ht="18.75" customHeight="1" x14ac:dyDescent="0.25">
      <c r="A11" t="s">
        <v>14</v>
      </c>
      <c r="B11" s="3">
        <f>Engines!B20+Engines!B22+Engines!B11</f>
        <v>2.1060887515949851</v>
      </c>
      <c r="C11" s="2" t="s">
        <v>15</v>
      </c>
    </row>
    <row r="12" spans="1:10" ht="18.75" customHeight="1" x14ac:dyDescent="0.25"/>
    <row r="13" spans="1:10" ht="18.75" customHeight="1" x14ac:dyDescent="0.25">
      <c r="A13" t="s">
        <v>16</v>
      </c>
      <c r="B13" s="3">
        <f>SQRT((B9-(B11*9.81))/B7)</f>
        <v>171.55278996359638</v>
      </c>
    </row>
    <row r="14" spans="1:10" ht="18.75" customHeight="1" x14ac:dyDescent="0.25">
      <c r="A14" t="s">
        <v>17</v>
      </c>
      <c r="B14" s="3">
        <f>(2*B7*B13)/B11</f>
        <v>5.3491548480120974</v>
      </c>
    </row>
    <row r="15" spans="1:10" ht="18.75" customHeight="1" x14ac:dyDescent="0.25"/>
    <row r="16" spans="1:10" ht="18.75" customHeight="1" x14ac:dyDescent="0.25">
      <c r="A16" t="s">
        <v>18</v>
      </c>
      <c r="B16" s="3">
        <f>B13*(1-EXP(-B14*B8))/(1+EXP(-B14*B8))</f>
        <v>171.48696798031321</v>
      </c>
      <c r="C16" s="2" t="s">
        <v>19</v>
      </c>
    </row>
    <row r="17" spans="1:3" ht="18.75" customHeight="1" x14ac:dyDescent="0.25">
      <c r="A17" t="s">
        <v>20</v>
      </c>
      <c r="B17" s="3">
        <f>(-B11/(2*B7))*LN((B9-(B11*9.81)-B7*B16^2)/(B9-B11*9.81))</f>
        <v>230.03691216608831</v>
      </c>
      <c r="C17" s="2" t="s">
        <v>21</v>
      </c>
    </row>
    <row r="18" spans="1:3" ht="18.75" customHeight="1" x14ac:dyDescent="0.25">
      <c r="A18" t="s">
        <v>22</v>
      </c>
      <c r="B18" s="3">
        <f>(B11/(2*B7))*LN((B11*9.81+B7*B16^2)/(B11*9.81))</f>
        <v>123.97637654657298</v>
      </c>
      <c r="C18" s="2" t="s">
        <v>21</v>
      </c>
    </row>
    <row r="19" spans="1:3" ht="18.75" customHeight="1" x14ac:dyDescent="0.25">
      <c r="A19" t="s">
        <v>23</v>
      </c>
      <c r="B19" s="3">
        <f>B18+B17</f>
        <v>354.01328871266128</v>
      </c>
      <c r="C19" s="2" t="s">
        <v>21</v>
      </c>
    </row>
  </sheetData>
  <mergeCells count="1">
    <mergeCell ref="D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 Calculations</vt:lpstr>
      <vt:lpstr>Engines</vt:lpstr>
      <vt:lpstr>Trajectory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Mathieu Cote</cp:lastModifiedBy>
  <dcterms:created xsi:type="dcterms:W3CDTF">2022-11-26T01:51:02Z</dcterms:created>
  <dcterms:modified xsi:type="dcterms:W3CDTF">2022-12-05T19:58:43Z</dcterms:modified>
</cp:coreProperties>
</file>