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mathi\OneDrive\Desktop\Folders\PythonSim\"/>
    </mc:Choice>
  </mc:AlternateContent>
  <xr:revisionPtr revIDLastSave="0" documentId="13_ncr:1_{8424E29C-0EA9-4553-A728-E4E07AAFE7D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olume Calculations" sheetId="1" r:id="rId1"/>
    <sheet name="Engines" sheetId="2" r:id="rId2"/>
    <sheet name="Trajecto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C6" i="3"/>
  <c r="B7" i="3" s="1"/>
  <c r="B15" i="2"/>
  <c r="B12" i="2"/>
  <c r="B27" i="2" s="1"/>
  <c r="B11" i="2"/>
  <c r="B9" i="2"/>
  <c r="B9" i="3" s="1"/>
  <c r="C6" i="2"/>
  <c r="B22" i="1" s="1"/>
  <c r="B5" i="2"/>
  <c r="C5" i="2" s="1"/>
  <c r="B21" i="1" s="1"/>
  <c r="B24" i="1" s="1"/>
  <c r="C25" i="1" s="1"/>
  <c r="B16" i="1"/>
  <c r="B14" i="1"/>
  <c r="B13" i="1"/>
  <c r="B12" i="1"/>
  <c r="C5" i="1"/>
  <c r="C4" i="1"/>
  <c r="B7" i="1" s="1"/>
  <c r="B29" i="1" l="1"/>
  <c r="D29" i="1" s="1"/>
  <c r="B33" i="1" s="1"/>
  <c r="B17" i="2" s="1"/>
  <c r="D17" i="2"/>
  <c r="B23" i="2"/>
  <c r="B11" i="3" l="1"/>
  <c r="B21" i="2"/>
  <c r="B29" i="2" s="1"/>
  <c r="B33" i="2" s="1"/>
  <c r="B13" i="3" l="1"/>
  <c r="B14" i="3" l="1"/>
  <c r="B16" i="3" s="1"/>
  <c r="B18" i="3" l="1"/>
  <c r="B17" i="3"/>
  <c r="B19" i="3" l="1"/>
</calcChain>
</file>

<file path=xl/sharedStrings.xml><?xml version="1.0" encoding="utf-8"?>
<sst xmlns="http://schemas.openxmlformats.org/spreadsheetml/2006/main" count="101" uniqueCount="68">
  <si>
    <t>Supposed More Accurate Equations for Rocket Motion</t>
  </si>
  <si>
    <t>Useful terms:</t>
  </si>
  <si>
    <t>Assume:</t>
  </si>
  <si>
    <t>Cross-sectional area:</t>
  </si>
  <si>
    <t>m^2</t>
  </si>
  <si>
    <t>Cd:</t>
  </si>
  <si>
    <t>k:</t>
  </si>
  <si>
    <t>Air Density:</t>
  </si>
  <si>
    <t>kg/m^3</t>
  </si>
  <si>
    <t>burn time:</t>
  </si>
  <si>
    <t>s</t>
  </si>
  <si>
    <t>Total Thrust:</t>
  </si>
  <si>
    <t>N</t>
  </si>
  <si>
    <t>http://www.rocketmime.com/rockets/RocketEquations.pdf</t>
  </si>
  <si>
    <t>Rocket Mass Init</t>
  </si>
  <si>
    <t>kg</t>
  </si>
  <si>
    <t>q:</t>
  </si>
  <si>
    <t>x:</t>
  </si>
  <si>
    <t>boostVelocity</t>
  </si>
  <si>
    <t>m/s</t>
  </si>
  <si>
    <t>boostAlt</t>
  </si>
  <si>
    <t>m</t>
  </si>
  <si>
    <t>coastAlt</t>
  </si>
  <si>
    <t>totalAlt</t>
  </si>
  <si>
    <t>Engines:</t>
  </si>
  <si>
    <t>ESTES D12-5</t>
  </si>
  <si>
    <t>Number:</t>
  </si>
  <si>
    <t>Dimensions:</t>
  </si>
  <si>
    <t>cm</t>
  </si>
  <si>
    <t>Diameter:</t>
  </si>
  <si>
    <t>Height:</t>
  </si>
  <si>
    <t>Thrust:</t>
  </si>
  <si>
    <t>Burn Time:</t>
  </si>
  <si>
    <t>Total Engine Mass:</t>
  </si>
  <si>
    <t>Total Mass Prop:</t>
  </si>
  <si>
    <t>Max Lift Weight/u:</t>
  </si>
  <si>
    <t>Total Max Lift W</t>
  </si>
  <si>
    <t>Mass Struct:</t>
  </si>
  <si>
    <t>Payload Mass:</t>
  </si>
  <si>
    <t>Total Initial Mass</t>
  </si>
  <si>
    <t>TWR:</t>
  </si>
  <si>
    <t>Impulse:</t>
  </si>
  <si>
    <t>N*s</t>
  </si>
  <si>
    <t>Specific Impulse:</t>
  </si>
  <si>
    <t>Burn Velocity:</t>
  </si>
  <si>
    <t>Speed of Sound:</t>
  </si>
  <si>
    <t>Max Mach</t>
  </si>
  <si>
    <t>Body:</t>
  </si>
  <si>
    <t>Cone</t>
  </si>
  <si>
    <t>in</t>
  </si>
  <si>
    <t>Base:</t>
  </si>
  <si>
    <t>Volume=</t>
  </si>
  <si>
    <t>m^3</t>
  </si>
  <si>
    <t>Payload Bay:</t>
  </si>
  <si>
    <t>Truncated Cone</t>
  </si>
  <si>
    <t>R:</t>
  </si>
  <si>
    <t>r:</t>
  </si>
  <si>
    <t>h:</t>
  </si>
  <si>
    <t>Cyllinder</t>
  </si>
  <si>
    <t>Diam.:</t>
  </si>
  <si>
    <t>(Engines 3/4 in)</t>
  </si>
  <si>
    <t>x 30 engines:</t>
  </si>
  <si>
    <t>Total:</t>
  </si>
  <si>
    <t>Infill:</t>
  </si>
  <si>
    <t xml:space="preserve">Volume = </t>
  </si>
  <si>
    <t>Assuming full 3d-printed body:</t>
  </si>
  <si>
    <t>Density:</t>
  </si>
  <si>
    <t xml:space="preserve">Mass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</si>
</sst>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0"/>
    <numFmt numFmtId="166" formatCode="#,##0.0000"/>
    <numFmt numFmtId="167" formatCode="#,##0.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F9999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0" fillId="0" borderId="0" xfId="0" applyNumberFormat="1" applyAlignment="1">
      <alignment horizontal="left"/>
    </xf>
    <xf numFmtId="164" fontId="0" fillId="0" borderId="0" xfId="0" applyNumberFormat="1" applyAlignment="1"/>
    <xf numFmtId="165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left"/>
    </xf>
    <xf numFmtId="164" fontId="0" fillId="0" borderId="0" xfId="0" applyNumberFormat="1" applyAlignment="1"/>
    <xf numFmtId="4" fontId="1" fillId="2" borderId="4" xfId="0" applyNumberFormat="1" applyFont="1" applyFill="1" applyBorder="1" applyAlignment="1">
      <alignment horizontal="left"/>
    </xf>
    <xf numFmtId="166" fontId="0" fillId="0" borderId="0" xfId="0" applyNumberFormat="1" applyAlignment="1"/>
    <xf numFmtId="3" fontId="0" fillId="0" borderId="0" xfId="0" applyNumberFormat="1" applyAlignment="1"/>
    <xf numFmtId="4" fontId="1" fillId="2" borderId="7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6" fontId="1" fillId="2" borderId="6" xfId="0" applyNumberFormat="1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0" fontId="1" fillId="2" borderId="8" xfId="0" applyFont="1" applyFill="1" applyBorder="1" applyAlignment="1">
      <alignment horizontal="left"/>
    </xf>
    <xf numFmtId="4" fontId="1" fillId="2" borderId="9" xfId="0" applyNumberFormat="1" applyFont="1" applyFill="1" applyBorder="1" applyAlignment="1">
      <alignment horizontal="right"/>
    </xf>
    <xf numFmtId="4" fontId="1" fillId="2" borderId="10" xfId="0" applyNumberFormat="1" applyFont="1" applyFill="1" applyBorder="1" applyAlignment="1">
      <alignment horizontal="left"/>
    </xf>
    <xf numFmtId="166" fontId="0" fillId="0" borderId="0" xfId="0" applyNumberFormat="1" applyAlignment="1">
      <alignment horizontal="right"/>
    </xf>
    <xf numFmtId="4" fontId="1" fillId="3" borderId="4" xfId="0" applyNumberFormat="1" applyFont="1" applyFill="1" applyBorder="1" applyAlignment="1">
      <alignment horizontal="left"/>
    </xf>
    <xf numFmtId="4" fontId="1" fillId="3" borderId="7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6" fontId="1" fillId="3" borderId="6" xfId="0" applyNumberFormat="1" applyFont="1" applyFill="1" applyBorder="1" applyAlignment="1">
      <alignment horizontal="left"/>
    </xf>
    <xf numFmtId="164" fontId="1" fillId="3" borderId="6" xfId="0" applyNumberFormat="1" applyFont="1" applyFill="1" applyBorder="1" applyAlignment="1">
      <alignment horizontal="right"/>
    </xf>
    <xf numFmtId="164" fontId="1" fillId="3" borderId="7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left"/>
    </xf>
    <xf numFmtId="4" fontId="1" fillId="3" borderId="9" xfId="0" applyNumberFormat="1" applyFont="1" applyFill="1" applyBorder="1" applyAlignment="1">
      <alignment horizontal="right"/>
    </xf>
    <xf numFmtId="4" fontId="1" fillId="3" borderId="10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6" fontId="1" fillId="3" borderId="4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left"/>
    </xf>
    <xf numFmtId="166" fontId="1" fillId="3" borderId="7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right"/>
    </xf>
    <xf numFmtId="166" fontId="1" fillId="3" borderId="10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Alignment="1"/>
    <xf numFmtId="3" fontId="0" fillId="0" borderId="0" xfId="0" applyNumberFormat="1" applyAlignment="1"/>
    <xf numFmtId="0" fontId="3" fillId="2" borderId="2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6" fontId="3" fillId="3" borderId="6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166" fontId="1" fillId="3" borderId="1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0</xdr:row>
      <xdr:rowOff>0</xdr:rowOff>
    </xdr:from>
    <xdr:to>
      <xdr:col>10</xdr:col>
      <xdr:colOff>524605</xdr:colOff>
      <xdr:row>28</xdr:row>
      <xdr:rowOff>229565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2DA99F-8249-3E2A-331D-9D228F39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0"/>
          <a:ext cx="5229955" cy="691611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0</xdr:row>
      <xdr:rowOff>219075</xdr:rowOff>
    </xdr:from>
    <xdr:to>
      <xdr:col>19</xdr:col>
      <xdr:colOff>228600</xdr:colOff>
      <xdr:row>17</xdr:row>
      <xdr:rowOff>148323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DDC5A3-CF54-34C5-0860-F6DFD6DE3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4525" y="219075"/>
          <a:ext cx="5010150" cy="3996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3"/>
  <sheetViews>
    <sheetView workbookViewId="0"/>
  </sheetViews>
  <sheetFormatPr defaultRowHeight="15" x14ac:dyDescent="0.25"/>
  <cols>
    <col min="1" max="1" width="13.5703125" style="7" bestFit="1" customWidth="1"/>
    <col min="2" max="2" width="12" style="45" bestFit="1" customWidth="1"/>
    <col min="3" max="3" width="13.5703125" style="9" bestFit="1" customWidth="1"/>
    <col min="4" max="4" width="13.5703125" style="46" bestFit="1" customWidth="1"/>
    <col min="5" max="5" width="13.5703125" style="7" bestFit="1" customWidth="1"/>
    <col min="6" max="6" width="13.5703125" style="47" bestFit="1" customWidth="1"/>
    <col min="7" max="7" width="13.5703125" style="7" bestFit="1" customWidth="1"/>
  </cols>
  <sheetData>
    <row r="1" spans="1:7" ht="18.75" customHeight="1" x14ac:dyDescent="0.25">
      <c r="A1" s="48" t="s">
        <v>47</v>
      </c>
      <c r="B1" s="49"/>
      <c r="C1" s="17"/>
      <c r="D1" s="18"/>
      <c r="E1" s="1"/>
      <c r="F1" s="19"/>
      <c r="G1" s="1"/>
    </row>
    <row r="2" spans="1:7" ht="18.75" customHeight="1" x14ac:dyDescent="0.25">
      <c r="A2" s="50" t="s">
        <v>48</v>
      </c>
      <c r="B2" s="51"/>
      <c r="C2" s="20"/>
      <c r="D2" s="18"/>
      <c r="E2" s="1"/>
      <c r="F2" s="19"/>
      <c r="G2" s="1"/>
    </row>
    <row r="3" spans="1:7" ht="18.75" customHeight="1" x14ac:dyDescent="0.25">
      <c r="A3" s="21"/>
      <c r="B3" s="22" t="s">
        <v>49</v>
      </c>
      <c r="C3" s="20" t="s">
        <v>21</v>
      </c>
      <c r="D3" s="18"/>
      <c r="E3" s="1"/>
      <c r="F3" s="19"/>
      <c r="G3" s="1"/>
    </row>
    <row r="4" spans="1:7" ht="18.75" customHeight="1" x14ac:dyDescent="0.25">
      <c r="A4" s="21" t="s">
        <v>50</v>
      </c>
      <c r="B4" s="23">
        <v>12</v>
      </c>
      <c r="C4" s="24">
        <f>B4/39.37</f>
        <v>0.30480060960121924</v>
      </c>
      <c r="D4" s="18"/>
      <c r="E4" s="1"/>
      <c r="F4" s="19"/>
      <c r="G4" s="1"/>
    </row>
    <row r="5" spans="1:7" ht="18.75" customHeight="1" x14ac:dyDescent="0.25">
      <c r="A5" s="21" t="s">
        <v>30</v>
      </c>
      <c r="B5" s="23">
        <v>24</v>
      </c>
      <c r="C5" s="24">
        <f>B5/39.37</f>
        <v>0.60960121920243848</v>
      </c>
      <c r="D5" s="18"/>
      <c r="E5" s="1"/>
      <c r="F5" s="19"/>
      <c r="G5" s="1"/>
    </row>
    <row r="6" spans="1:7" ht="18.75" customHeight="1" x14ac:dyDescent="0.25">
      <c r="A6" s="21"/>
      <c r="B6" s="22"/>
      <c r="C6" s="20"/>
      <c r="D6" s="18"/>
      <c r="E6" s="1"/>
      <c r="F6" s="19"/>
      <c r="G6" s="1"/>
    </row>
    <row r="7" spans="1:7" ht="18.75" customHeight="1" x14ac:dyDescent="0.25">
      <c r="A7" s="25" t="s">
        <v>51</v>
      </c>
      <c r="B7" s="26">
        <f>PI()*(C4/2)^2*(C5/3)</f>
        <v>1.4826755164729137E-2</v>
      </c>
      <c r="C7" s="27" t="s">
        <v>52</v>
      </c>
      <c r="D7" s="18"/>
      <c r="E7" s="1"/>
      <c r="F7" s="19"/>
      <c r="G7" s="1"/>
    </row>
    <row r="8" spans="1:7" ht="18.75" customHeight="1" x14ac:dyDescent="0.25">
      <c r="A8" s="1"/>
      <c r="B8" s="28"/>
      <c r="C8" s="3"/>
      <c r="D8" s="18"/>
      <c r="E8" s="1"/>
      <c r="F8" s="19"/>
      <c r="G8" s="1"/>
    </row>
    <row r="9" spans="1:7" ht="18.75" customHeight="1" x14ac:dyDescent="0.25">
      <c r="A9" s="52" t="s">
        <v>53</v>
      </c>
      <c r="B9" s="53"/>
      <c r="C9" s="29"/>
      <c r="D9" s="18"/>
      <c r="E9" s="1"/>
      <c r="F9" s="19"/>
      <c r="G9" s="1"/>
    </row>
    <row r="10" spans="1:7" ht="18.75" customHeight="1" x14ac:dyDescent="0.25">
      <c r="A10" s="54" t="s">
        <v>54</v>
      </c>
      <c r="B10" s="55"/>
      <c r="C10" s="30"/>
      <c r="D10" s="18"/>
      <c r="E10" s="1"/>
      <c r="F10" s="19"/>
      <c r="G10" s="1"/>
    </row>
    <row r="11" spans="1:7" ht="18.75" customHeight="1" x14ac:dyDescent="0.25">
      <c r="A11" s="31"/>
      <c r="B11" s="32" t="s">
        <v>49</v>
      </c>
      <c r="C11" s="30" t="s">
        <v>21</v>
      </c>
      <c r="D11" s="18"/>
      <c r="E11" s="1"/>
      <c r="F11" s="19"/>
      <c r="G11" s="1"/>
    </row>
    <row r="12" spans="1:7" ht="18.75" customHeight="1" x14ac:dyDescent="0.25">
      <c r="A12" s="31" t="s">
        <v>55</v>
      </c>
      <c r="B12" s="33">
        <f>C12*39.37</f>
        <v>5.7716419999999999</v>
      </c>
      <c r="C12" s="34">
        <v>0.14660000000000001</v>
      </c>
      <c r="D12" s="18"/>
      <c r="E12" s="1"/>
      <c r="F12" s="19"/>
      <c r="G12" s="1"/>
    </row>
    <row r="13" spans="1:7" ht="18.75" customHeight="1" x14ac:dyDescent="0.25">
      <c r="A13" s="31" t="s">
        <v>56</v>
      </c>
      <c r="B13" s="33">
        <f>C13*39.37</f>
        <v>2.2051136999999996</v>
      </c>
      <c r="C13" s="34">
        <v>5.6009999999999997E-2</v>
      </c>
      <c r="D13" s="18"/>
      <c r="E13" s="1"/>
      <c r="F13" s="19"/>
      <c r="G13" s="1"/>
    </row>
    <row r="14" spans="1:7" ht="18.75" customHeight="1" x14ac:dyDescent="0.25">
      <c r="A14" s="31" t="s">
        <v>57</v>
      </c>
      <c r="B14" s="33">
        <f>C14*39.37</f>
        <v>11.528717099999998</v>
      </c>
      <c r="C14" s="34">
        <v>0.29282999999999998</v>
      </c>
      <c r="D14" s="18"/>
      <c r="E14" s="1"/>
      <c r="F14" s="19"/>
      <c r="G14" s="1"/>
    </row>
    <row r="15" spans="1:7" ht="18.75" customHeight="1" x14ac:dyDescent="0.25">
      <c r="A15" s="31"/>
      <c r="B15" s="32"/>
      <c r="C15" s="30"/>
      <c r="D15" s="18"/>
      <c r="E15" s="1"/>
      <c r="F15" s="19"/>
      <c r="G15" s="1"/>
    </row>
    <row r="16" spans="1:7" ht="18.75" customHeight="1" x14ac:dyDescent="0.25">
      <c r="A16" s="35" t="s">
        <v>51</v>
      </c>
      <c r="B16" s="36">
        <f>(1/3)*PI()*C14*(C12^2+C13^2+(C12*C13))</f>
        <v>1.0070336348177904E-2</v>
      </c>
      <c r="C16" s="37" t="s">
        <v>52</v>
      </c>
      <c r="D16" s="18"/>
      <c r="E16" s="1"/>
      <c r="F16" s="19"/>
      <c r="G16" s="1"/>
    </row>
    <row r="17" spans="1:7" ht="18.75" customHeight="1" x14ac:dyDescent="0.25">
      <c r="A17" s="1"/>
      <c r="B17" s="28"/>
      <c r="C17" s="3"/>
      <c r="D17" s="18"/>
      <c r="E17" s="1"/>
      <c r="F17" s="19"/>
      <c r="G17" s="1"/>
    </row>
    <row r="18" spans="1:7" ht="18.75" customHeight="1" x14ac:dyDescent="0.25">
      <c r="A18" s="52" t="s">
        <v>24</v>
      </c>
      <c r="B18" s="53"/>
      <c r="C18" s="38"/>
      <c r="D18" s="39"/>
      <c r="E18" s="1"/>
      <c r="F18" s="19"/>
      <c r="G18" s="1"/>
    </row>
    <row r="19" spans="1:7" ht="18.75" customHeight="1" x14ac:dyDescent="0.25">
      <c r="A19" s="54" t="s">
        <v>58</v>
      </c>
      <c r="B19" s="55"/>
      <c r="C19" s="40"/>
      <c r="D19" s="41"/>
      <c r="E19" s="1"/>
      <c r="F19" s="19"/>
      <c r="G19" s="1"/>
    </row>
    <row r="20" spans="1:7" ht="18.75" customHeight="1" x14ac:dyDescent="0.25">
      <c r="A20" s="31"/>
      <c r="B20" s="32" t="s">
        <v>21</v>
      </c>
      <c r="C20" s="40"/>
      <c r="D20" s="41"/>
      <c r="E20" s="1"/>
      <c r="F20" s="19"/>
      <c r="G20" s="1"/>
    </row>
    <row r="21" spans="1:7" ht="18.75" customHeight="1" x14ac:dyDescent="0.25">
      <c r="A21" s="31" t="s">
        <v>59</v>
      </c>
      <c r="B21" s="42">
        <f>Engines!C5</f>
        <v>5.2499999999999998E-2</v>
      </c>
      <c r="C21" s="40"/>
      <c r="D21" s="41"/>
      <c r="E21" s="1"/>
      <c r="F21" s="19"/>
      <c r="G21" s="1"/>
    </row>
    <row r="22" spans="1:7" ht="18.75" customHeight="1" x14ac:dyDescent="0.25">
      <c r="A22" s="31" t="s">
        <v>30</v>
      </c>
      <c r="B22" s="42">
        <f>Engines!C6*0.75</f>
        <v>5.2500000000000005E-2</v>
      </c>
      <c r="C22" s="40"/>
      <c r="D22" s="41"/>
      <c r="E22" s="1"/>
      <c r="F22" s="19"/>
      <c r="G22" s="1"/>
    </row>
    <row r="23" spans="1:7" ht="18.75" customHeight="1" x14ac:dyDescent="0.25">
      <c r="A23" s="56" t="s">
        <v>60</v>
      </c>
      <c r="B23" s="57"/>
      <c r="C23" s="40"/>
      <c r="D23" s="41"/>
      <c r="E23" s="1"/>
      <c r="F23" s="19"/>
      <c r="G23" s="1"/>
    </row>
    <row r="24" spans="1:7" ht="18.75" customHeight="1" x14ac:dyDescent="0.25">
      <c r="A24" s="31" t="s">
        <v>51</v>
      </c>
      <c r="B24" s="42">
        <f>PI()*(B21/2)^2*B22</f>
        <v>1.1364956861287138E-4</v>
      </c>
      <c r="C24" s="40" t="s">
        <v>52</v>
      </c>
      <c r="D24" s="41"/>
      <c r="E24" s="1"/>
      <c r="F24" s="19"/>
      <c r="G24" s="1"/>
    </row>
    <row r="25" spans="1:7" ht="18.75" customHeight="1" x14ac:dyDescent="0.25">
      <c r="A25" s="58" t="s">
        <v>61</v>
      </c>
      <c r="B25" s="59"/>
      <c r="C25" s="36">
        <f>B24*30</f>
        <v>3.4094870583861415E-3</v>
      </c>
      <c r="D25" s="43" t="s">
        <v>52</v>
      </c>
      <c r="E25" s="1"/>
      <c r="F25" s="19"/>
      <c r="G25" s="1"/>
    </row>
    <row r="26" spans="1:7" ht="18.75" customHeight="1" x14ac:dyDescent="0.25">
      <c r="A26" s="1"/>
      <c r="B26" s="28"/>
      <c r="C26" s="3"/>
      <c r="D26" s="18"/>
      <c r="E26" s="1"/>
      <c r="F26" s="19"/>
      <c r="G26" s="1"/>
    </row>
    <row r="27" spans="1:7" ht="18.75" customHeight="1" x14ac:dyDescent="0.25">
      <c r="A27" s="60" t="s">
        <v>62</v>
      </c>
      <c r="B27" s="61"/>
      <c r="C27" s="3"/>
      <c r="D27" s="61" t="s">
        <v>63</v>
      </c>
      <c r="E27" s="60"/>
      <c r="F27" s="19"/>
      <c r="G27" s="1"/>
    </row>
    <row r="28" spans="1:7" ht="18.75" customHeight="1" x14ac:dyDescent="0.25">
      <c r="A28" s="1"/>
      <c r="B28" s="28"/>
      <c r="C28" s="3"/>
      <c r="D28" s="62">
        <v>0.6</v>
      </c>
      <c r="E28" s="62"/>
      <c r="F28" s="19"/>
      <c r="G28" s="1"/>
    </row>
    <row r="29" spans="1:7" ht="18.75" customHeight="1" x14ac:dyDescent="0.25">
      <c r="A29" s="1" t="s">
        <v>64</v>
      </c>
      <c r="B29" s="4">
        <f>B7-B16-C25</f>
        <v>1.3469317581650915E-3</v>
      </c>
      <c r="C29" s="3" t="s">
        <v>52</v>
      </c>
      <c r="D29" s="44">
        <f>B29*(D28+0.15)</f>
        <v>1.0101988186238186E-3</v>
      </c>
      <c r="E29" s="1" t="s">
        <v>52</v>
      </c>
      <c r="F29" s="19"/>
      <c r="G29" s="1"/>
    </row>
    <row r="30" spans="1:7" ht="18.75" customHeight="1" x14ac:dyDescent="0.25">
      <c r="A30" s="1"/>
      <c r="B30" s="28"/>
      <c r="C30" s="3"/>
      <c r="D30" s="18"/>
      <c r="E30" s="1"/>
      <c r="F30" s="19"/>
      <c r="G30" s="1"/>
    </row>
    <row r="31" spans="1:7" ht="18.75" customHeight="1" x14ac:dyDescent="0.25">
      <c r="A31" s="1" t="s">
        <v>65</v>
      </c>
      <c r="B31" s="28"/>
      <c r="C31" s="3"/>
      <c r="D31" s="18"/>
      <c r="E31" s="1" t="s">
        <v>66</v>
      </c>
      <c r="F31" s="5">
        <v>1100</v>
      </c>
      <c r="G31" s="1" t="s">
        <v>8</v>
      </c>
    </row>
    <row r="32" spans="1:7" ht="18.75" customHeight="1" x14ac:dyDescent="0.25">
      <c r="A32" s="1"/>
      <c r="B32" s="28"/>
      <c r="C32" s="3"/>
      <c r="D32" s="18"/>
      <c r="E32" s="1"/>
      <c r="F32" s="19"/>
      <c r="G32" s="1"/>
    </row>
    <row r="33" spans="1:7" ht="18.75" customHeight="1" x14ac:dyDescent="0.25">
      <c r="A33" s="1" t="s">
        <v>67</v>
      </c>
      <c r="B33" s="44">
        <f>D29*F31</f>
        <v>1.1112187004862004</v>
      </c>
      <c r="C33" s="3" t="s">
        <v>15</v>
      </c>
      <c r="D33" s="18"/>
      <c r="E33" s="1"/>
      <c r="F33" s="19"/>
      <c r="G33" s="1"/>
    </row>
  </sheetData>
  <mergeCells count="11">
    <mergeCell ref="D28:E28"/>
    <mergeCell ref="A19:B19"/>
    <mergeCell ref="A23:B23"/>
    <mergeCell ref="A25:B25"/>
    <mergeCell ref="A27:B27"/>
    <mergeCell ref="D27:E27"/>
    <mergeCell ref="A1:B1"/>
    <mergeCell ref="A2:B2"/>
    <mergeCell ref="A9:B9"/>
    <mergeCell ref="A10:B10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3"/>
  <sheetViews>
    <sheetView tabSelected="1" workbookViewId="0">
      <selection activeCell="V15" sqref="V15"/>
    </sheetView>
  </sheetViews>
  <sheetFormatPr defaultRowHeight="15" x14ac:dyDescent="0.25"/>
  <cols>
    <col min="1" max="1" width="17.7109375" style="7" bestFit="1" customWidth="1"/>
    <col min="2" max="2" width="9.140625" style="8" bestFit="1" customWidth="1"/>
    <col min="3" max="3" width="13.5703125" style="15" bestFit="1" customWidth="1"/>
    <col min="4" max="4" width="10.5703125" style="16" bestFit="1" customWidth="1"/>
    <col min="5" max="8" width="13.5703125" style="7" bestFit="1" customWidth="1"/>
    <col min="9" max="9" width="13.5703125" style="16" bestFit="1" customWidth="1"/>
    <col min="10" max="10" width="13.5703125" style="7" bestFit="1" customWidth="1"/>
  </cols>
  <sheetData>
    <row r="1" spans="1:10" ht="19.5" customHeight="1" x14ac:dyDescent="0.25">
      <c r="A1" s="60" t="s">
        <v>24</v>
      </c>
      <c r="B1" s="63"/>
      <c r="C1" s="10"/>
      <c r="D1" s="11"/>
      <c r="E1" s="1"/>
      <c r="F1" s="1"/>
      <c r="G1" s="1"/>
      <c r="H1" s="1"/>
      <c r="I1" s="11"/>
      <c r="J1" s="1"/>
    </row>
    <row r="2" spans="1:10" ht="19.5" customHeight="1" x14ac:dyDescent="0.25">
      <c r="A2" s="60" t="s">
        <v>25</v>
      </c>
      <c r="B2" s="63"/>
      <c r="C2" s="10" t="s">
        <v>26</v>
      </c>
      <c r="D2" s="12">
        <v>30</v>
      </c>
      <c r="E2" s="1"/>
      <c r="F2" s="1"/>
      <c r="G2" s="1"/>
      <c r="H2" s="1"/>
      <c r="I2" s="11"/>
      <c r="J2" s="1"/>
    </row>
    <row r="3" spans="1:10" ht="18.75" customHeight="1" x14ac:dyDescent="0.25">
      <c r="A3" s="1" t="s">
        <v>27</v>
      </c>
      <c r="B3" s="2"/>
      <c r="C3" s="10"/>
      <c r="D3" s="11"/>
      <c r="E3" s="1"/>
      <c r="F3" s="1"/>
      <c r="G3" s="1"/>
      <c r="H3" s="1"/>
      <c r="I3" s="11"/>
      <c r="J3" s="1"/>
    </row>
    <row r="4" spans="1:10" ht="18.75" customHeight="1" x14ac:dyDescent="0.25">
      <c r="A4" s="1"/>
      <c r="B4" s="4" t="s">
        <v>28</v>
      </c>
      <c r="C4" s="4" t="s">
        <v>21</v>
      </c>
      <c r="D4" s="11"/>
      <c r="E4" s="1"/>
      <c r="F4" s="1"/>
      <c r="G4" s="1"/>
      <c r="H4" s="1"/>
      <c r="I4" s="11"/>
      <c r="J4" s="1"/>
    </row>
    <row r="5" spans="1:10" ht="18.75" customHeight="1" x14ac:dyDescent="0.25">
      <c r="A5" s="1" t="s">
        <v>29</v>
      </c>
      <c r="B5" s="4">
        <f>7*0.75</f>
        <v>5.25</v>
      </c>
      <c r="C5" s="4">
        <f>B5/100</f>
        <v>5.2499999999999998E-2</v>
      </c>
      <c r="D5" s="11"/>
      <c r="E5" s="1"/>
      <c r="F5" s="1"/>
      <c r="G5" s="1"/>
      <c r="H5" s="1"/>
      <c r="I5" s="11"/>
      <c r="J5" s="1"/>
    </row>
    <row r="6" spans="1:10" ht="18.75" customHeight="1" x14ac:dyDescent="0.25">
      <c r="A6" s="1" t="s">
        <v>30</v>
      </c>
      <c r="B6" s="5">
        <v>7</v>
      </c>
      <c r="C6" s="4">
        <f>B6/100</f>
        <v>7.0000000000000007E-2</v>
      </c>
      <c r="D6" s="11"/>
      <c r="E6" s="1"/>
      <c r="F6" s="1"/>
      <c r="G6" s="1"/>
      <c r="H6" s="1"/>
      <c r="I6" s="11"/>
      <c r="J6" s="1"/>
    </row>
    <row r="7" spans="1:10" ht="18.75" customHeight="1" x14ac:dyDescent="0.25">
      <c r="A7" s="1"/>
      <c r="B7" s="4"/>
      <c r="C7" s="4"/>
      <c r="D7" s="11"/>
      <c r="E7" s="1"/>
      <c r="F7" s="1"/>
      <c r="G7" s="1"/>
      <c r="H7" s="1"/>
      <c r="I7" s="11"/>
      <c r="J7" s="1"/>
    </row>
    <row r="8" spans="1:10" ht="18.75" customHeight="1" x14ac:dyDescent="0.25">
      <c r="A8" s="1" t="s">
        <v>31</v>
      </c>
      <c r="B8" s="4">
        <v>32.9</v>
      </c>
      <c r="C8" s="13" t="s">
        <v>12</v>
      </c>
      <c r="D8" s="12"/>
      <c r="E8" s="1"/>
      <c r="F8" s="1"/>
      <c r="G8" s="1"/>
      <c r="H8" s="1"/>
      <c r="I8" s="11"/>
      <c r="J8" s="1"/>
    </row>
    <row r="9" spans="1:10" ht="18.75" customHeight="1" x14ac:dyDescent="0.25">
      <c r="A9" s="1" t="s">
        <v>11</v>
      </c>
      <c r="B9" s="5">
        <f>B8*D2</f>
        <v>987</v>
      </c>
      <c r="C9" s="13" t="s">
        <v>12</v>
      </c>
      <c r="D9" s="12"/>
      <c r="E9" s="1"/>
      <c r="F9" s="1"/>
      <c r="G9" s="1"/>
      <c r="H9" s="1"/>
      <c r="I9" s="11"/>
      <c r="J9" s="1"/>
    </row>
    <row r="10" spans="1:10" ht="18.75" customHeight="1" x14ac:dyDescent="0.25">
      <c r="A10" s="1" t="s">
        <v>32</v>
      </c>
      <c r="B10" s="4">
        <v>1.6</v>
      </c>
      <c r="C10" s="13" t="s">
        <v>10</v>
      </c>
      <c r="D10" s="11"/>
      <c r="E10" s="1"/>
      <c r="F10" s="1"/>
      <c r="G10" s="1"/>
      <c r="H10" s="1"/>
      <c r="I10" s="11"/>
      <c r="J10" s="1"/>
    </row>
    <row r="11" spans="1:10" ht="18.75" customHeight="1" x14ac:dyDescent="0.25">
      <c r="A11" s="1" t="s">
        <v>33</v>
      </c>
      <c r="B11" s="4">
        <f>0.0457*D2</f>
        <v>1.371</v>
      </c>
      <c r="C11" s="13" t="s">
        <v>15</v>
      </c>
      <c r="D11" s="11"/>
      <c r="E11" s="1"/>
      <c r="F11" s="1"/>
      <c r="G11" s="1"/>
      <c r="H11" s="1"/>
      <c r="I11" s="11"/>
      <c r="J11" s="1"/>
    </row>
    <row r="12" spans="1:10" ht="18.75" customHeight="1" x14ac:dyDescent="0.25">
      <c r="A12" s="1" t="s">
        <v>34</v>
      </c>
      <c r="B12" s="4">
        <f>0.0242*D2</f>
        <v>0.72599999999999998</v>
      </c>
      <c r="C12" s="13" t="s">
        <v>15</v>
      </c>
      <c r="D12" s="11"/>
      <c r="E12" s="1"/>
      <c r="F12" s="1"/>
      <c r="G12" s="1"/>
      <c r="H12" s="1"/>
      <c r="I12" s="11"/>
      <c r="J12" s="1"/>
    </row>
    <row r="13" spans="1:10" ht="18.75" customHeight="1" x14ac:dyDescent="0.25">
      <c r="A13" s="1"/>
      <c r="B13" s="4"/>
      <c r="C13" s="13"/>
      <c r="D13" s="11"/>
      <c r="E13" s="1"/>
      <c r="F13" s="1"/>
      <c r="G13" s="1"/>
      <c r="H13" s="1"/>
      <c r="I13" s="11"/>
      <c r="J13" s="1"/>
    </row>
    <row r="14" spans="1:10" ht="18.75" customHeight="1" x14ac:dyDescent="0.25">
      <c r="A14" s="1" t="s">
        <v>35</v>
      </c>
      <c r="B14" s="4">
        <v>0.28299999999999997</v>
      </c>
      <c r="C14" s="13" t="s">
        <v>15</v>
      </c>
      <c r="D14" s="11"/>
      <c r="E14" s="1"/>
      <c r="F14" s="1"/>
      <c r="G14" s="1"/>
      <c r="H14" s="1"/>
      <c r="I14" s="11"/>
      <c r="J14" s="1"/>
    </row>
    <row r="15" spans="1:10" ht="18.75" customHeight="1" x14ac:dyDescent="0.25">
      <c r="A15" s="1" t="s">
        <v>36</v>
      </c>
      <c r="B15" s="4">
        <f>B14*D2</f>
        <v>8.4899999999999984</v>
      </c>
      <c r="C15" s="13" t="s">
        <v>15</v>
      </c>
      <c r="D15" s="11"/>
      <c r="E15" s="1"/>
      <c r="F15" s="1"/>
      <c r="G15" s="1"/>
      <c r="H15" s="1"/>
      <c r="I15" s="11"/>
      <c r="J15" s="1"/>
    </row>
    <row r="16" spans="1:10" ht="18.75" customHeight="1" x14ac:dyDescent="0.25">
      <c r="A16" s="1"/>
      <c r="B16" s="4"/>
      <c r="C16" s="13"/>
      <c r="D16" s="11"/>
      <c r="E16" s="1"/>
      <c r="F16" s="1"/>
      <c r="G16" s="1"/>
      <c r="H16" s="1"/>
      <c r="I16" s="11"/>
      <c r="J16" s="1"/>
    </row>
    <row r="17" spans="1:10" ht="18.75" customHeight="1" x14ac:dyDescent="0.25">
      <c r="A17" s="1" t="s">
        <v>37</v>
      </c>
      <c r="B17" s="14">
        <f>'Volume Calculations'!B33</f>
        <v>1.1112187004862004</v>
      </c>
      <c r="C17" s="13" t="s">
        <v>15</v>
      </c>
      <c r="D17" s="14">
        <f>B11-B12+B17</f>
        <v>1.7562187004862004</v>
      </c>
      <c r="E17" s="1"/>
      <c r="F17" s="1"/>
      <c r="G17" s="1"/>
      <c r="H17" s="1"/>
      <c r="I17" s="11"/>
      <c r="J17" s="1"/>
    </row>
    <row r="18" spans="1:10" ht="18.75" customHeight="1" x14ac:dyDescent="0.25">
      <c r="A18" s="1"/>
      <c r="B18" s="4"/>
      <c r="C18" s="13"/>
      <c r="D18" s="11"/>
      <c r="E18" s="1"/>
      <c r="F18" s="1"/>
      <c r="G18" s="1"/>
      <c r="H18" s="1"/>
      <c r="I18" s="11"/>
      <c r="J18" s="1"/>
    </row>
    <row r="19" spans="1:10" ht="18.75" customHeight="1" x14ac:dyDescent="0.25">
      <c r="A19" s="1" t="s">
        <v>38</v>
      </c>
      <c r="B19" s="14">
        <v>0</v>
      </c>
      <c r="C19" s="13" t="s">
        <v>15</v>
      </c>
      <c r="D19" s="11"/>
      <c r="E19" s="1"/>
      <c r="F19" s="66"/>
      <c r="G19" s="66"/>
      <c r="H19" s="66"/>
      <c r="I19" s="14"/>
      <c r="J19" s="1"/>
    </row>
    <row r="20" spans="1:10" ht="18.75" customHeight="1" x14ac:dyDescent="0.25">
      <c r="A20" s="1"/>
      <c r="B20" s="4"/>
      <c r="C20" s="13"/>
      <c r="D20" s="11"/>
      <c r="E20" s="1"/>
      <c r="F20" s="1"/>
      <c r="G20" s="1"/>
      <c r="H20" s="1"/>
      <c r="I20" s="14"/>
      <c r="J20" s="1"/>
    </row>
    <row r="21" spans="1:10" ht="18.75" customHeight="1" x14ac:dyDescent="0.25">
      <c r="A21" s="1" t="s">
        <v>39</v>
      </c>
      <c r="B21" s="14">
        <f>B19+B17+B11</f>
        <v>2.4822187004862002</v>
      </c>
      <c r="C21" s="13" t="s">
        <v>15</v>
      </c>
      <c r="D21" s="11"/>
      <c r="E21" s="1"/>
      <c r="F21" s="1"/>
      <c r="G21" s="1"/>
      <c r="H21" s="1"/>
      <c r="I21" s="11"/>
      <c r="J21" s="1"/>
    </row>
    <row r="22" spans="1:10" ht="18.75" customHeight="1" x14ac:dyDescent="0.25">
      <c r="A22" s="1"/>
      <c r="B22" s="4"/>
      <c r="C22" s="13"/>
      <c r="D22" s="11"/>
      <c r="E22" s="1"/>
      <c r="F22" s="1"/>
      <c r="G22" s="1"/>
      <c r="H22" s="1"/>
      <c r="I22" s="11"/>
      <c r="J22" s="1"/>
    </row>
    <row r="23" spans="1:10" ht="18.75" customHeight="1" x14ac:dyDescent="0.25">
      <c r="A23" s="1" t="s">
        <v>40</v>
      </c>
      <c r="B23" s="14">
        <f>B9/(B17*9.8+B11*9.8+B19*9.8)</f>
        <v>40.574299796612785</v>
      </c>
      <c r="C23" s="13"/>
      <c r="D23" s="11"/>
      <c r="E23" s="1"/>
      <c r="F23" s="1"/>
      <c r="G23" s="1"/>
      <c r="H23" s="1"/>
      <c r="I23" s="11"/>
      <c r="J23" s="1"/>
    </row>
    <row r="24" spans="1:10" ht="18.75" customHeight="1" x14ac:dyDescent="0.25">
      <c r="A24" s="1"/>
      <c r="B24" s="4"/>
      <c r="C24" s="13"/>
      <c r="D24" s="11"/>
      <c r="E24" s="1"/>
      <c r="F24" s="1"/>
      <c r="G24" s="1"/>
      <c r="H24" s="1"/>
      <c r="I24" s="11"/>
      <c r="J24" s="1"/>
    </row>
    <row r="25" spans="1:10" ht="18.75" customHeight="1" x14ac:dyDescent="0.25">
      <c r="A25" s="1" t="s">
        <v>41</v>
      </c>
      <c r="B25" s="5">
        <v>20</v>
      </c>
      <c r="C25" s="13" t="s">
        <v>42</v>
      </c>
      <c r="D25" s="11"/>
      <c r="E25" s="1"/>
      <c r="F25" s="1"/>
      <c r="G25" s="1"/>
      <c r="H25" s="1"/>
      <c r="I25" s="11"/>
      <c r="J25" s="1"/>
    </row>
    <row r="26" spans="1:10" ht="18.75" customHeight="1" x14ac:dyDescent="0.25">
      <c r="A26" s="1"/>
      <c r="B26" s="4"/>
      <c r="C26" s="13"/>
      <c r="D26" s="11"/>
      <c r="E26" s="1"/>
      <c r="F26" s="1"/>
      <c r="G26" s="1"/>
      <c r="H26" s="1"/>
      <c r="I26" s="11"/>
      <c r="J26" s="1"/>
    </row>
    <row r="27" spans="1:10" ht="18.75" customHeight="1" x14ac:dyDescent="0.25">
      <c r="A27" s="1" t="s">
        <v>43</v>
      </c>
      <c r="B27" s="14">
        <f>B25/(9.81*B12/D2)</f>
        <v>84.245288582236043</v>
      </c>
      <c r="C27" s="13" t="s">
        <v>10</v>
      </c>
      <c r="D27" s="11"/>
      <c r="E27" s="1"/>
      <c r="F27" s="1"/>
      <c r="G27" s="1"/>
      <c r="H27" s="1"/>
      <c r="I27" s="11"/>
      <c r="J27" s="1"/>
    </row>
    <row r="28" spans="1:10" ht="18.75" customHeight="1" x14ac:dyDescent="0.25">
      <c r="A28" s="1"/>
      <c r="B28" s="4"/>
      <c r="C28" s="13"/>
      <c r="D28" s="11"/>
      <c r="E28" s="1"/>
      <c r="F28" s="1"/>
      <c r="G28" s="1"/>
      <c r="H28" s="1"/>
      <c r="I28" s="11"/>
      <c r="J28" s="1"/>
    </row>
    <row r="29" spans="1:10" ht="18.75" customHeight="1" x14ac:dyDescent="0.25">
      <c r="A29" s="1" t="s">
        <v>44</v>
      </c>
      <c r="B29" s="4">
        <f>(9.81)*(B27)*LN((B21)/(B21-B12))</f>
        <v>285.94195484826514</v>
      </c>
      <c r="C29" s="13" t="s">
        <v>19</v>
      </c>
      <c r="D29" s="11"/>
      <c r="E29" s="1"/>
      <c r="F29" s="1"/>
      <c r="G29" s="1"/>
      <c r="H29" s="1"/>
      <c r="I29" s="11"/>
      <c r="J29" s="1"/>
    </row>
    <row r="30" spans="1:10" ht="18.75" customHeight="1" x14ac:dyDescent="0.25">
      <c r="A30" s="1"/>
      <c r="B30" s="4"/>
      <c r="C30" s="13"/>
      <c r="D30" s="11"/>
      <c r="E30" s="1"/>
      <c r="F30" s="1"/>
      <c r="G30" s="1"/>
      <c r="H30" s="1"/>
      <c r="I30" s="11"/>
      <c r="J30" s="1"/>
    </row>
    <row r="31" spans="1:10" ht="18.75" customHeight="1" x14ac:dyDescent="0.25">
      <c r="A31" s="1" t="s">
        <v>45</v>
      </c>
      <c r="B31" s="5">
        <v>343</v>
      </c>
      <c r="C31" s="13" t="s">
        <v>19</v>
      </c>
      <c r="D31" s="11"/>
      <c r="E31" s="1"/>
      <c r="F31" s="1"/>
      <c r="G31" s="1"/>
      <c r="H31" s="1"/>
      <c r="I31" s="11"/>
      <c r="J31" s="1"/>
    </row>
    <row r="32" spans="1:10" ht="18.75" customHeight="1" x14ac:dyDescent="0.25">
      <c r="A32" s="1"/>
      <c r="B32" s="4"/>
      <c r="C32" s="13"/>
      <c r="D32" s="11"/>
      <c r="E32" s="1"/>
      <c r="F32" s="1"/>
      <c r="G32" s="1"/>
      <c r="H32" s="1"/>
      <c r="I32" s="11"/>
      <c r="J32" s="1"/>
    </row>
    <row r="33" spans="1:10" ht="18.75" customHeight="1" x14ac:dyDescent="0.25">
      <c r="A33" s="1" t="s">
        <v>46</v>
      </c>
      <c r="B33" s="4">
        <f>B29/B31</f>
        <v>0.83365001413488382</v>
      </c>
      <c r="C33" s="13"/>
      <c r="D33" s="11"/>
      <c r="E33" s="1"/>
      <c r="F33" s="1"/>
      <c r="G33" s="1"/>
      <c r="H33" s="1"/>
      <c r="I33" s="11"/>
      <c r="J33" s="1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9"/>
  <sheetViews>
    <sheetView workbookViewId="0"/>
  </sheetViews>
  <sheetFormatPr defaultRowHeight="15" x14ac:dyDescent="0.25"/>
  <cols>
    <col min="1" max="1" width="16" style="7" bestFit="1" customWidth="1"/>
    <col min="2" max="2" width="10.85546875" style="8" bestFit="1" customWidth="1"/>
    <col min="3" max="3" width="13.5703125" style="9" bestFit="1" customWidth="1"/>
    <col min="4" max="6" width="13.5703125" style="7" bestFit="1" customWidth="1"/>
    <col min="7" max="7" width="12.28515625" style="7" bestFit="1" customWidth="1"/>
    <col min="8" max="8" width="13.5703125" style="9" bestFit="1" customWidth="1"/>
    <col min="9" max="10" width="13.5703125" style="7" bestFit="1" customWidth="1"/>
  </cols>
  <sheetData>
    <row r="1" spans="1:10" ht="18.75" customHeight="1" x14ac:dyDescent="0.25">
      <c r="A1" s="1" t="s">
        <v>0</v>
      </c>
      <c r="B1" s="2"/>
      <c r="C1" s="3"/>
      <c r="D1" s="1"/>
      <c r="E1" s="1"/>
      <c r="F1" s="1"/>
      <c r="G1" s="1"/>
      <c r="H1" s="3"/>
      <c r="I1" s="1"/>
      <c r="J1" s="1"/>
    </row>
    <row r="2" spans="1:10" ht="18.75" customHeight="1" x14ac:dyDescent="0.25">
      <c r="A2" s="1"/>
      <c r="B2" s="2"/>
      <c r="C2" s="3"/>
      <c r="D2" s="1"/>
      <c r="E2" s="1"/>
      <c r="F2" s="1"/>
      <c r="G2" s="1"/>
      <c r="H2" s="3"/>
      <c r="I2" s="1"/>
      <c r="J2" s="1"/>
    </row>
    <row r="3" spans="1:10" ht="18.75" customHeight="1" x14ac:dyDescent="0.25">
      <c r="A3" s="1"/>
      <c r="B3" s="2"/>
      <c r="C3" s="3"/>
      <c r="D3" s="1"/>
      <c r="E3" s="1"/>
      <c r="F3" s="1"/>
      <c r="G3" s="1"/>
      <c r="H3" s="3"/>
      <c r="I3" s="1"/>
      <c r="J3" s="1"/>
    </row>
    <row r="4" spans="1:10" ht="18.75" customHeight="1" x14ac:dyDescent="0.25">
      <c r="A4" s="1"/>
      <c r="B4" s="2"/>
      <c r="C4" s="3"/>
      <c r="D4" s="1"/>
      <c r="E4" s="1"/>
      <c r="F4" s="1"/>
      <c r="G4" s="1"/>
      <c r="H4" s="3"/>
      <c r="I4" s="1"/>
      <c r="J4" s="1"/>
    </row>
    <row r="5" spans="1:10" ht="18.75" customHeight="1" x14ac:dyDescent="0.25">
      <c r="A5" s="1" t="s">
        <v>1</v>
      </c>
      <c r="B5" s="2"/>
      <c r="C5" s="3"/>
      <c r="D5" s="1"/>
      <c r="E5" s="1"/>
      <c r="F5" s="1"/>
      <c r="G5" s="1" t="s">
        <v>2</v>
      </c>
      <c r="H5" s="3"/>
      <c r="I5" s="1"/>
      <c r="J5" s="1"/>
    </row>
    <row r="6" spans="1:10" ht="18.75" customHeight="1" x14ac:dyDescent="0.25">
      <c r="A6" s="1" t="s">
        <v>3</v>
      </c>
      <c r="B6" s="2"/>
      <c r="C6" s="4">
        <f>PI()*('Volume Calculations'!C4/2)^2</f>
        <v>7.2966168854423252E-2</v>
      </c>
      <c r="D6" s="1" t="s">
        <v>4</v>
      </c>
      <c r="E6" s="1"/>
      <c r="F6" s="1"/>
      <c r="G6" s="1" t="s">
        <v>5</v>
      </c>
      <c r="H6" s="4">
        <v>0.75</v>
      </c>
      <c r="I6" s="1"/>
      <c r="J6" s="1"/>
    </row>
    <row r="7" spans="1:10" ht="18.75" customHeight="1" x14ac:dyDescent="0.25">
      <c r="A7" s="1" t="s">
        <v>6</v>
      </c>
      <c r="B7" s="4">
        <f>0.5*H7*H6*C6</f>
        <v>3.2834775984490458E-2</v>
      </c>
      <c r="C7" s="3"/>
      <c r="D7" s="1"/>
      <c r="E7" s="1"/>
      <c r="F7" s="1"/>
      <c r="G7" s="1" t="s">
        <v>7</v>
      </c>
      <c r="H7" s="4">
        <v>1.2</v>
      </c>
      <c r="I7" s="1" t="s">
        <v>8</v>
      </c>
      <c r="J7" s="1"/>
    </row>
    <row r="8" spans="1:10" ht="18.75" customHeight="1" x14ac:dyDescent="0.25">
      <c r="A8" s="1" t="s">
        <v>9</v>
      </c>
      <c r="B8" s="4">
        <f>Engines!B10</f>
        <v>1.6</v>
      </c>
      <c r="C8" s="3" t="s">
        <v>10</v>
      </c>
      <c r="D8" s="1"/>
      <c r="E8" s="1"/>
      <c r="F8" s="1"/>
      <c r="G8" s="1"/>
      <c r="H8" s="3"/>
      <c r="I8" s="1"/>
      <c r="J8" s="1"/>
    </row>
    <row r="9" spans="1:10" ht="18.75" customHeight="1" x14ac:dyDescent="0.25">
      <c r="A9" s="1" t="s">
        <v>11</v>
      </c>
      <c r="B9" s="5">
        <f>Engines!B9</f>
        <v>987</v>
      </c>
      <c r="C9" s="3" t="s">
        <v>12</v>
      </c>
      <c r="D9" s="64" t="s">
        <v>13</v>
      </c>
      <c r="E9" s="64"/>
      <c r="F9" s="64"/>
      <c r="G9" s="64"/>
      <c r="H9" s="65"/>
      <c r="I9" s="64"/>
      <c r="J9" s="6"/>
    </row>
    <row r="10" spans="1:10" ht="18.75" customHeight="1" x14ac:dyDescent="0.25">
      <c r="A10" s="1"/>
      <c r="B10" s="2"/>
      <c r="C10" s="3"/>
      <c r="D10" s="1"/>
      <c r="E10" s="1"/>
      <c r="F10" s="1"/>
      <c r="G10" s="1"/>
      <c r="H10" s="3"/>
      <c r="I10" s="1"/>
      <c r="J10" s="1"/>
    </row>
    <row r="11" spans="1:10" ht="18.75" customHeight="1" x14ac:dyDescent="0.25">
      <c r="A11" s="1" t="s">
        <v>14</v>
      </c>
      <c r="B11" s="4">
        <f>Engines!B17+Engines!B19+Engines!B11</f>
        <v>2.4822187004862002</v>
      </c>
      <c r="C11" s="3" t="s">
        <v>15</v>
      </c>
      <c r="D11" s="1"/>
      <c r="E11" s="1"/>
      <c r="F11" s="1"/>
      <c r="G11" s="1"/>
      <c r="H11" s="3"/>
      <c r="I11" s="1"/>
      <c r="J11" s="1"/>
    </row>
    <row r="12" spans="1:10" ht="18.75" customHeight="1" x14ac:dyDescent="0.25">
      <c r="A12" s="1"/>
      <c r="B12" s="2"/>
      <c r="C12" s="3"/>
      <c r="D12" s="1"/>
      <c r="E12" s="1"/>
      <c r="F12" s="1"/>
      <c r="G12" s="1"/>
      <c r="H12" s="3"/>
      <c r="I12" s="1"/>
      <c r="J12" s="1"/>
    </row>
    <row r="13" spans="1:10" ht="18.75" customHeight="1" x14ac:dyDescent="0.25">
      <c r="A13" s="1" t="s">
        <v>16</v>
      </c>
      <c r="B13" s="4">
        <f>SQRT((B9-(B11*9.81))/B7)</f>
        <v>171.22495123854898</v>
      </c>
      <c r="C13" s="3"/>
      <c r="D13" s="1"/>
      <c r="E13" s="1"/>
      <c r="F13" s="1"/>
      <c r="G13" s="1"/>
      <c r="H13" s="3"/>
      <c r="I13" s="1"/>
      <c r="J13" s="1"/>
    </row>
    <row r="14" spans="1:10" ht="18.75" customHeight="1" x14ac:dyDescent="0.25">
      <c r="A14" s="1" t="s">
        <v>17</v>
      </c>
      <c r="B14" s="4">
        <f>(2*B7*B13)/B11</f>
        <v>4.5299255184660661</v>
      </c>
      <c r="C14" s="3"/>
      <c r="D14" s="1"/>
      <c r="E14" s="1"/>
      <c r="F14" s="1"/>
      <c r="G14" s="1"/>
      <c r="H14" s="3"/>
      <c r="I14" s="1"/>
      <c r="J14" s="1"/>
    </row>
    <row r="15" spans="1:10" ht="18.75" customHeight="1" x14ac:dyDescent="0.25">
      <c r="A15" s="1"/>
      <c r="B15" s="2"/>
      <c r="C15" s="3"/>
      <c r="D15" s="1"/>
      <c r="E15" s="1"/>
      <c r="F15" s="1"/>
      <c r="G15" s="1"/>
      <c r="H15" s="3"/>
      <c r="I15" s="1"/>
      <c r="J15" s="1"/>
    </row>
    <row r="16" spans="1:10" ht="18.75" customHeight="1" x14ac:dyDescent="0.25">
      <c r="A16" s="1" t="s">
        <v>18</v>
      </c>
      <c r="B16" s="4">
        <f>B13*(1-EXP(-B14*B8))/(1+EXP(-B14*B8))</f>
        <v>170.98140948544895</v>
      </c>
      <c r="C16" s="3" t="s">
        <v>19</v>
      </c>
      <c r="D16" s="1"/>
      <c r="E16" s="1"/>
      <c r="F16" s="1"/>
      <c r="G16" s="1"/>
      <c r="H16" s="3"/>
      <c r="I16" s="1"/>
      <c r="J16" s="1"/>
    </row>
    <row r="17" spans="1:10" ht="18.75" customHeight="1" x14ac:dyDescent="0.25">
      <c r="A17" s="1" t="s">
        <v>20</v>
      </c>
      <c r="B17" s="4">
        <f>(-B11/(2*B7))*LN((B9-(B11*9.81)-B7*B16^2)/(B9-B11*9.81))</f>
        <v>221.61368471489988</v>
      </c>
      <c r="C17" s="3" t="s">
        <v>21</v>
      </c>
      <c r="D17" s="1"/>
      <c r="E17" s="1"/>
      <c r="F17" s="1"/>
      <c r="G17" s="1"/>
      <c r="H17" s="3"/>
      <c r="I17" s="1"/>
      <c r="J17" s="1"/>
    </row>
    <row r="18" spans="1:10" ht="18.75" customHeight="1" x14ac:dyDescent="0.25">
      <c r="A18" s="1" t="s">
        <v>22</v>
      </c>
      <c r="B18" s="4">
        <f>(B11/(2*B7))*LN((B11*9.81+B7*B16^2)/(B11*9.81))</f>
        <v>139.82990765685773</v>
      </c>
      <c r="C18" s="3" t="s">
        <v>21</v>
      </c>
      <c r="D18" s="1"/>
      <c r="E18" s="1"/>
      <c r="F18" s="1"/>
      <c r="G18" s="1"/>
      <c r="H18" s="3"/>
      <c r="I18" s="1"/>
      <c r="J18" s="1"/>
    </row>
    <row r="19" spans="1:10" ht="18.75" customHeight="1" x14ac:dyDescent="0.25">
      <c r="A19" s="1" t="s">
        <v>23</v>
      </c>
      <c r="B19" s="4">
        <f>B18+B17</f>
        <v>361.44359237175763</v>
      </c>
      <c r="C19" s="3" t="s">
        <v>21</v>
      </c>
      <c r="D19" s="1"/>
      <c r="E19" s="1"/>
      <c r="F19" s="1"/>
      <c r="G19" s="1"/>
      <c r="H19" s="3"/>
      <c r="I19" s="1"/>
      <c r="J19" s="1"/>
    </row>
  </sheetData>
  <mergeCells count="1">
    <mergeCell ref="D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Calculations</vt:lpstr>
      <vt:lpstr>Engines</vt:lpstr>
      <vt:lpstr>Trajectory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Mathieu Cote</cp:lastModifiedBy>
  <dcterms:created xsi:type="dcterms:W3CDTF">2022-11-26T01:51:02Z</dcterms:created>
  <dcterms:modified xsi:type="dcterms:W3CDTF">2022-11-26T01:52:34Z</dcterms:modified>
</cp:coreProperties>
</file>