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usherbrooke-my.sharepoint.com/personal/desm1210_usherbrooke_ca/Documents/S2/APP4/Chiffriers Excel/"/>
    </mc:Choice>
  </mc:AlternateContent>
  <xr:revisionPtr revIDLastSave="603" documentId="13_ncr:1_{A0A93156-69E4-432F-8D7C-2ABEB6319E1C}" xr6:coauthVersionLast="47" xr6:coauthVersionMax="47" xr10:uidLastSave="{C9DE78AF-B8C2-584F-86BD-08214B2F6733}"/>
  <bookViews>
    <workbookView xWindow="0" yWindow="500" windowWidth="38400" windowHeight="23500" tabRatio="691" activeTab="1" xr2:uid="{00000000-000D-0000-FFFF-FFFF00000000}"/>
  </bookViews>
  <sheets>
    <sheet name="Graphique gaz à effet de serre" sheetId="4" r:id="rId1"/>
    <sheet name="Annexe 1" sheetId="1" r:id="rId2"/>
    <sheet name="Annexe 2" sheetId="3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3" l="1"/>
  <c r="F30" i="3"/>
  <c r="H30" i="3"/>
  <c r="B30" i="3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AV7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AV6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AV5" i="1"/>
  <c r="AS8" i="1"/>
  <c r="AS7" i="1"/>
  <c r="AS6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U25" i="3" l="1"/>
  <c r="T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D22" i="3" l="1"/>
  <c r="AD16" i="3" s="1"/>
  <c r="AE22" i="3"/>
  <c r="AE20" i="3" s="1"/>
  <c r="AF22" i="3"/>
  <c r="AG22" i="3"/>
  <c r="AC23" i="3"/>
  <c r="AC22" i="3" s="1"/>
  <c r="AC7" i="3" s="1"/>
  <c r="AB23" i="3"/>
  <c r="AB22" i="3" s="1"/>
  <c r="AB8" i="3" s="1"/>
  <c r="AA23" i="3"/>
  <c r="AA22" i="3" s="1"/>
  <c r="AA8" i="3" s="1"/>
  <c r="Z23" i="3"/>
  <c r="Z22" i="3" s="1"/>
  <c r="Y23" i="3"/>
  <c r="Y22" i="3" s="1"/>
  <c r="X23" i="3"/>
  <c r="X22" i="3" s="1"/>
  <c r="W23" i="3"/>
  <c r="W22" i="3" s="1"/>
  <c r="W7" i="3" s="1"/>
  <c r="V23" i="3"/>
  <c r="U23" i="3"/>
  <c r="U22" i="3" s="1"/>
  <c r="U11" i="3" s="1"/>
  <c r="T23" i="3"/>
  <c r="T22" i="3" s="1"/>
  <c r="T5" i="3" s="1"/>
  <c r="AH22" i="3"/>
  <c r="AH19" i="3" s="1"/>
  <c r="V22" i="3"/>
  <c r="V18" i="3" s="1"/>
  <c r="V5" i="3" l="1"/>
  <c r="AG19" i="3"/>
  <c r="AG16" i="3"/>
  <c r="AH13" i="3"/>
  <c r="Y20" i="3"/>
  <c r="Y19" i="3"/>
  <c r="Y9" i="3"/>
  <c r="Y8" i="3"/>
  <c r="Z9" i="3"/>
  <c r="Z8" i="3"/>
  <c r="X18" i="3"/>
  <c r="X19" i="3"/>
  <c r="X8" i="3"/>
  <c r="X16" i="3"/>
  <c r="U7" i="3"/>
  <c r="V7" i="3"/>
  <c r="AH11" i="3"/>
  <c r="AH9" i="3"/>
  <c r="T10" i="3"/>
  <c r="T14" i="3"/>
  <c r="T18" i="3"/>
  <c r="T20" i="3"/>
  <c r="T6" i="3"/>
  <c r="T7" i="3"/>
  <c r="T9" i="3"/>
  <c r="T8" i="3"/>
  <c r="T16" i="3"/>
  <c r="T19" i="3"/>
  <c r="T13" i="3"/>
  <c r="T11" i="3"/>
  <c r="T12" i="3"/>
  <c r="V19" i="3"/>
  <c r="U5" i="3"/>
  <c r="AG20" i="3"/>
  <c r="W8" i="3"/>
  <c r="X9" i="3"/>
  <c r="AG14" i="3"/>
  <c r="AH6" i="3"/>
  <c r="V8" i="3"/>
  <c r="AG13" i="3"/>
  <c r="AG11" i="3"/>
  <c r="W19" i="3"/>
  <c r="U19" i="3"/>
  <c r="U8" i="3"/>
  <c r="AG10" i="3"/>
  <c r="V9" i="3"/>
  <c r="AG12" i="3"/>
  <c r="AG5" i="3"/>
  <c r="W14" i="3"/>
  <c r="W10" i="3"/>
  <c r="AH16" i="3"/>
  <c r="AG9" i="3"/>
  <c r="AH20" i="3"/>
  <c r="W16" i="3"/>
  <c r="AG6" i="3"/>
  <c r="U13" i="3"/>
  <c r="AH10" i="3"/>
  <c r="W6" i="3"/>
  <c r="W20" i="3"/>
  <c r="AH14" i="3"/>
  <c r="V20" i="3"/>
  <c r="AH7" i="3"/>
  <c r="U6" i="3"/>
  <c r="W12" i="3"/>
  <c r="V12" i="3"/>
  <c r="V13" i="3"/>
  <c r="U16" i="3"/>
  <c r="X20" i="3"/>
  <c r="W9" i="3"/>
  <c r="AH12" i="3"/>
  <c r="V6" i="3"/>
  <c r="AH5" i="3"/>
  <c r="AH18" i="3"/>
  <c r="U9" i="3"/>
  <c r="U20" i="3"/>
  <c r="AG18" i="3"/>
  <c r="AG7" i="3"/>
  <c r="V14" i="3"/>
  <c r="V10" i="3"/>
  <c r="AH8" i="3"/>
  <c r="X12" i="3"/>
  <c r="X5" i="3"/>
  <c r="U14" i="3"/>
  <c r="U10" i="3"/>
  <c r="AG8" i="3"/>
  <c r="X7" i="3"/>
  <c r="W13" i="3"/>
  <c r="W5" i="3"/>
  <c r="U18" i="3"/>
  <c r="U12" i="3"/>
  <c r="AA9" i="3"/>
  <c r="AD11" i="3"/>
  <c r="AC11" i="3"/>
  <c r="X6" i="3"/>
  <c r="AD8" i="3"/>
  <c r="AC13" i="3"/>
  <c r="AB14" i="3"/>
  <c r="AC16" i="3"/>
  <c r="Y13" i="3"/>
  <c r="AC8" i="3"/>
  <c r="AC12" i="3"/>
  <c r="Y5" i="3"/>
  <c r="AC19" i="3"/>
  <c r="AA12" i="3"/>
  <c r="AD18" i="3"/>
  <c r="AD7" i="3"/>
  <c r="Z5" i="3"/>
  <c r="AB12" i="3"/>
  <c r="Z13" i="3"/>
  <c r="AB19" i="3"/>
  <c r="Z12" i="3"/>
  <c r="X11" i="3"/>
  <c r="Z20" i="3"/>
  <c r="AA19" i="3"/>
  <c r="AC18" i="3"/>
  <c r="X13" i="3"/>
  <c r="Y12" i="3"/>
  <c r="W11" i="3"/>
  <c r="Z19" i="3"/>
  <c r="W18" i="3"/>
  <c r="AE18" i="3"/>
  <c r="AE11" i="3"/>
  <c r="AE7" i="3"/>
  <c r="AB11" i="3"/>
  <c r="AB16" i="3"/>
  <c r="AB7" i="3"/>
  <c r="AE5" i="3"/>
  <c r="AA16" i="3"/>
  <c r="AA11" i="3"/>
  <c r="AA7" i="3"/>
  <c r="AC14" i="3"/>
  <c r="Z7" i="3"/>
  <c r="Y16" i="3"/>
  <c r="AE13" i="3"/>
  <c r="Y11" i="3"/>
  <c r="AB10" i="3"/>
  <c r="AE9" i="3"/>
  <c r="Y7" i="3"/>
  <c r="AB6" i="3"/>
  <c r="AE16" i="3"/>
  <c r="AB18" i="3"/>
  <c r="AE6" i="3"/>
  <c r="AA14" i="3"/>
  <c r="AD13" i="3"/>
  <c r="AA10" i="3"/>
  <c r="AD9" i="3"/>
  <c r="AA6" i="3"/>
  <c r="AE14" i="3"/>
  <c r="AE10" i="3"/>
  <c r="AD14" i="3"/>
  <c r="AD10" i="3"/>
  <c r="AD6" i="3"/>
  <c r="AD5" i="3"/>
  <c r="Z18" i="3"/>
  <c r="Y18" i="3"/>
  <c r="AD20" i="3"/>
  <c r="Z11" i="3"/>
  <c r="AC5" i="3"/>
  <c r="AB5" i="3"/>
  <c r="AC20" i="3"/>
  <c r="Z14" i="3"/>
  <c r="Z10" i="3"/>
  <c r="AC9" i="3"/>
  <c r="Z6" i="3"/>
  <c r="AB20" i="3"/>
  <c r="AE19" i="3"/>
  <c r="V16" i="3"/>
  <c r="Y14" i="3"/>
  <c r="AB13" i="3"/>
  <c r="AE12" i="3"/>
  <c r="V11" i="3"/>
  <c r="Y10" i="3"/>
  <c r="AB9" i="3"/>
  <c r="AE8" i="3"/>
  <c r="Y6" i="3"/>
  <c r="AA18" i="3"/>
  <c r="Z16" i="3"/>
  <c r="AC10" i="3"/>
  <c r="AC6" i="3"/>
  <c r="AA5" i="3"/>
  <c r="AA20" i="3"/>
  <c r="AD19" i="3"/>
  <c r="X14" i="3"/>
  <c r="AA13" i="3"/>
  <c r="AD12" i="3"/>
  <c r="X10" i="3"/>
  <c r="AE20" i="1"/>
  <c r="W19" i="1"/>
  <c r="AE6" i="1"/>
  <c r="Z6" i="1"/>
  <c r="X6" i="1"/>
  <c r="W11" i="1"/>
  <c r="W6" i="1"/>
  <c r="N5" i="3"/>
  <c r="AF5" i="3" s="1"/>
  <c r="AN6" i="1"/>
  <c r="N22" i="3"/>
  <c r="N23" i="3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AN21" i="1" s="1"/>
  <c r="N20" i="3" s="1"/>
  <c r="AF20" i="3" s="1"/>
  <c r="AM20" i="1"/>
  <c r="AL20" i="1"/>
  <c r="AK20" i="1"/>
  <c r="AJ20" i="1"/>
  <c r="AI20" i="1"/>
  <c r="AH20" i="1"/>
  <c r="AG20" i="1"/>
  <c r="AF20" i="1"/>
  <c r="AD20" i="1"/>
  <c r="AC20" i="1"/>
  <c r="AB20" i="1"/>
  <c r="AN20" i="1" s="1"/>
  <c r="N19" i="3" s="1"/>
  <c r="AF19" i="3" s="1"/>
  <c r="AA20" i="1"/>
  <c r="Z20" i="1"/>
  <c r="Y20" i="1"/>
  <c r="X20" i="1"/>
  <c r="W20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AN19" i="1"/>
  <c r="N18" i="3" s="1"/>
  <c r="AF18" i="3" s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AN17" i="1" s="1"/>
  <c r="N16" i="3" s="1"/>
  <c r="AF16" i="3" s="1"/>
  <c r="F28" i="3" s="1"/>
  <c r="Y17" i="1"/>
  <c r="X17" i="1"/>
  <c r="W17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AM6" i="1"/>
  <c r="AL6" i="1"/>
  <c r="AK6" i="1"/>
  <c r="AJ6" i="1"/>
  <c r="AI6" i="1"/>
  <c r="AH6" i="1"/>
  <c r="AG6" i="1"/>
  <c r="AF6" i="1"/>
  <c r="AD6" i="1"/>
  <c r="AC6" i="1"/>
  <c r="AB6" i="1"/>
  <c r="AA6" i="1"/>
  <c r="Y6" i="1"/>
  <c r="H28" i="3" l="1"/>
  <c r="F29" i="3"/>
  <c r="H27" i="3"/>
  <c r="H29" i="3"/>
  <c r="B28" i="3"/>
  <c r="B29" i="3"/>
  <c r="D28" i="3"/>
  <c r="D29" i="3"/>
  <c r="B27" i="3"/>
  <c r="D27" i="3"/>
  <c r="W7" i="1"/>
  <c r="AN7" i="1" s="1"/>
  <c r="N6" i="3" s="1"/>
  <c r="AF6" i="3" s="1"/>
  <c r="W8" i="1"/>
  <c r="AN8" i="1" s="1"/>
  <c r="N7" i="3" s="1"/>
  <c r="AF7" i="3" s="1"/>
  <c r="W9" i="1"/>
  <c r="AN9" i="1" s="1"/>
  <c r="N8" i="3" s="1"/>
  <c r="AF8" i="3" s="1"/>
  <c r="W10" i="1"/>
  <c r="AN10" i="1" s="1"/>
  <c r="N9" i="3" s="1"/>
  <c r="AF9" i="3" s="1"/>
  <c r="AN11" i="1"/>
  <c r="N10" i="3" s="1"/>
  <c r="AF10" i="3" s="1"/>
  <c r="W12" i="1"/>
  <c r="AN12" i="1" s="1"/>
  <c r="N11" i="3" s="1"/>
  <c r="AF11" i="3" s="1"/>
  <c r="W13" i="1"/>
  <c r="AN13" i="1" s="1"/>
  <c r="N12" i="3" s="1"/>
  <c r="AF12" i="3" s="1"/>
  <c r="W14" i="1"/>
  <c r="AN14" i="1" s="1"/>
  <c r="N13" i="3" s="1"/>
  <c r="AF13" i="3" s="1"/>
  <c r="W15" i="1"/>
  <c r="AN15" i="1" s="1"/>
  <c r="N14" i="3" s="1"/>
  <c r="AF14" i="3" s="1"/>
  <c r="F27" i="3" l="1"/>
  <c r="E27" i="3" a="1"/>
  <c r="E27" i="3" s="1"/>
  <c r="E30" i="3" s="1"/>
  <c r="I27" i="3" a="1"/>
  <c r="C27" i="3" a="1"/>
  <c r="E35" i="3" l="1"/>
  <c r="E34" i="3"/>
  <c r="I27" i="3"/>
  <c r="G27" i="3" a="1"/>
  <c r="D33" i="3"/>
  <c r="D34" i="3"/>
  <c r="E33" i="3"/>
  <c r="D35" i="3"/>
  <c r="C27" i="3"/>
  <c r="C35" i="3" l="1"/>
  <c r="C30" i="3"/>
  <c r="I34" i="3"/>
  <c r="I30" i="3"/>
  <c r="G27" i="3"/>
  <c r="I35" i="3"/>
  <c r="H35" i="3"/>
  <c r="H34" i="3"/>
  <c r="H33" i="3"/>
  <c r="I33" i="3"/>
  <c r="C34" i="3"/>
  <c r="C33" i="3"/>
  <c r="B33" i="3"/>
  <c r="B35" i="3"/>
  <c r="B34" i="3"/>
  <c r="G34" i="3" l="1"/>
  <c r="G30" i="3"/>
  <c r="G35" i="3"/>
  <c r="F35" i="3"/>
  <c r="G33" i="3"/>
  <c r="F33" i="3"/>
  <c r="F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<sst xmlns="http://schemas.openxmlformats.org/spreadsheetml/2006/main" count="310" uniqueCount="101">
  <si>
    <t>INVENTAIRE DES GAZ À EFFET DE SERRE POUR LE SCÉNARIO "DATA CENTER ALBERTA"</t>
  </si>
  <si>
    <t>Substance émise</t>
  </si>
  <si>
    <t>CH4</t>
  </si>
  <si>
    <t>CO2</t>
  </si>
  <si>
    <t>N2O</t>
  </si>
  <si>
    <t>SF6</t>
  </si>
  <si>
    <t>CO</t>
  </si>
  <si>
    <t>CFC-14</t>
  </si>
  <si>
    <t>HFC-116</t>
  </si>
  <si>
    <t>CFC-12</t>
  </si>
  <si>
    <t>CFC-114</t>
  </si>
  <si>
    <t>HCFC-22</t>
  </si>
  <si>
    <t>HFC-23</t>
  </si>
  <si>
    <t>CFC-10</t>
  </si>
  <si>
    <t>CFC-113</t>
  </si>
  <si>
    <t>Halon 1301</t>
  </si>
  <si>
    <t>HFC-134a</t>
  </si>
  <si>
    <t>HFC-152a</t>
  </si>
  <si>
    <t>Halon 1211</t>
  </si>
  <si>
    <t>Total C02</t>
  </si>
  <si>
    <t>Alberta</t>
  </si>
  <si>
    <t>Unités</t>
  </si>
  <si>
    <t>kg</t>
  </si>
  <si>
    <t>g</t>
  </si>
  <si>
    <t>mg</t>
  </si>
  <si>
    <t>µg</t>
  </si>
  <si>
    <t>kg eq co2</t>
  </si>
  <si>
    <t>Production</t>
  </si>
  <si>
    <t>Unité de refroidissement</t>
  </si>
  <si>
    <t>Structure d'aération</t>
  </si>
  <si>
    <t>Utilisation</t>
  </si>
  <si>
    <t>Pompe</t>
  </si>
  <si>
    <t>Fin de vie</t>
  </si>
  <si>
    <t>Infrastructure</t>
  </si>
  <si>
    <t>Réfrigérant</t>
  </si>
  <si>
    <t>Transport production</t>
  </si>
  <si>
    <t>Métaux</t>
  </si>
  <si>
    <t>Serveurs</t>
  </si>
  <si>
    <t>Plastiques</t>
  </si>
  <si>
    <t>Cuivre</t>
  </si>
  <si>
    <t>Circuits imprimés</t>
  </si>
  <si>
    <t>Batiments</t>
  </si>
  <si>
    <t>Électricité</t>
  </si>
  <si>
    <t>Enfouissement plastiques</t>
  </si>
  <si>
    <t>Enfouissement métaux</t>
  </si>
  <si>
    <t>Transport FdV</t>
  </si>
  <si>
    <t>Valeur Fois</t>
  </si>
  <si>
    <t>Conversion</t>
  </si>
  <si>
    <t>Facteur de caractérisation (500 ans)</t>
  </si>
  <si>
    <t>C02</t>
  </si>
  <si>
    <t>N20</t>
  </si>
  <si>
    <t>HFC-22</t>
  </si>
  <si>
    <t>FIn de vie</t>
  </si>
  <si>
    <r>
      <t xml:space="preserve">SCORE D'IMPACT EN FONCTION </t>
    </r>
    <r>
      <rPr>
        <b/>
        <sz val="11"/>
        <color theme="1"/>
        <rFont val="Calibri"/>
        <family val="2"/>
        <scheme val="minor"/>
      </rPr>
      <t>DU DATA CENTER</t>
    </r>
  </si>
  <si>
    <t>Toxicité humaine cancérigène</t>
  </si>
  <si>
    <t>Toxicité humaine non-cancérigène</t>
  </si>
  <si>
    <t>Respiratoire inorganique</t>
  </si>
  <si>
    <t>Radiation ionisante</t>
  </si>
  <si>
    <t>Destruction de la couche d'ozone</t>
  </si>
  <si>
    <t>Respiratoire organique</t>
  </si>
  <si>
    <t>Ecotoxicité aquatique</t>
  </si>
  <si>
    <t>Ecotoxicité terrestre</t>
  </si>
  <si>
    <t>Occupation des terres</t>
  </si>
  <si>
    <t>Acidification terrestre</t>
  </si>
  <si>
    <t>Acidification aquatique</t>
  </si>
  <si>
    <t>Eutrophisation aquatique</t>
  </si>
  <si>
    <t>Réchauffement climatique</t>
  </si>
  <si>
    <t>Energie non renouvelable</t>
  </si>
  <si>
    <t>Extraction minière</t>
  </si>
  <si>
    <t>kg-eq chloroéthylène</t>
  </si>
  <si>
    <t>kg-eq PM-2,5</t>
  </si>
  <si>
    <t>bq-eq C14</t>
  </si>
  <si>
    <t>kg-eq CFC11</t>
  </si>
  <si>
    <t>kg-eq éthylène</t>
  </si>
  <si>
    <t>kg-eq triéthylène glycol</t>
  </si>
  <si>
    <t>kg-eq triéthylène</t>
  </si>
  <si>
    <t>m².an</t>
  </si>
  <si>
    <t>kg-eq SO2</t>
  </si>
  <si>
    <t>kg-eq S02</t>
  </si>
  <si>
    <t>kg-eq PO4</t>
  </si>
  <si>
    <t>kg-eq CO2</t>
  </si>
  <si>
    <t>MJ primaires</t>
  </si>
  <si>
    <t>MJ additionnels</t>
  </si>
  <si>
    <t>DALLY</t>
  </si>
  <si>
    <t>PDF</t>
  </si>
  <si>
    <t>MJ</t>
  </si>
  <si>
    <t>Enfouissement plastique</t>
  </si>
  <si>
    <t>Enfouissement aluminium</t>
  </si>
  <si>
    <t>Facteur</t>
  </si>
  <si>
    <t>Durée de vie</t>
  </si>
  <si>
    <t>Impact 2002+</t>
  </si>
  <si>
    <t>Facteur de dommage</t>
  </si>
  <si>
    <t>Facteur Européens</t>
  </si>
  <si>
    <t>Santé Humaine</t>
  </si>
  <si>
    <t>Qualité des écosystèmes</t>
  </si>
  <si>
    <t>Changements climatiques</t>
  </si>
  <si>
    <t>Ressources</t>
  </si>
  <si>
    <t>UF</t>
  </si>
  <si>
    <t>AB</t>
  </si>
  <si>
    <t>QC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</si>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</sst>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00E+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11"/>
      <color theme="1"/>
      <name val="Cambria"/>
      <family val="1"/>
    </font>
    <font>
      <b/>
      <sz val="8"/>
      <color rgb="FF000000"/>
      <name val="Calibri"/>
      <family val="2"/>
    </font>
    <font>
      <i/>
      <sz val="8"/>
      <color rgb="FF000000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theme="5"/>
        <bgColor indexed="64"/>
      </patternFill>
    </fill>
  </fills>
  <borders count="4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136">
    <xf numFmtId="0" fontId="0" fillId="0" borderId="0" xfId="0"/>
    <xf numFmtId="0" fontId="2" fillId="0" borderId="1" xfId="0" applyFont="1" applyBorder="1"/>
    <xf numFmtId="0" fontId="6" fillId="0" borderId="0" xfId="0" applyFont="1"/>
    <xf numFmtId="11" fontId="6" fillId="0" borderId="9" xfId="0" applyNumberFormat="1" applyFont="1" applyBorder="1" applyAlignment="1">
      <alignment horizontal="right"/>
    </xf>
    <xf numFmtId="0" fontId="3" fillId="0" borderId="14" xfId="0" applyFont="1" applyBorder="1"/>
    <xf numFmtId="11" fontId="0" fillId="0" borderId="0" xfId="0" applyNumberFormat="1"/>
    <xf numFmtId="11" fontId="6" fillId="0" borderId="16" xfId="0" applyNumberFormat="1" applyFont="1" applyBorder="1" applyAlignment="1">
      <alignment horizontal="right" vertical="center"/>
    </xf>
    <xf numFmtId="11" fontId="6" fillId="0" borderId="0" xfId="0" applyNumberFormat="1" applyFont="1" applyAlignment="1">
      <alignment horizontal="right"/>
    </xf>
    <xf numFmtId="11" fontId="6" fillId="0" borderId="17" xfId="0" applyNumberFormat="1" applyFont="1" applyBorder="1" applyAlignment="1">
      <alignment horizontal="right"/>
    </xf>
    <xf numFmtId="11" fontId="6" fillId="0" borderId="12" xfId="0" applyNumberFormat="1" applyFont="1" applyBorder="1" applyAlignment="1">
      <alignment horizontal="right"/>
    </xf>
    <xf numFmtId="0" fontId="5" fillId="0" borderId="6" xfId="0" applyFont="1" applyBorder="1" applyAlignment="1">
      <alignment horizontal="center"/>
    </xf>
    <xf numFmtId="164" fontId="6" fillId="0" borderId="0" xfId="0" applyNumberFormat="1" applyFont="1"/>
    <xf numFmtId="11" fontId="6" fillId="0" borderId="15" xfId="0" applyNumberFormat="1" applyFont="1" applyBorder="1" applyAlignment="1">
      <alignment horizontal="right"/>
    </xf>
    <xf numFmtId="11" fontId="6" fillId="0" borderId="7" xfId="0" applyNumberFormat="1" applyFont="1" applyBorder="1" applyAlignment="1">
      <alignment horizontal="right"/>
    </xf>
    <xf numFmtId="11" fontId="6" fillId="0" borderId="16" xfId="0" applyNumberFormat="1" applyFont="1" applyBorder="1" applyAlignment="1">
      <alignment horizontal="right"/>
    </xf>
    <xf numFmtId="11" fontId="6" fillId="0" borderId="8" xfId="0" applyNumberFormat="1" applyFont="1" applyBorder="1" applyAlignment="1">
      <alignment horizontal="right"/>
    </xf>
    <xf numFmtId="11" fontId="6" fillId="0" borderId="5" xfId="0" applyNumberFormat="1" applyFont="1" applyBorder="1" applyAlignment="1">
      <alignment horizontal="right"/>
    </xf>
    <xf numFmtId="0" fontId="8" fillId="0" borderId="18" xfId="0" applyFont="1" applyBorder="1" applyAlignment="1">
      <alignment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8" fillId="0" borderId="4" xfId="0" applyFont="1" applyBorder="1" applyAlignment="1">
      <alignment wrapText="1"/>
    </xf>
    <xf numFmtId="164" fontId="0" fillId="0" borderId="0" xfId="0" applyNumberFormat="1"/>
    <xf numFmtId="0" fontId="10" fillId="0" borderId="8" xfId="0" applyFont="1" applyBorder="1" applyAlignment="1">
      <alignment horizontal="center" wrapText="1"/>
    </xf>
    <xf numFmtId="0" fontId="10" fillId="0" borderId="18" xfId="0" applyFont="1" applyBorder="1" applyAlignment="1">
      <alignment horizontal="center" wrapText="1"/>
    </xf>
    <xf numFmtId="11" fontId="6" fillId="0" borderId="0" xfId="0" applyNumberFormat="1" applyFont="1" applyAlignment="1">
      <alignment horizontal="right" vertical="center"/>
    </xf>
    <xf numFmtId="11" fontId="6" fillId="0" borderId="0" xfId="0" applyNumberFormat="1" applyFont="1"/>
    <xf numFmtId="164" fontId="6" fillId="0" borderId="0" xfId="0" applyNumberFormat="1" applyFont="1" applyAlignment="1">
      <alignment horizontal="center"/>
    </xf>
    <xf numFmtId="11" fontId="0" fillId="0" borderId="15" xfId="0" applyNumberFormat="1" applyBorder="1"/>
    <xf numFmtId="11" fontId="0" fillId="0" borderId="9" xfId="0" applyNumberFormat="1" applyBorder="1"/>
    <xf numFmtId="11" fontId="0" fillId="0" borderId="7" xfId="0" applyNumberFormat="1" applyBorder="1"/>
    <xf numFmtId="11" fontId="0" fillId="0" borderId="16" xfId="0" applyNumberFormat="1" applyBorder="1"/>
    <xf numFmtId="11" fontId="0" fillId="0" borderId="8" xfId="0" applyNumberFormat="1" applyBorder="1"/>
    <xf numFmtId="11" fontId="0" fillId="0" borderId="17" xfId="0" applyNumberFormat="1" applyBorder="1"/>
    <xf numFmtId="11" fontId="0" fillId="0" borderId="12" xfId="0" applyNumberFormat="1" applyBorder="1"/>
    <xf numFmtId="11" fontId="0" fillId="0" borderId="5" xfId="0" applyNumberFormat="1" applyBorder="1"/>
    <xf numFmtId="9" fontId="0" fillId="0" borderId="0" xfId="1" applyFont="1"/>
    <xf numFmtId="11" fontId="7" fillId="0" borderId="10" xfId="0" applyNumberFormat="1" applyFont="1" applyBorder="1" applyAlignment="1">
      <alignment horizontal="center"/>
    </xf>
    <xf numFmtId="0" fontId="14" fillId="0" borderId="0" xfId="0" applyFont="1"/>
    <xf numFmtId="165" fontId="0" fillId="0" borderId="0" xfId="0" applyNumberFormat="1"/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13" fillId="0" borderId="0" xfId="0" applyFont="1"/>
    <xf numFmtId="0" fontId="5" fillId="2" borderId="19" xfId="0" applyFont="1" applyFill="1" applyBorder="1" applyAlignment="1">
      <alignment vertical="center"/>
    </xf>
    <xf numFmtId="0" fontId="5" fillId="2" borderId="20" xfId="0" applyFont="1" applyFill="1" applyBorder="1" applyAlignment="1">
      <alignment vertical="center"/>
    </xf>
    <xf numFmtId="0" fontId="5" fillId="2" borderId="21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11" fillId="0" borderId="0" xfId="0" applyFont="1"/>
    <xf numFmtId="0" fontId="5" fillId="2" borderId="16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11" fontId="6" fillId="0" borderId="19" xfId="0" applyNumberFormat="1" applyFont="1" applyBorder="1" applyAlignment="1">
      <alignment horizontal="right"/>
    </xf>
    <xf numFmtId="11" fontId="6" fillId="0" borderId="20" xfId="0" applyNumberFormat="1" applyFont="1" applyBorder="1" applyAlignment="1">
      <alignment horizontal="right"/>
    </xf>
    <xf numFmtId="0" fontId="5" fillId="0" borderId="19" xfId="0" applyFont="1" applyBorder="1" applyAlignment="1">
      <alignment horizontal="center"/>
    </xf>
    <xf numFmtId="11" fontId="7" fillId="0" borderId="15" xfId="0" applyNumberFormat="1" applyFont="1" applyBorder="1" applyAlignment="1">
      <alignment horizontal="center"/>
    </xf>
    <xf numFmtId="0" fontId="5" fillId="0" borderId="22" xfId="0" applyFont="1" applyBorder="1"/>
    <xf numFmtId="0" fontId="5" fillId="0" borderId="23" xfId="0" applyFont="1" applyBorder="1"/>
    <xf numFmtId="0" fontId="0" fillId="4" borderId="24" xfId="0" applyFill="1" applyBorder="1"/>
    <xf numFmtId="0" fontId="0" fillId="3" borderId="25" xfId="0" applyFill="1" applyBorder="1"/>
    <xf numFmtId="0" fontId="0" fillId="4" borderId="26" xfId="0" applyFill="1" applyBorder="1"/>
    <xf numFmtId="0" fontId="0" fillId="3" borderId="27" xfId="0" applyFill="1" applyBorder="1"/>
    <xf numFmtId="0" fontId="15" fillId="0" borderId="0" xfId="0" applyFont="1"/>
    <xf numFmtId="0" fontId="15" fillId="2" borderId="15" xfId="0" applyFont="1" applyFill="1" applyBorder="1"/>
    <xf numFmtId="11" fontId="17" fillId="0" borderId="28" xfId="0" applyNumberFormat="1" applyFont="1" applyBorder="1" applyAlignment="1">
      <alignment vertical="center" wrapText="1"/>
    </xf>
    <xf numFmtId="11" fontId="17" fillId="0" borderId="9" xfId="0" applyNumberFormat="1" applyFont="1" applyBorder="1" applyAlignment="1">
      <alignment vertical="center" wrapText="1"/>
    </xf>
    <xf numFmtId="11" fontId="17" fillId="0" borderId="7" xfId="0" applyNumberFormat="1" applyFont="1" applyBorder="1" applyAlignment="1">
      <alignment vertical="center" wrapText="1"/>
    </xf>
    <xf numFmtId="0" fontId="15" fillId="2" borderId="16" xfId="0" applyFont="1" applyFill="1" applyBorder="1"/>
    <xf numFmtId="11" fontId="17" fillId="0" borderId="29" xfId="0" applyNumberFormat="1" applyFont="1" applyBorder="1" applyAlignment="1">
      <alignment vertical="center" wrapText="1"/>
    </xf>
    <xf numFmtId="11" fontId="17" fillId="0" borderId="0" xfId="0" applyNumberFormat="1" applyFont="1" applyAlignment="1">
      <alignment vertical="center" wrapText="1"/>
    </xf>
    <xf numFmtId="11" fontId="17" fillId="0" borderId="8" xfId="0" applyNumberFormat="1" applyFont="1" applyBorder="1" applyAlignment="1">
      <alignment vertical="center" wrapText="1"/>
    </xf>
    <xf numFmtId="0" fontId="15" fillId="2" borderId="17" xfId="0" applyFont="1" applyFill="1" applyBorder="1"/>
    <xf numFmtId="11" fontId="17" fillId="0" borderId="30" xfId="0" applyNumberFormat="1" applyFont="1" applyBorder="1" applyAlignment="1">
      <alignment vertical="center" wrapText="1"/>
    </xf>
    <xf numFmtId="11" fontId="17" fillId="0" borderId="12" xfId="0" applyNumberFormat="1" applyFont="1" applyBorder="1" applyAlignment="1">
      <alignment vertical="center" wrapText="1"/>
    </xf>
    <xf numFmtId="11" fontId="17" fillId="0" borderId="5" xfId="0" applyNumberFormat="1" applyFont="1" applyBorder="1" applyAlignment="1">
      <alignment vertical="center" wrapText="1"/>
    </xf>
    <xf numFmtId="10" fontId="17" fillId="0" borderId="15" xfId="0" applyNumberFormat="1" applyFont="1" applyBorder="1" applyAlignment="1">
      <alignment vertical="center" wrapText="1"/>
    </xf>
    <xf numFmtId="10" fontId="17" fillId="0" borderId="16" xfId="0" applyNumberFormat="1" applyFont="1" applyBorder="1" applyAlignment="1">
      <alignment vertical="center" wrapText="1"/>
    </xf>
    <xf numFmtId="10" fontId="17" fillId="0" borderId="17" xfId="0" applyNumberFormat="1" applyFont="1" applyBorder="1" applyAlignment="1">
      <alignment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0" fontId="17" fillId="0" borderId="10" xfId="0" applyNumberFormat="1" applyFont="1" applyBorder="1" applyAlignment="1">
      <alignment vertical="center" wrapText="1"/>
    </xf>
    <xf numFmtId="10" fontId="17" fillId="0" borderId="11" xfId="0" applyNumberFormat="1" applyFont="1" applyBorder="1" applyAlignment="1">
      <alignment vertical="center" wrapText="1"/>
    </xf>
    <xf numFmtId="10" fontId="17" fillId="0" borderId="13" xfId="0" applyNumberFormat="1" applyFont="1" applyBorder="1" applyAlignment="1">
      <alignment vertical="center" wrapText="1"/>
    </xf>
    <xf numFmtId="10" fontId="0" fillId="0" borderId="0" xfId="0" applyNumberFormat="1"/>
    <xf numFmtId="11" fontId="0" fillId="3" borderId="0" xfId="0" applyNumberFormat="1" applyFill="1"/>
    <xf numFmtId="11" fontId="0" fillId="3" borderId="9" xfId="0" applyNumberFormat="1" applyFill="1" applyBorder="1"/>
    <xf numFmtId="11" fontId="17" fillId="5" borderId="6" xfId="0" applyNumberFormat="1" applyFont="1" applyFill="1" applyBorder="1" applyAlignment="1">
      <alignment horizontal="right" vertical="center"/>
    </xf>
    <xf numFmtId="164" fontId="17" fillId="5" borderId="20" xfId="0" applyNumberFormat="1" applyFont="1" applyFill="1" applyBorder="1"/>
    <xf numFmtId="11" fontId="17" fillId="5" borderId="20" xfId="0" applyNumberFormat="1" applyFont="1" applyFill="1" applyBorder="1" applyAlignment="1">
      <alignment horizontal="right"/>
    </xf>
    <xf numFmtId="11" fontId="17" fillId="5" borderId="21" xfId="0" applyNumberFormat="1" applyFont="1" applyFill="1" applyBorder="1" applyAlignment="1">
      <alignment horizontal="right"/>
    </xf>
    <xf numFmtId="0" fontId="15" fillId="0" borderId="13" xfId="0" applyFont="1" applyBorder="1" applyAlignment="1">
      <alignment horizontal="center" vertical="center"/>
    </xf>
    <xf numFmtId="164" fontId="17" fillId="0" borderId="12" xfId="0" applyNumberFormat="1" applyFont="1" applyBorder="1"/>
    <xf numFmtId="11" fontId="17" fillId="0" borderId="12" xfId="0" applyNumberFormat="1" applyFont="1" applyBorder="1" applyAlignment="1">
      <alignment horizontal="right"/>
    </xf>
    <xf numFmtId="11" fontId="17" fillId="0" borderId="5" xfId="0" applyNumberFormat="1" applyFont="1" applyBorder="1" applyAlignment="1">
      <alignment horizontal="right"/>
    </xf>
    <xf numFmtId="0" fontId="15" fillId="0" borderId="13" xfId="0" applyFont="1" applyBorder="1" applyAlignment="1">
      <alignment horizontal="center" vertical="center" wrapText="1"/>
    </xf>
    <xf numFmtId="0" fontId="15" fillId="0" borderId="17" xfId="0" applyFont="1" applyBorder="1"/>
    <xf numFmtId="0" fontId="15" fillId="0" borderId="12" xfId="0" applyFont="1" applyBorder="1"/>
    <xf numFmtId="0" fontId="15" fillId="0" borderId="5" xfId="0" applyFont="1" applyBorder="1"/>
    <xf numFmtId="11" fontId="0" fillId="4" borderId="31" xfId="0" applyNumberFormat="1" applyFill="1" applyBorder="1"/>
    <xf numFmtId="11" fontId="0" fillId="3" borderId="32" xfId="0" applyNumberFormat="1" applyFill="1" applyBorder="1"/>
    <xf numFmtId="11" fontId="15" fillId="3" borderId="0" xfId="0" applyNumberFormat="1" applyFont="1" applyFill="1"/>
    <xf numFmtId="11" fontId="15" fillId="3" borderId="12" xfId="0" applyNumberFormat="1" applyFont="1" applyFill="1" applyBorder="1"/>
    <xf numFmtId="0" fontId="5" fillId="2" borderId="33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11" fontId="0" fillId="0" borderId="11" xfId="0" applyNumberFormat="1" applyBorder="1"/>
    <xf numFmtId="11" fontId="0" fillId="0" borderId="13" xfId="0" applyNumberFormat="1" applyBorder="1"/>
    <xf numFmtId="0" fontId="0" fillId="0" borderId="20" xfId="0" applyBorder="1"/>
    <xf numFmtId="0" fontId="0" fillId="0" borderId="21" xfId="0" applyBorder="1"/>
    <xf numFmtId="0" fontId="0" fillId="0" borderId="6" xfId="0" applyBorder="1" applyAlignment="1">
      <alignment horizontal="right"/>
    </xf>
    <xf numFmtId="11" fontId="0" fillId="0" borderId="20" xfId="0" applyNumberFormat="1" applyBorder="1"/>
    <xf numFmtId="0" fontId="2" fillId="0" borderId="34" xfId="0" applyFont="1" applyBorder="1" applyAlignment="1">
      <alignment horizontal="right"/>
    </xf>
    <xf numFmtId="0" fontId="5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right"/>
    </xf>
    <xf numFmtId="11" fontId="0" fillId="0" borderId="10" xfId="0" applyNumberFormat="1" applyBorder="1"/>
    <xf numFmtId="11" fontId="0" fillId="0" borderId="6" xfId="0" applyNumberFormat="1" applyBorder="1"/>
    <xf numFmtId="0" fontId="5" fillId="0" borderId="20" xfId="0" applyFont="1" applyBorder="1" applyAlignment="1">
      <alignment horizontal="center"/>
    </xf>
    <xf numFmtId="11" fontId="7" fillId="0" borderId="9" xfId="0" applyNumberFormat="1" applyFont="1" applyBorder="1" applyAlignment="1">
      <alignment horizontal="center"/>
    </xf>
    <xf numFmtId="11" fontId="6" fillId="0" borderId="35" xfId="0" applyNumberFormat="1" applyFont="1" applyBorder="1" applyAlignment="1">
      <alignment vertical="center"/>
    </xf>
    <xf numFmtId="11" fontId="6" fillId="0" borderId="38" xfId="0" applyNumberFormat="1" applyFont="1" applyBorder="1" applyAlignment="1">
      <alignment vertical="center"/>
    </xf>
    <xf numFmtId="11" fontId="6" fillId="0" borderId="41" xfId="0" applyNumberFormat="1" applyFont="1" applyBorder="1" applyAlignment="1">
      <alignment vertical="center"/>
    </xf>
    <xf numFmtId="11" fontId="6" fillId="0" borderId="36" xfId="0" applyNumberFormat="1" applyFont="1" applyBorder="1"/>
    <xf numFmtId="11" fontId="6" fillId="0" borderId="39" xfId="0" applyNumberFormat="1" applyFont="1" applyBorder="1"/>
    <xf numFmtId="11" fontId="6" fillId="0" borderId="42" xfId="0" applyNumberFormat="1" applyFont="1" applyBorder="1"/>
    <xf numFmtId="11" fontId="6" fillId="0" borderId="37" xfId="0" applyNumberFormat="1" applyFont="1" applyBorder="1"/>
    <xf numFmtId="11" fontId="6" fillId="0" borderId="40" xfId="0" applyNumberFormat="1" applyFont="1" applyBorder="1"/>
    <xf numFmtId="11" fontId="6" fillId="0" borderId="43" xfId="0" applyNumberFormat="1" applyFont="1" applyBorder="1"/>
    <xf numFmtId="0" fontId="4" fillId="2" borderId="0" xfId="0" applyFont="1" applyFill="1" applyAlignment="1">
      <alignment horizontal="center" vertical="center" textRotation="180" wrapText="1"/>
    </xf>
    <xf numFmtId="11" fontId="4" fillId="2" borderId="0" xfId="0" applyNumberFormat="1" applyFont="1" applyFill="1" applyAlignment="1">
      <alignment horizontal="center" vertical="center" textRotation="180"/>
    </xf>
    <xf numFmtId="0" fontId="0" fillId="6" borderId="19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16" fillId="0" borderId="15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800" b="0" i="0" baseline="0">
                <a:effectLst/>
              </a:rPr>
              <a:t>Graphique de pollution de gaz à effet de serre pour l'Alberta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'Annexe 1'!$V$30</c:f>
              <c:strCache>
                <c:ptCount val="1"/>
                <c:pt idx="0">
                  <c:v>Production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'Annexe 1'!$W$29:$AM$29</c:f>
              <c:strCache>
                <c:ptCount val="17"/>
                <c:pt idx="0">
                  <c:v>CH4</c:v>
                </c:pt>
                <c:pt idx="1">
                  <c:v>C02</c:v>
                </c:pt>
                <c:pt idx="2">
                  <c:v>N20</c:v>
                </c:pt>
                <c:pt idx="3">
                  <c:v>SF6</c:v>
                </c:pt>
                <c:pt idx="4">
                  <c:v>CO</c:v>
                </c:pt>
                <c:pt idx="5">
                  <c:v>CFC-14</c:v>
                </c:pt>
                <c:pt idx="6">
                  <c:v>HFC-116</c:v>
                </c:pt>
                <c:pt idx="7">
                  <c:v>CFC-12</c:v>
                </c:pt>
                <c:pt idx="8">
                  <c:v>CFC-114</c:v>
                </c:pt>
                <c:pt idx="9">
                  <c:v>HFC-22</c:v>
                </c:pt>
                <c:pt idx="10">
                  <c:v>HFC-23</c:v>
                </c:pt>
                <c:pt idx="11">
                  <c:v>CFC-10</c:v>
                </c:pt>
                <c:pt idx="12">
                  <c:v>CFC-113</c:v>
                </c:pt>
                <c:pt idx="13">
                  <c:v>Halon 1301</c:v>
                </c:pt>
                <c:pt idx="14">
                  <c:v>HFC-134a</c:v>
                </c:pt>
                <c:pt idx="15">
                  <c:v>HFC-152a</c:v>
                </c:pt>
                <c:pt idx="16">
                  <c:v>Halon 1211</c:v>
                </c:pt>
              </c:strCache>
            </c:strRef>
          </c:cat>
          <c:val>
            <c:numRef>
              <c:f>'Annexe 1'!$W$30:$AM$30</c:f>
              <c:numCache>
                <c:formatCode>0.00E+00</c:formatCode>
                <c:ptCount val="17"/>
                <c:pt idx="0">
                  <c:v>7077575.6402558042</c:v>
                </c:pt>
                <c:pt idx="1">
                  <c:v>185086.37110767001</c:v>
                </c:pt>
                <c:pt idx="2">
                  <c:v>962.47593607499994</c:v>
                </c:pt>
                <c:pt idx="3">
                  <c:v>390.67209705509998</c:v>
                </c:pt>
                <c:pt idx="4">
                  <c:v>1066.3032607199998</c:v>
                </c:pt>
                <c:pt idx="5">
                  <c:v>693.18262678975498</c:v>
                </c:pt>
                <c:pt idx="6">
                  <c:v>116.4431840199135</c:v>
                </c:pt>
                <c:pt idx="7">
                  <c:v>297.11701013211149</c:v>
                </c:pt>
                <c:pt idx="8">
                  <c:v>6.4041760598140671</c:v>
                </c:pt>
                <c:pt idx="9">
                  <c:v>167.07491164805359</c:v>
                </c:pt>
                <c:pt idx="10">
                  <c:v>191.62314586544571</c:v>
                </c:pt>
                <c:pt idx="11">
                  <c:v>5.4202485400186653</c:v>
                </c:pt>
                <c:pt idx="12">
                  <c:v>6684.8779481748297</c:v>
                </c:pt>
                <c:pt idx="13">
                  <c:v>0.94954319616651706</c:v>
                </c:pt>
                <c:pt idx="14">
                  <c:v>1890.2987868778371</c:v>
                </c:pt>
                <c:pt idx="15">
                  <c:v>1.5556994750747464</c:v>
                </c:pt>
                <c:pt idx="16">
                  <c:v>5.1893138901440275E-2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E1-0C4E-B13A-47D47A875E84}"/>
            </c:ext>
          </c:extLst>
        </c:ser>
        <c:ser>
          <c:idx val="1"/>
          <c:order val="1"/>
          <c:tx>
            <c:strRef>
              <c:f>'Annexe 1'!$V$31</c:f>
              <c:strCache>
                <c:ptCount val="1"/>
                <c:pt idx="0">
                  <c:v>Utilisation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'Annexe 1'!$W$29:$AM$29</c:f>
              <c:strCache>
                <c:ptCount val="17"/>
                <c:pt idx="0">
                  <c:v>CH4</c:v>
                </c:pt>
                <c:pt idx="1">
                  <c:v>C02</c:v>
                </c:pt>
                <c:pt idx="2">
                  <c:v>N20</c:v>
                </c:pt>
                <c:pt idx="3">
                  <c:v>SF6</c:v>
                </c:pt>
                <c:pt idx="4">
                  <c:v>CO</c:v>
                </c:pt>
                <c:pt idx="5">
                  <c:v>CFC-14</c:v>
                </c:pt>
                <c:pt idx="6">
                  <c:v>HFC-116</c:v>
                </c:pt>
                <c:pt idx="7">
                  <c:v>CFC-12</c:v>
                </c:pt>
                <c:pt idx="8">
                  <c:v>CFC-114</c:v>
                </c:pt>
                <c:pt idx="9">
                  <c:v>HFC-22</c:v>
                </c:pt>
                <c:pt idx="10">
                  <c:v>HFC-23</c:v>
                </c:pt>
                <c:pt idx="11">
                  <c:v>CFC-10</c:v>
                </c:pt>
                <c:pt idx="12">
                  <c:v>CFC-113</c:v>
                </c:pt>
                <c:pt idx="13">
                  <c:v>Halon 1301</c:v>
                </c:pt>
                <c:pt idx="14">
                  <c:v>HFC-134a</c:v>
                </c:pt>
                <c:pt idx="15">
                  <c:v>HFC-152a</c:v>
                </c:pt>
                <c:pt idx="16">
                  <c:v>Halon 1211</c:v>
                </c:pt>
              </c:strCache>
            </c:strRef>
          </c:cat>
          <c:val>
            <c:numRef>
              <c:f>'Annexe 1'!$W$31:$AM$31</c:f>
              <c:numCache>
                <c:formatCode>0.00E+00</c:formatCode>
                <c:ptCount val="17"/>
                <c:pt idx="0">
                  <c:v>284769286.27120912</c:v>
                </c:pt>
                <c:pt idx="1">
                  <c:v>50520707.561807998</c:v>
                </c:pt>
                <c:pt idx="2">
                  <c:v>185940.98160000003</c:v>
                </c:pt>
                <c:pt idx="3">
                  <c:v>263475.73559999996</c:v>
                </c:pt>
                <c:pt idx="4">
                  <c:v>36335.196479999999</c:v>
                </c:pt>
                <c:pt idx="5">
                  <c:v>2548.7569800000001</c:v>
                </c:pt>
                <c:pt idx="6">
                  <c:v>377.81990399999989</c:v>
                </c:pt>
                <c:pt idx="7">
                  <c:v>132.31520280000001</c:v>
                </c:pt>
                <c:pt idx="8">
                  <c:v>167.47650479999999</c:v>
                </c:pt>
                <c:pt idx="9">
                  <c:v>217.25398199999998</c:v>
                </c:pt>
                <c:pt idx="10">
                  <c:v>30.908404560000005</c:v>
                </c:pt>
                <c:pt idx="11">
                  <c:v>2.5321721039999998</c:v>
                </c:pt>
                <c:pt idx="12">
                  <c:v>352.99202400000007</c:v>
                </c:pt>
                <c:pt idx="13">
                  <c:v>233.38161000000002</c:v>
                </c:pt>
                <c:pt idx="14">
                  <c:v>103.27118736</c:v>
                </c:pt>
                <c:pt idx="15">
                  <c:v>1.5172864079999999</c:v>
                </c:pt>
                <c:pt idx="16">
                  <c:v>37.671951239999999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E1-0C4E-B13A-47D47A875E84}"/>
            </c:ext>
          </c:extLst>
        </c:ser>
        <c:ser>
          <c:idx val="2"/>
          <c:order val="2"/>
          <c:tx>
            <c:strRef>
              <c:f>'Annexe 1'!$V$32</c:f>
              <c:strCache>
                <c:ptCount val="1"/>
                <c:pt idx="0">
                  <c:v>FIn de vie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'Annexe 1'!$W$29:$AM$29</c:f>
              <c:strCache>
                <c:ptCount val="17"/>
                <c:pt idx="0">
                  <c:v>CH4</c:v>
                </c:pt>
                <c:pt idx="1">
                  <c:v>C02</c:v>
                </c:pt>
                <c:pt idx="2">
                  <c:v>N20</c:v>
                </c:pt>
                <c:pt idx="3">
                  <c:v>SF6</c:v>
                </c:pt>
                <c:pt idx="4">
                  <c:v>CO</c:v>
                </c:pt>
                <c:pt idx="5">
                  <c:v>CFC-14</c:v>
                </c:pt>
                <c:pt idx="6">
                  <c:v>HFC-116</c:v>
                </c:pt>
                <c:pt idx="7">
                  <c:v>CFC-12</c:v>
                </c:pt>
                <c:pt idx="8">
                  <c:v>CFC-114</c:v>
                </c:pt>
                <c:pt idx="9">
                  <c:v>HFC-22</c:v>
                </c:pt>
                <c:pt idx="10">
                  <c:v>HFC-23</c:v>
                </c:pt>
                <c:pt idx="11">
                  <c:v>CFC-10</c:v>
                </c:pt>
                <c:pt idx="12">
                  <c:v>CFC-113</c:v>
                </c:pt>
                <c:pt idx="13">
                  <c:v>Halon 1301</c:v>
                </c:pt>
                <c:pt idx="14">
                  <c:v>HFC-134a</c:v>
                </c:pt>
                <c:pt idx="15">
                  <c:v>HFC-152a</c:v>
                </c:pt>
                <c:pt idx="16">
                  <c:v>Halon 1211</c:v>
                </c:pt>
              </c:strCache>
            </c:strRef>
          </c:cat>
          <c:val>
            <c:numRef>
              <c:f>'Annexe 1'!$W$32:$AM$32</c:f>
              <c:numCache>
                <c:formatCode>0.00E+00</c:formatCode>
                <c:ptCount val="17"/>
                <c:pt idx="0">
                  <c:v>14289.129181176377</c:v>
                </c:pt>
                <c:pt idx="1">
                  <c:v>850.81768869181485</c:v>
                </c:pt>
                <c:pt idx="2">
                  <c:v>5.7405443922000003</c:v>
                </c:pt>
                <c:pt idx="3">
                  <c:v>0.67487256809999996</c:v>
                </c:pt>
                <c:pt idx="4">
                  <c:v>3.02374690095</c:v>
                </c:pt>
                <c:pt idx="5">
                  <c:v>0.14486159206499999</c:v>
                </c:pt>
                <c:pt idx="6">
                  <c:v>2.17014296895E-2</c:v>
                </c:pt>
                <c:pt idx="7">
                  <c:v>2.9358651128999999E-3</c:v>
                </c:pt>
                <c:pt idx="8">
                  <c:v>1.8932557981499998E-2</c:v>
                </c:pt>
                <c:pt idx="9">
                  <c:v>6.229225397999999E-3</c:v>
                </c:pt>
                <c:pt idx="10">
                  <c:v>1.7214159531E-3</c:v>
                </c:pt>
                <c:pt idx="11">
                  <c:v>2.1425594461499999E-4</c:v>
                </c:pt>
                <c:pt idx="12">
                  <c:v>8.0152373399999984E-4</c:v>
                </c:pt>
                <c:pt idx="13">
                  <c:v>3.6062420935500002E-2</c:v>
                </c:pt>
                <c:pt idx="14">
                  <c:v>5.2091227919999982E-4</c:v>
                </c:pt>
                <c:pt idx="15">
                  <c:v>9.4114919729999992E-5</c:v>
                </c:pt>
                <c:pt idx="16">
                  <c:v>1.1509662934499999E-4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E1-0C4E-B13A-47D47A875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5647567"/>
        <c:axId val="215649215"/>
      </c:barChart>
      <c:catAx>
        <c:axId val="215647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5649215"/>
        <c:crosses val="autoZero"/>
        <c:auto val="1"/>
        <c:lblAlgn val="ctr"/>
        <c:lblOffset val="100"/>
        <c:noMultiLvlLbl val="0"/>
      </c:catAx>
      <c:valAx>
        <c:axId val="21564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5647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DD5554-D056-AD4B-9D19-BE04A277891C}">
  <sheetPr/>
  <sheetViews>
    <sheetView zoomScale="1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576" cy="6283508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B105A01-E91C-9E4D-9BA8-23EB6FF2CA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Center%20Q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graphique"/>
      <sheetName val="Annexe 1"/>
      <sheetName val="Annexe 2"/>
      <sheetName val="Graphique La Totale"/>
      <sheetName val="Graphique Totale"/>
      <sheetName val="Graphique La totale modifier"/>
      <sheetName val="Graphique GRID"/>
      <sheetName val="Graphique Eolienne"/>
      <sheetName val="Graphique Panneaux"/>
    </sheetNames>
    <sheetDataSet>
      <sheetData sheetId="1"/>
      <sheetData sheetId="2">
        <row r="27">
          <cell r="B27">
            <v>4.1118700122826073E-3</v>
          </cell>
          <cell r="D27">
            <v>2054.8920225674806</v>
          </cell>
          <cell r="F27">
            <v>1364.0469186884284</v>
          </cell>
          <cell r="H27">
            <v>19471.601167013327</v>
          </cell>
        </row>
        <row r="28">
          <cell r="B28">
            <v>4.4726264250122176E-3</v>
          </cell>
          <cell r="D28">
            <v>5056.0577217359996</v>
          </cell>
          <cell r="F28">
            <v>6390.2909681033343</v>
          </cell>
          <cell r="H28">
            <v>69912.528218333318</v>
          </cell>
        </row>
        <row r="29">
          <cell r="B29">
            <v>4.6071459757886333E-6</v>
          </cell>
          <cell r="D29">
            <v>9.7678528975762458</v>
          </cell>
          <cell r="F29">
            <v>4.859889845249354</v>
          </cell>
          <cell r="H29">
            <v>80.207688836776256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9"/>
  <sheetViews>
    <sheetView tabSelected="1" topLeftCell="R24" zoomScale="70" zoomScaleNormal="70" workbookViewId="0">
      <selection activeCell="W12" sqref="W12"/>
    </sheetView>
  </sheetViews>
  <sheetFormatPr baseColWidth="10" defaultColWidth="11.5" defaultRowHeight="15" x14ac:dyDescent="0.2"/>
  <cols>
    <col min="1" max="1" width="25.33203125" customWidth="1"/>
    <col min="18" max="18" width="12.1640625" customWidth="1"/>
    <col min="19" max="19" width="12.6640625" customWidth="1"/>
    <col min="21" max="21" width="11.33203125" customWidth="1"/>
    <col min="22" max="22" width="21.33203125" customWidth="1"/>
    <col min="25" max="25" width="12" customWidth="1"/>
    <col min="26" max="26" width="12.5" customWidth="1"/>
  </cols>
  <sheetData>
    <row r="1" spans="1:64" x14ac:dyDescent="0.2">
      <c r="A1" s="51" t="s">
        <v>0</v>
      </c>
      <c r="B1" s="2"/>
      <c r="C1" s="2"/>
      <c r="D1" s="4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64" ht="16" thickBo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64" ht="17" thickTop="1" thickBot="1" x14ac:dyDescent="0.25">
      <c r="A3" s="1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2"/>
      <c r="T3" s="2"/>
      <c r="V3" s="1" t="s">
        <v>1</v>
      </c>
      <c r="W3" s="10" t="s">
        <v>3</v>
      </c>
      <c r="X3" s="10" t="s">
        <v>3</v>
      </c>
      <c r="Y3" s="10" t="s">
        <v>3</v>
      </c>
      <c r="Z3" s="10" t="s">
        <v>3</v>
      </c>
      <c r="AA3" s="10" t="s">
        <v>3</v>
      </c>
      <c r="AB3" s="10" t="s">
        <v>3</v>
      </c>
      <c r="AC3" s="10" t="s">
        <v>3</v>
      </c>
      <c r="AD3" s="10" t="s">
        <v>3</v>
      </c>
      <c r="AE3" s="10" t="s">
        <v>3</v>
      </c>
      <c r="AF3" s="10" t="s">
        <v>3</v>
      </c>
      <c r="AG3" s="10" t="s">
        <v>3</v>
      </c>
      <c r="AH3" s="10" t="s">
        <v>3</v>
      </c>
      <c r="AI3" s="10" t="s">
        <v>3</v>
      </c>
      <c r="AJ3" s="10" t="s">
        <v>3</v>
      </c>
      <c r="AK3" s="10" t="s">
        <v>3</v>
      </c>
      <c r="AL3" s="10" t="s">
        <v>3</v>
      </c>
      <c r="AM3" s="56" t="s">
        <v>3</v>
      </c>
      <c r="AN3" s="58" t="s">
        <v>19</v>
      </c>
      <c r="AR3" s="131" t="s">
        <v>20</v>
      </c>
      <c r="AS3" s="132"/>
      <c r="AU3" s="1" t="s">
        <v>1</v>
      </c>
      <c r="AV3" s="56" t="s">
        <v>2</v>
      </c>
      <c r="AW3" s="10" t="s">
        <v>3</v>
      </c>
      <c r="AX3" s="118" t="s">
        <v>4</v>
      </c>
      <c r="AY3" s="10" t="s">
        <v>5</v>
      </c>
      <c r="AZ3" s="118" t="s">
        <v>6</v>
      </c>
      <c r="BA3" s="10" t="s">
        <v>7</v>
      </c>
      <c r="BB3" s="118" t="s">
        <v>8</v>
      </c>
      <c r="BC3" s="10" t="s">
        <v>9</v>
      </c>
      <c r="BD3" s="118" t="s">
        <v>10</v>
      </c>
      <c r="BE3" s="10" t="s">
        <v>11</v>
      </c>
      <c r="BF3" s="118" t="s">
        <v>12</v>
      </c>
      <c r="BG3" s="10" t="s">
        <v>13</v>
      </c>
      <c r="BH3" s="118" t="s">
        <v>14</v>
      </c>
      <c r="BI3" s="10" t="s">
        <v>15</v>
      </c>
      <c r="BJ3" s="118" t="s">
        <v>16</v>
      </c>
      <c r="BK3" s="10" t="s">
        <v>17</v>
      </c>
      <c r="BL3" s="10" t="s">
        <v>18</v>
      </c>
    </row>
    <row r="4" spans="1:64" ht="16" thickBot="1" x14ac:dyDescent="0.25">
      <c r="A4" s="4" t="s">
        <v>21</v>
      </c>
      <c r="B4" s="36" t="s">
        <v>22</v>
      </c>
      <c r="C4" s="36" t="s">
        <v>22</v>
      </c>
      <c r="D4" s="36" t="s">
        <v>23</v>
      </c>
      <c r="E4" s="36" t="s">
        <v>24</v>
      </c>
      <c r="F4" s="36" t="s">
        <v>23</v>
      </c>
      <c r="G4" s="36" t="s">
        <v>24</v>
      </c>
      <c r="H4" s="36" t="s">
        <v>24</v>
      </c>
      <c r="I4" s="36" t="s">
        <v>25</v>
      </c>
      <c r="J4" s="36" t="s">
        <v>25</v>
      </c>
      <c r="K4" s="36" t="s">
        <v>24</v>
      </c>
      <c r="L4" s="36" t="s">
        <v>25</v>
      </c>
      <c r="M4" s="36" t="s">
        <v>24</v>
      </c>
      <c r="N4" s="36" t="s">
        <v>25</v>
      </c>
      <c r="O4" s="36" t="s">
        <v>25</v>
      </c>
      <c r="P4" s="36" t="s">
        <v>25</v>
      </c>
      <c r="Q4" s="36" t="s">
        <v>25</v>
      </c>
      <c r="R4" s="36" t="s">
        <v>25</v>
      </c>
      <c r="S4" s="2"/>
      <c r="T4" s="2"/>
      <c r="V4" s="4" t="s">
        <v>21</v>
      </c>
      <c r="W4" s="36" t="s">
        <v>22</v>
      </c>
      <c r="X4" s="36" t="s">
        <v>22</v>
      </c>
      <c r="Y4" s="36" t="s">
        <v>22</v>
      </c>
      <c r="Z4" s="36" t="s">
        <v>22</v>
      </c>
      <c r="AA4" s="36" t="s">
        <v>22</v>
      </c>
      <c r="AB4" s="36" t="s">
        <v>22</v>
      </c>
      <c r="AC4" s="36" t="s">
        <v>22</v>
      </c>
      <c r="AD4" s="36" t="s">
        <v>22</v>
      </c>
      <c r="AE4" s="36" t="s">
        <v>22</v>
      </c>
      <c r="AF4" s="36" t="s">
        <v>22</v>
      </c>
      <c r="AG4" s="36" t="s">
        <v>22</v>
      </c>
      <c r="AH4" s="36" t="s">
        <v>22</v>
      </c>
      <c r="AI4" s="36" t="s">
        <v>22</v>
      </c>
      <c r="AJ4" s="36" t="s">
        <v>22</v>
      </c>
      <c r="AK4" s="36" t="s">
        <v>22</v>
      </c>
      <c r="AL4" s="36" t="s">
        <v>22</v>
      </c>
      <c r="AM4" s="57" t="s">
        <v>22</v>
      </c>
      <c r="AN4" s="59" t="s">
        <v>22</v>
      </c>
      <c r="AR4" s="113" t="s">
        <v>1</v>
      </c>
      <c r="AS4" s="114" t="s">
        <v>3</v>
      </c>
      <c r="AU4" s="4" t="s">
        <v>21</v>
      </c>
      <c r="AV4" s="57" t="s">
        <v>26</v>
      </c>
      <c r="AW4" s="36" t="s">
        <v>22</v>
      </c>
      <c r="AX4" s="119" t="s">
        <v>26</v>
      </c>
      <c r="AY4" s="119" t="s">
        <v>26</v>
      </c>
      <c r="AZ4" s="119" t="s">
        <v>26</v>
      </c>
      <c r="BA4" s="119" t="s">
        <v>26</v>
      </c>
      <c r="BB4" s="119" t="s">
        <v>26</v>
      </c>
      <c r="BC4" s="119" t="s">
        <v>26</v>
      </c>
      <c r="BD4" s="119" t="s">
        <v>26</v>
      </c>
      <c r="BE4" s="119" t="s">
        <v>26</v>
      </c>
      <c r="BF4" s="119" t="s">
        <v>26</v>
      </c>
      <c r="BG4" s="119" t="s">
        <v>26</v>
      </c>
      <c r="BH4" s="119" t="s">
        <v>26</v>
      </c>
      <c r="BI4" s="119" t="s">
        <v>26</v>
      </c>
      <c r="BJ4" s="119" t="s">
        <v>26</v>
      </c>
      <c r="BK4" s="119" t="s">
        <v>26</v>
      </c>
      <c r="BL4" s="119" t="s">
        <v>26</v>
      </c>
    </row>
    <row r="5" spans="1:64" ht="15.75" customHeight="1" thickBot="1" x14ac:dyDescent="0.25">
      <c r="A5" s="46" t="s">
        <v>27</v>
      </c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50"/>
      <c r="S5" s="2"/>
      <c r="T5" s="38"/>
      <c r="V5" s="46" t="s">
        <v>27</v>
      </c>
      <c r="W5" s="48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105"/>
      <c r="AN5" s="106"/>
      <c r="AR5" s="115" t="s">
        <v>21</v>
      </c>
      <c r="AS5" s="36" t="s">
        <v>22</v>
      </c>
      <c r="AU5" s="47" t="s">
        <v>27</v>
      </c>
      <c r="AV5" s="120">
        <f>SUM(W6:W15)</f>
        <v>7077575.6402558042</v>
      </c>
      <c r="AW5" s="121">
        <f t="shared" ref="AW5:BL5" si="0">SUM(X6:X15)</f>
        <v>185086.37110767001</v>
      </c>
      <c r="AX5" s="122">
        <f t="shared" si="0"/>
        <v>962.47593607499994</v>
      </c>
      <c r="AY5" s="121">
        <f t="shared" si="0"/>
        <v>390.67209705509998</v>
      </c>
      <c r="AZ5" s="122">
        <f t="shared" si="0"/>
        <v>1066.3032607199998</v>
      </c>
      <c r="BA5" s="121">
        <f t="shared" si="0"/>
        <v>693.18262678975498</v>
      </c>
      <c r="BB5" s="122">
        <f t="shared" si="0"/>
        <v>116.4431840199135</v>
      </c>
      <c r="BC5" s="121">
        <f t="shared" si="0"/>
        <v>297.11701013211149</v>
      </c>
      <c r="BD5" s="122">
        <f t="shared" si="0"/>
        <v>6.4041760598140671</v>
      </c>
      <c r="BE5" s="121">
        <f t="shared" si="0"/>
        <v>167.07491164805359</v>
      </c>
      <c r="BF5" s="122">
        <f t="shared" si="0"/>
        <v>191.62314586544571</v>
      </c>
      <c r="BG5" s="121">
        <f t="shared" si="0"/>
        <v>5.4202485400186653</v>
      </c>
      <c r="BH5" s="122">
        <f t="shared" si="0"/>
        <v>6684.8779481748297</v>
      </c>
      <c r="BI5" s="121">
        <f t="shared" si="0"/>
        <v>0.94954319616651706</v>
      </c>
      <c r="BJ5" s="122">
        <f t="shared" si="0"/>
        <v>1890.2987868778371</v>
      </c>
      <c r="BK5" s="121">
        <f t="shared" si="0"/>
        <v>1.5556994750747464</v>
      </c>
      <c r="BL5" s="121">
        <f t="shared" si="0"/>
        <v>5.1893138901440275E-2</v>
      </c>
    </row>
    <row r="6" spans="1:64" ht="15" customHeight="1" thickBot="1" x14ac:dyDescent="0.25">
      <c r="A6" s="39" t="s">
        <v>28</v>
      </c>
      <c r="B6" s="12">
        <v>156.0372521174408</v>
      </c>
      <c r="C6" s="3">
        <v>33269.751269999993</v>
      </c>
      <c r="D6" s="3">
        <v>2130.9975961538457</v>
      </c>
      <c r="E6" s="3">
        <v>5818.1592592592588</v>
      </c>
      <c r="F6" s="3">
        <v>292371.76433121017</v>
      </c>
      <c r="G6" s="3">
        <v>59078.322471910113</v>
      </c>
      <c r="H6" s="3">
        <v>5085.1386666666676</v>
      </c>
      <c r="I6" s="3">
        <v>6649687.5</v>
      </c>
      <c r="J6" s="3">
        <v>271268.89655172417</v>
      </c>
      <c r="K6" s="3">
        <v>14818.517777777779</v>
      </c>
      <c r="L6" s="3">
        <v>773165.625</v>
      </c>
      <c r="M6" s="3">
        <v>635.7685344827587</v>
      </c>
      <c r="N6" s="3">
        <v>402548.79999999987</v>
      </c>
      <c r="O6" s="3">
        <v>110893.09444444446</v>
      </c>
      <c r="P6" s="3">
        <v>1651846.6875</v>
      </c>
      <c r="Q6" s="3">
        <v>8279353.7837837851</v>
      </c>
      <c r="R6" s="13">
        <v>47179.796153846153</v>
      </c>
      <c r="S6" s="129" t="s">
        <v>29</v>
      </c>
      <c r="V6" s="39" t="s">
        <v>28</v>
      </c>
      <c r="W6" s="12">
        <f>B6*W$23</f>
        <v>1185883.1160925501</v>
      </c>
      <c r="X6" s="3">
        <f>C6*X$23</f>
        <v>33269.751269999993</v>
      </c>
      <c r="Y6" s="3">
        <f t="shared" ref="X6:AM15" si="1">D6*Y$23</f>
        <v>332.43562499999996</v>
      </c>
      <c r="Z6" s="3">
        <f>E6*Z$23</f>
        <v>188.50835999999998</v>
      </c>
      <c r="AA6" s="3">
        <f t="shared" si="1"/>
        <v>459.02366999999998</v>
      </c>
      <c r="AB6" s="3">
        <f t="shared" si="1"/>
        <v>525.79706999999996</v>
      </c>
      <c r="AC6" s="3">
        <f t="shared" si="1"/>
        <v>91.532496000000009</v>
      </c>
      <c r="AD6" s="3">
        <f t="shared" si="1"/>
        <v>34.578375000000001</v>
      </c>
      <c r="AE6" s="3">
        <f>J6*AE$23</f>
        <v>2.3600394000000002</v>
      </c>
      <c r="AF6" s="3">
        <f t="shared" si="1"/>
        <v>8.0019996000000013</v>
      </c>
      <c r="AG6" s="3">
        <f t="shared" si="1"/>
        <v>7.7316562500000003</v>
      </c>
      <c r="AH6" s="3">
        <f t="shared" si="1"/>
        <v>0.36874575000000004</v>
      </c>
      <c r="AI6" s="3">
        <f t="shared" si="1"/>
        <v>1.0868817599999996</v>
      </c>
      <c r="AJ6" s="3">
        <f t="shared" si="1"/>
        <v>0.29941135500000005</v>
      </c>
      <c r="AK6" s="3">
        <f t="shared" si="1"/>
        <v>0.66073867499999994</v>
      </c>
      <c r="AL6" s="3">
        <f t="shared" si="1"/>
        <v>0.30633609000000006</v>
      </c>
      <c r="AM6" s="7">
        <f t="shared" si="1"/>
        <v>1.8400120500000002E-2</v>
      </c>
      <c r="AN6" s="107">
        <f>SUM(W$6:AM$6)</f>
        <v>1220805.5771675508</v>
      </c>
      <c r="AO6" s="129" t="s">
        <v>29</v>
      </c>
      <c r="AR6" s="46" t="s">
        <v>27</v>
      </c>
      <c r="AS6" s="116">
        <f>SUM(AN6:AN15)</f>
        <v>7275136.4618312428</v>
      </c>
      <c r="AU6" s="47" t="s">
        <v>30</v>
      </c>
      <c r="AV6" s="123">
        <f>W17</f>
        <v>284769286.27120912</v>
      </c>
      <c r="AW6" s="124">
        <f t="shared" ref="AW6:BL6" si="2">X17</f>
        <v>50520707.561807998</v>
      </c>
      <c r="AX6" s="125">
        <f t="shared" si="2"/>
        <v>185940.98160000003</v>
      </c>
      <c r="AY6" s="124">
        <f t="shared" si="2"/>
        <v>263475.73559999996</v>
      </c>
      <c r="AZ6" s="125">
        <f t="shared" si="2"/>
        <v>36335.196479999999</v>
      </c>
      <c r="BA6" s="124">
        <f t="shared" si="2"/>
        <v>2548.7569800000001</v>
      </c>
      <c r="BB6" s="125">
        <f t="shared" si="2"/>
        <v>377.81990399999989</v>
      </c>
      <c r="BC6" s="124">
        <f t="shared" si="2"/>
        <v>132.31520280000001</v>
      </c>
      <c r="BD6" s="125">
        <f t="shared" si="2"/>
        <v>167.47650479999999</v>
      </c>
      <c r="BE6" s="124">
        <f t="shared" si="2"/>
        <v>217.25398199999998</v>
      </c>
      <c r="BF6" s="125">
        <f t="shared" si="2"/>
        <v>30.908404560000005</v>
      </c>
      <c r="BG6" s="124">
        <f t="shared" si="2"/>
        <v>2.5321721039999998</v>
      </c>
      <c r="BH6" s="125">
        <f t="shared" si="2"/>
        <v>352.99202400000007</v>
      </c>
      <c r="BI6" s="124">
        <f t="shared" si="2"/>
        <v>233.38161000000002</v>
      </c>
      <c r="BJ6" s="125">
        <f t="shared" si="2"/>
        <v>103.27118736</v>
      </c>
      <c r="BK6" s="124">
        <f t="shared" si="2"/>
        <v>1.5172864079999999</v>
      </c>
      <c r="BL6" s="124">
        <f t="shared" si="2"/>
        <v>37.671951239999999</v>
      </c>
    </row>
    <row r="7" spans="1:64" ht="16" thickBot="1" x14ac:dyDescent="0.25">
      <c r="A7" s="40" t="s">
        <v>31</v>
      </c>
      <c r="B7" s="14">
        <v>24.952528718767105</v>
      </c>
      <c r="C7" s="7">
        <v>5130.3074586000002</v>
      </c>
      <c r="D7" s="7">
        <v>169.16990384615383</v>
      </c>
      <c r="E7" s="7">
        <v>325.8804953703704</v>
      </c>
      <c r="F7" s="7">
        <v>33057.97738853503</v>
      </c>
      <c r="G7" s="7">
        <v>603.34356741573038</v>
      </c>
      <c r="H7" s="7">
        <v>44.386777500000008</v>
      </c>
      <c r="I7" s="7">
        <v>38338.465384615381</v>
      </c>
      <c r="J7" s="7">
        <v>35387.358620689651</v>
      </c>
      <c r="K7" s="7">
        <v>658.0727777777779</v>
      </c>
      <c r="L7" s="7">
        <v>6565.2313500000009</v>
      </c>
      <c r="M7" s="7">
        <v>11.09114172413793</v>
      </c>
      <c r="N7" s="7">
        <v>8560.7733333333326</v>
      </c>
      <c r="O7" s="7">
        <v>13514.120555555555</v>
      </c>
      <c r="P7" s="7">
        <v>31855.859250000005</v>
      </c>
      <c r="Q7" s="7">
        <v>83135.48108108106</v>
      </c>
      <c r="R7" s="15">
        <v>6356.9407692307686</v>
      </c>
      <c r="S7" s="129"/>
      <c r="V7" s="40" t="s">
        <v>31</v>
      </c>
      <c r="W7" s="14">
        <f t="shared" ref="W7:W15" si="3">B7*W$23</f>
        <v>189639.21826262999</v>
      </c>
      <c r="X7" s="7">
        <f t="shared" si="1"/>
        <v>5130.3074586000002</v>
      </c>
      <c r="Y7" s="7">
        <f t="shared" si="1"/>
        <v>26.390504999999997</v>
      </c>
      <c r="Z7" s="7">
        <f t="shared" si="1"/>
        <v>10.55852805</v>
      </c>
      <c r="AA7" s="7">
        <f t="shared" si="1"/>
        <v>51.901024499999998</v>
      </c>
      <c r="AB7" s="7">
        <f t="shared" si="1"/>
        <v>5.3697577500000007</v>
      </c>
      <c r="AC7" s="7">
        <f t="shared" si="1"/>
        <v>0.79896199500000009</v>
      </c>
      <c r="AD7" s="7">
        <f t="shared" si="1"/>
        <v>0.19936002</v>
      </c>
      <c r="AE7" s="7">
        <f t="shared" si="1"/>
        <v>0.30787001999999997</v>
      </c>
      <c r="AF7" s="7">
        <f t="shared" si="1"/>
        <v>0.35535930000000004</v>
      </c>
      <c r="AG7" s="7">
        <f t="shared" si="1"/>
        <v>6.5652313500000017E-2</v>
      </c>
      <c r="AH7" s="7">
        <f t="shared" si="1"/>
        <v>6.4328621999999993E-3</v>
      </c>
      <c r="AI7" s="7">
        <f t="shared" si="1"/>
        <v>2.3114087999999998E-2</v>
      </c>
      <c r="AJ7" s="7">
        <f t="shared" si="1"/>
        <v>3.6488125499999996E-2</v>
      </c>
      <c r="AK7" s="7">
        <f t="shared" si="1"/>
        <v>1.2742343700000002E-2</v>
      </c>
      <c r="AL7" s="7">
        <f t="shared" si="1"/>
        <v>3.0760127999999993E-3</v>
      </c>
      <c r="AM7" s="7">
        <f t="shared" si="1"/>
        <v>2.4792068999999997E-3</v>
      </c>
      <c r="AN7" s="107">
        <f t="shared" ref="AN7:AN15" si="4">SUM(W7:AM7)</f>
        <v>194865.55707281758</v>
      </c>
      <c r="AO7" s="129"/>
      <c r="AR7" s="46" t="s">
        <v>30</v>
      </c>
      <c r="AS7" s="117">
        <f>SUM(AN17)</f>
        <v>335779951.64390635</v>
      </c>
      <c r="AU7" s="47" t="s">
        <v>32</v>
      </c>
      <c r="AV7" s="126">
        <f>SUM(W19:W21)</f>
        <v>14289.129181176377</v>
      </c>
      <c r="AW7" s="127">
        <f t="shared" ref="AW7:BL7" si="5">SUM(X19:X21)</f>
        <v>850.81768869181485</v>
      </c>
      <c r="AX7" s="128">
        <f t="shared" si="5"/>
        <v>5.7405443922000003</v>
      </c>
      <c r="AY7" s="127">
        <f t="shared" si="5"/>
        <v>0.67487256809999996</v>
      </c>
      <c r="AZ7" s="128">
        <f t="shared" si="5"/>
        <v>3.02374690095</v>
      </c>
      <c r="BA7" s="127">
        <f t="shared" si="5"/>
        <v>0.14486159206499999</v>
      </c>
      <c r="BB7" s="128">
        <f t="shared" si="5"/>
        <v>2.17014296895E-2</v>
      </c>
      <c r="BC7" s="127">
        <f t="shared" si="5"/>
        <v>2.9358651128999999E-3</v>
      </c>
      <c r="BD7" s="128">
        <f t="shared" si="5"/>
        <v>1.8932557981499998E-2</v>
      </c>
      <c r="BE7" s="127">
        <f t="shared" si="5"/>
        <v>6.229225397999999E-3</v>
      </c>
      <c r="BF7" s="128">
        <f t="shared" si="5"/>
        <v>1.7214159531E-3</v>
      </c>
      <c r="BG7" s="127">
        <f t="shared" si="5"/>
        <v>2.1425594461499999E-4</v>
      </c>
      <c r="BH7" s="128">
        <f t="shared" si="5"/>
        <v>8.0152373399999984E-4</v>
      </c>
      <c r="BI7" s="127">
        <f t="shared" si="5"/>
        <v>3.6062420935500002E-2</v>
      </c>
      <c r="BJ7" s="128">
        <f t="shared" si="5"/>
        <v>5.2091227919999982E-4</v>
      </c>
      <c r="BK7" s="127">
        <f t="shared" si="5"/>
        <v>9.4114919729999992E-5</v>
      </c>
      <c r="BL7" s="127">
        <f t="shared" si="5"/>
        <v>1.1509662934499999E-4</v>
      </c>
    </row>
    <row r="8" spans="1:64" ht="16" thickBot="1" x14ac:dyDescent="0.25">
      <c r="A8" s="40" t="s">
        <v>33</v>
      </c>
      <c r="B8" s="14">
        <v>113.94283283424673</v>
      </c>
      <c r="C8" s="7">
        <v>21653.538184500001</v>
      </c>
      <c r="D8" s="7">
        <v>1104.3173076923078</v>
      </c>
      <c r="E8" s="7">
        <v>2656.644629629629</v>
      </c>
      <c r="F8" s="7">
        <v>111731.02547770701</v>
      </c>
      <c r="G8" s="7">
        <v>2679.2396629213481</v>
      </c>
      <c r="H8" s="7">
        <v>200.51275833333332</v>
      </c>
      <c r="I8" s="7">
        <v>8460446.8269230761</v>
      </c>
      <c r="J8" s="7">
        <v>162695.18103448275</v>
      </c>
      <c r="K8" s="7">
        <v>286566.30555555556</v>
      </c>
      <c r="L8" s="7">
        <v>18165042</v>
      </c>
      <c r="M8" s="7">
        <v>8356.993965517242</v>
      </c>
      <c r="N8" s="7">
        <v>329072.93333333335</v>
      </c>
      <c r="O8" s="7">
        <v>57686.566666666673</v>
      </c>
      <c r="P8" s="7">
        <v>20978658.75</v>
      </c>
      <c r="Q8" s="7">
        <v>1813354.3783783782</v>
      </c>
      <c r="R8" s="15">
        <v>28768.657307692298</v>
      </c>
      <c r="S8" s="129"/>
      <c r="V8" s="40" t="s">
        <v>33</v>
      </c>
      <c r="W8" s="14">
        <f t="shared" si="3"/>
        <v>865965.52954027511</v>
      </c>
      <c r="X8" s="7">
        <f t="shared" si="1"/>
        <v>21653.538184500001</v>
      </c>
      <c r="Y8" s="7">
        <f t="shared" si="1"/>
        <v>172.27350000000001</v>
      </c>
      <c r="Z8" s="7">
        <f t="shared" si="1"/>
        <v>86.075285999999977</v>
      </c>
      <c r="AA8" s="7">
        <f t="shared" si="1"/>
        <v>175.41771</v>
      </c>
      <c r="AB8" s="7">
        <f t="shared" si="1"/>
        <v>23.845232999999997</v>
      </c>
      <c r="AC8" s="7">
        <f t="shared" si="1"/>
        <v>3.6092296499999996</v>
      </c>
      <c r="AD8" s="7">
        <f t="shared" si="1"/>
        <v>43.9943235</v>
      </c>
      <c r="AE8" s="7">
        <f t="shared" si="1"/>
        <v>1.4154480749999998</v>
      </c>
      <c r="AF8" s="7">
        <f t="shared" si="1"/>
        <v>154.74580500000002</v>
      </c>
      <c r="AG8" s="7">
        <f t="shared" si="1"/>
        <v>181.65042000000003</v>
      </c>
      <c r="AH8" s="7">
        <f t="shared" si="1"/>
        <v>4.8470565000000008</v>
      </c>
      <c r="AI8" s="7">
        <f t="shared" si="1"/>
        <v>0.88849692000000002</v>
      </c>
      <c r="AJ8" s="7">
        <f t="shared" si="1"/>
        <v>0.15575373000000001</v>
      </c>
      <c r="AK8" s="7">
        <f t="shared" si="1"/>
        <v>8.3914635000000004</v>
      </c>
      <c r="AL8" s="7">
        <f t="shared" si="1"/>
        <v>6.7094111999999997E-2</v>
      </c>
      <c r="AM8" s="7">
        <f t="shared" si="1"/>
        <v>1.1219776349999997E-2</v>
      </c>
      <c r="AN8" s="107">
        <f t="shared" si="4"/>
        <v>888476.45576453838</v>
      </c>
      <c r="AO8" s="129"/>
      <c r="AR8" s="46" t="s">
        <v>32</v>
      </c>
      <c r="AS8" s="108">
        <f>SUM(AN19:AN21)</f>
        <v>15149.620224140082</v>
      </c>
    </row>
    <row r="9" spans="1:64" x14ac:dyDescent="0.2">
      <c r="A9" s="40" t="s">
        <v>34</v>
      </c>
      <c r="B9" s="14">
        <v>116.11779211881314</v>
      </c>
      <c r="C9" s="7">
        <v>24546.669504000001</v>
      </c>
      <c r="D9" s="7">
        <v>2388.7902884615387</v>
      </c>
      <c r="E9" s="7">
        <v>2126.4643518518519</v>
      </c>
      <c r="F9" s="7">
        <v>164985.21974522294</v>
      </c>
      <c r="G9" s="7">
        <v>4910.8719101123597</v>
      </c>
      <c r="H9" s="7">
        <v>361.63049999999998</v>
      </c>
      <c r="I9" s="7">
        <v>41962944.230769232</v>
      </c>
      <c r="J9" s="7">
        <v>204940.5</v>
      </c>
      <c r="K9" s="7">
        <v>5896.6099999999988</v>
      </c>
      <c r="L9" s="7">
        <v>210890.09999999995</v>
      </c>
      <c r="M9" s="7">
        <v>260.2503103448276</v>
      </c>
      <c r="N9" s="7">
        <v>2475131000</v>
      </c>
      <c r="O9" s="7">
        <v>74610.361111111109</v>
      </c>
      <c r="P9" s="7">
        <v>4703038500</v>
      </c>
      <c r="Q9" s="7">
        <v>31788878.513513513</v>
      </c>
      <c r="R9" s="15">
        <v>33834.076538461537</v>
      </c>
      <c r="S9" s="129"/>
      <c r="V9" s="40" t="s">
        <v>34</v>
      </c>
      <c r="W9" s="14">
        <f t="shared" si="3"/>
        <v>882495.22010297992</v>
      </c>
      <c r="X9" s="7">
        <f t="shared" si="1"/>
        <v>24546.669504000001</v>
      </c>
      <c r="Y9" s="7">
        <f t="shared" si="1"/>
        <v>372.65128500000003</v>
      </c>
      <c r="Z9" s="7">
        <f t="shared" si="1"/>
        <v>68.897445000000005</v>
      </c>
      <c r="AA9" s="7">
        <f t="shared" si="1"/>
        <v>259.02679500000005</v>
      </c>
      <c r="AB9" s="7">
        <f t="shared" si="1"/>
        <v>43.706760000000003</v>
      </c>
      <c r="AC9" s="7">
        <f t="shared" si="1"/>
        <v>6.5093489999999994</v>
      </c>
      <c r="AD9" s="7">
        <f t="shared" si="1"/>
        <v>218.20731000000001</v>
      </c>
      <c r="AE9" s="7">
        <f t="shared" si="1"/>
        <v>1.7829823499999999</v>
      </c>
      <c r="AF9" s="7">
        <f t="shared" si="1"/>
        <v>3.1841693999999996</v>
      </c>
      <c r="AG9" s="7">
        <f t="shared" si="1"/>
        <v>2.1089009999999995</v>
      </c>
      <c r="AH9" s="7">
        <f t="shared" si="1"/>
        <v>0.15094518000000001</v>
      </c>
      <c r="AI9" s="7">
        <f t="shared" si="1"/>
        <v>6682.8536999999997</v>
      </c>
      <c r="AJ9" s="7">
        <f t="shared" si="1"/>
        <v>0.201447975</v>
      </c>
      <c r="AK9" s="7">
        <f t="shared" si="1"/>
        <v>1881.2153999999998</v>
      </c>
      <c r="AL9" s="7">
        <f t="shared" si="1"/>
        <v>1.1761885050000001</v>
      </c>
      <c r="AM9" s="7">
        <f t="shared" si="1"/>
        <v>1.319528985E-2</v>
      </c>
      <c r="AN9" s="107">
        <f t="shared" si="4"/>
        <v>916583.57548067975</v>
      </c>
      <c r="AO9" s="129"/>
    </row>
    <row r="10" spans="1:64" x14ac:dyDescent="0.2">
      <c r="A10" s="40" t="s">
        <v>35</v>
      </c>
      <c r="B10" s="14">
        <v>2.0751750667000066</v>
      </c>
      <c r="C10" s="7">
        <v>1511.96878707</v>
      </c>
      <c r="D10" s="7">
        <v>68.306370192307696</v>
      </c>
      <c r="E10" s="7">
        <v>30.198332407407406</v>
      </c>
      <c r="F10" s="7">
        <v>2460.8365605095541</v>
      </c>
      <c r="G10" s="7">
        <v>30.827396629213482</v>
      </c>
      <c r="H10" s="7">
        <v>2.2746968333333335</v>
      </c>
      <c r="I10" s="7">
        <v>951.10355769230762</v>
      </c>
      <c r="J10" s="7">
        <v>2829.2036206896555</v>
      </c>
      <c r="K10" s="7">
        <v>19.618040555555552</v>
      </c>
      <c r="L10" s="7">
        <v>277.69192499999997</v>
      </c>
      <c r="M10" s="7">
        <v>0.66357501724137935</v>
      </c>
      <c r="N10" s="7">
        <v>390.6563666666666</v>
      </c>
      <c r="O10" s="7">
        <v>25230.616666666669</v>
      </c>
      <c r="P10" s="7">
        <v>1815.4096124999994</v>
      </c>
      <c r="Q10" s="7">
        <v>4264.6516216216214</v>
      </c>
      <c r="R10" s="15">
        <v>385.83346153846156</v>
      </c>
      <c r="S10" s="7"/>
      <c r="V10" s="40" t="s">
        <v>35</v>
      </c>
      <c r="W10" s="14">
        <f t="shared" si="3"/>
        <v>15771.330506920051</v>
      </c>
      <c r="X10" s="7">
        <f t="shared" si="1"/>
        <v>1511.96878707</v>
      </c>
      <c r="Y10" s="7">
        <f t="shared" si="1"/>
        <v>10.655793750000001</v>
      </c>
      <c r="Z10" s="7">
        <f t="shared" si="1"/>
        <v>0.97842596999999987</v>
      </c>
      <c r="AA10" s="7">
        <f t="shared" si="1"/>
        <v>3.8635134</v>
      </c>
      <c r="AB10" s="7">
        <f t="shared" si="1"/>
        <v>0.27436382999999998</v>
      </c>
      <c r="AC10" s="7">
        <f t="shared" si="1"/>
        <v>4.0944543E-2</v>
      </c>
      <c r="AD10" s="7">
        <f t="shared" si="1"/>
        <v>4.9457384999999996E-3</v>
      </c>
      <c r="AE10" s="7">
        <f t="shared" si="1"/>
        <v>2.4614071500000001E-2</v>
      </c>
      <c r="AF10" s="7">
        <f t="shared" si="1"/>
        <v>1.0593741899999998E-2</v>
      </c>
      <c r="AG10" s="7">
        <f t="shared" si="1"/>
        <v>2.77691925E-3</v>
      </c>
      <c r="AH10" s="7">
        <f t="shared" si="1"/>
        <v>3.8487351000000001E-4</v>
      </c>
      <c r="AI10" s="7">
        <f t="shared" si="1"/>
        <v>1.0547721899999997E-3</v>
      </c>
      <c r="AJ10" s="7">
        <f t="shared" si="1"/>
        <v>6.8122664999999999E-2</v>
      </c>
      <c r="AK10" s="7">
        <f t="shared" si="1"/>
        <v>7.2616384499999971E-4</v>
      </c>
      <c r="AL10" s="7">
        <f t="shared" si="1"/>
        <v>1.5779210999999999E-4</v>
      </c>
      <c r="AM10" s="7">
        <f t="shared" si="1"/>
        <v>1.5047505000000003E-4</v>
      </c>
      <c r="AN10" s="107">
        <f t="shared" si="4"/>
        <v>17299.225862695908</v>
      </c>
    </row>
    <row r="11" spans="1:64" ht="15" customHeight="1" x14ac:dyDescent="0.2">
      <c r="A11" s="40" t="s">
        <v>36</v>
      </c>
      <c r="B11" s="14">
        <v>110.19928108322367</v>
      </c>
      <c r="C11" s="7">
        <v>19722.274048800002</v>
      </c>
      <c r="D11" s="7">
        <v>1.0451435769230768</v>
      </c>
      <c r="E11" s="7">
        <v>1.3344704444444442E-2</v>
      </c>
      <c r="F11" s="7">
        <v>71.189628535031844</v>
      </c>
      <c r="G11" s="7">
        <v>9.8888023820224713E-3</v>
      </c>
      <c r="H11" s="7">
        <v>8.6109217999999987E-4</v>
      </c>
      <c r="I11" s="7">
        <v>1.0205329153846151E-3</v>
      </c>
      <c r="J11" s="7">
        <v>2.293535544827586E-4</v>
      </c>
      <c r="K11" s="7">
        <v>5.8316238000000005E-3</v>
      </c>
      <c r="L11" s="7">
        <v>1.7269595999999996E-4</v>
      </c>
      <c r="M11" s="7">
        <v>3.8392082689655177E-4</v>
      </c>
      <c r="N11" s="7">
        <v>1.0132028933333331E-4</v>
      </c>
      <c r="O11" s="7">
        <v>5.9245958666666666E-5</v>
      </c>
      <c r="P11" s="7">
        <v>3.4752365999999994E-3</v>
      </c>
      <c r="Q11" s="7">
        <v>3.3388960864864869E-3</v>
      </c>
      <c r="R11" s="15">
        <v>3.1655552307692305E-5</v>
      </c>
      <c r="S11" s="130" t="s">
        <v>37</v>
      </c>
      <c r="V11" s="40" t="s">
        <v>36</v>
      </c>
      <c r="W11" s="14">
        <f>B11*W$23</f>
        <v>837514.53623249987</v>
      </c>
      <c r="X11" s="7">
        <f t="shared" si="1"/>
        <v>19722.274048800002</v>
      </c>
      <c r="Y11" s="7">
        <f t="shared" si="1"/>
        <v>0.16304239799999998</v>
      </c>
      <c r="Z11" s="7">
        <f t="shared" si="1"/>
        <v>4.3236842399999991E-4</v>
      </c>
      <c r="AA11" s="7">
        <f t="shared" si="1"/>
        <v>0.1117677168</v>
      </c>
      <c r="AB11" s="7">
        <f t="shared" si="1"/>
        <v>8.8010341199999995E-5</v>
      </c>
      <c r="AC11" s="7">
        <f t="shared" si="1"/>
        <v>1.5499659239999997E-5</v>
      </c>
      <c r="AD11" s="7">
        <f t="shared" si="1"/>
        <v>5.3067711599999988E-9</v>
      </c>
      <c r="AE11" s="7">
        <f t="shared" si="1"/>
        <v>1.9953759239999996E-9</v>
      </c>
      <c r="AF11" s="7">
        <f t="shared" si="1"/>
        <v>3.1490768520000004E-6</v>
      </c>
      <c r="AG11" s="7">
        <f t="shared" si="1"/>
        <v>1.7269595999999997E-9</v>
      </c>
      <c r="AH11" s="7">
        <f t="shared" si="1"/>
        <v>2.2267407960000002E-7</v>
      </c>
      <c r="AI11" s="7">
        <f t="shared" si="1"/>
        <v>2.7356478119999994E-10</v>
      </c>
      <c r="AJ11" s="7">
        <f t="shared" si="1"/>
        <v>1.599640884E-10</v>
      </c>
      <c r="AK11" s="7">
        <f t="shared" si="1"/>
        <v>1.3900946399999997E-9</v>
      </c>
      <c r="AL11" s="7">
        <f t="shared" si="1"/>
        <v>1.2353915520000002E-10</v>
      </c>
      <c r="AM11" s="7">
        <f t="shared" si="1"/>
        <v>1.23456654E-11</v>
      </c>
      <c r="AN11" s="107">
        <f t="shared" si="4"/>
        <v>857237.08563067578</v>
      </c>
      <c r="AO11" s="130" t="s">
        <v>37</v>
      </c>
    </row>
    <row r="12" spans="1:64" x14ac:dyDescent="0.2">
      <c r="A12" s="40" t="s">
        <v>38</v>
      </c>
      <c r="B12" s="14">
        <v>55.099640541611834</v>
      </c>
      <c r="C12" s="7">
        <v>9861.1370244000009</v>
      </c>
      <c r="D12" s="7">
        <v>0.5225717884615384</v>
      </c>
      <c r="E12" s="7">
        <v>6.672352222222221E-3</v>
      </c>
      <c r="F12" s="7">
        <v>35.594814267515922</v>
      </c>
      <c r="G12" s="7">
        <v>4.9444011910112357E-3</v>
      </c>
      <c r="H12" s="7">
        <v>4.3054608999999993E-4</v>
      </c>
      <c r="I12" s="7">
        <v>5.1026645769230755E-4</v>
      </c>
      <c r="J12" s="7">
        <v>1.146767772413793E-4</v>
      </c>
      <c r="K12" s="7">
        <v>2.9158119000000002E-3</v>
      </c>
      <c r="L12" s="7">
        <v>8.6347979999999979E-5</v>
      </c>
      <c r="M12" s="7">
        <v>1.9196041344827589E-4</v>
      </c>
      <c r="N12" s="7">
        <v>5.0660144666666653E-5</v>
      </c>
      <c r="O12" s="7">
        <v>2.9622979333333333E-5</v>
      </c>
      <c r="P12" s="7">
        <v>1.7376182999999997E-3</v>
      </c>
      <c r="Q12" s="7">
        <v>1.6694480432432434E-3</v>
      </c>
      <c r="R12" s="15">
        <v>1.5827776153846153E-5</v>
      </c>
      <c r="S12" s="130"/>
      <c r="V12" s="40" t="s">
        <v>38</v>
      </c>
      <c r="W12" s="14">
        <f t="shared" si="3"/>
        <v>418757.26811624994</v>
      </c>
      <c r="X12" s="7">
        <f t="shared" si="1"/>
        <v>9861.1370244000009</v>
      </c>
      <c r="Y12" s="7">
        <f t="shared" si="1"/>
        <v>8.1521198999999989E-2</v>
      </c>
      <c r="Z12" s="7">
        <f t="shared" si="1"/>
        <v>2.1618421199999995E-4</v>
      </c>
      <c r="AA12" s="7">
        <f t="shared" si="1"/>
        <v>5.58838584E-2</v>
      </c>
      <c r="AB12" s="7">
        <f t="shared" si="1"/>
        <v>4.4005170599999998E-5</v>
      </c>
      <c r="AC12" s="7">
        <f t="shared" si="1"/>
        <v>7.7498296199999985E-6</v>
      </c>
      <c r="AD12" s="7">
        <f t="shared" si="1"/>
        <v>2.6533855799999994E-9</v>
      </c>
      <c r="AE12" s="7">
        <f t="shared" si="1"/>
        <v>9.9768796199999979E-10</v>
      </c>
      <c r="AF12" s="7">
        <f t="shared" si="1"/>
        <v>1.5745384260000002E-6</v>
      </c>
      <c r="AG12" s="7">
        <f t="shared" si="1"/>
        <v>8.6347979999999983E-10</v>
      </c>
      <c r="AH12" s="7">
        <f t="shared" si="1"/>
        <v>1.1133703980000001E-7</v>
      </c>
      <c r="AI12" s="7">
        <f t="shared" si="1"/>
        <v>1.3678239059999997E-10</v>
      </c>
      <c r="AJ12" s="7">
        <f t="shared" si="1"/>
        <v>7.9982044200000002E-11</v>
      </c>
      <c r="AK12" s="7">
        <f t="shared" si="1"/>
        <v>6.9504731999999984E-10</v>
      </c>
      <c r="AL12" s="7">
        <f t="shared" si="1"/>
        <v>6.1769577600000012E-11</v>
      </c>
      <c r="AM12" s="7">
        <f t="shared" si="1"/>
        <v>6.1728327E-12</v>
      </c>
      <c r="AN12" s="107">
        <f t="shared" si="4"/>
        <v>428618.54281533789</v>
      </c>
      <c r="AO12" s="130"/>
    </row>
    <row r="13" spans="1:64" x14ac:dyDescent="0.2">
      <c r="A13" s="40" t="s">
        <v>39</v>
      </c>
      <c r="B13" s="14">
        <v>123.97419121862663</v>
      </c>
      <c r="C13" s="7">
        <v>22187.558304900002</v>
      </c>
      <c r="D13" s="7">
        <v>1.1757865240384615</v>
      </c>
      <c r="E13" s="7">
        <v>1.50127925E-2</v>
      </c>
      <c r="F13" s="7">
        <v>80.088332101910822</v>
      </c>
      <c r="G13" s="7">
        <v>1.112490267977528E-2</v>
      </c>
      <c r="H13" s="7">
        <v>9.6872870250000009E-4</v>
      </c>
      <c r="I13" s="7">
        <v>1.1480995298076922E-3</v>
      </c>
      <c r="J13" s="7">
        <v>2.5802274879310348E-4</v>
      </c>
      <c r="K13" s="7">
        <v>6.5605767750000002E-3</v>
      </c>
      <c r="L13" s="7">
        <v>1.9428295499999997E-4</v>
      </c>
      <c r="M13" s="7">
        <v>4.3191093025862076E-4</v>
      </c>
      <c r="N13" s="7">
        <v>1.1398532549999997E-4</v>
      </c>
      <c r="O13" s="7">
        <v>6.665170349999999E-5</v>
      </c>
      <c r="P13" s="7">
        <v>3.909641174999999E-3</v>
      </c>
      <c r="Q13" s="7">
        <v>3.756258097297298E-3</v>
      </c>
      <c r="R13" s="15">
        <v>3.5612496346153845E-5</v>
      </c>
      <c r="S13" s="130"/>
      <c r="V13" s="40" t="s">
        <v>39</v>
      </c>
      <c r="W13" s="14">
        <f t="shared" si="3"/>
        <v>942203.85326156241</v>
      </c>
      <c r="X13" s="7">
        <f t="shared" si="1"/>
        <v>22187.558304900002</v>
      </c>
      <c r="Y13" s="7">
        <f t="shared" si="1"/>
        <v>0.18342269775</v>
      </c>
      <c r="Z13" s="7">
        <f t="shared" si="1"/>
        <v>4.86414477E-4</v>
      </c>
      <c r="AA13" s="7">
        <f t="shared" si="1"/>
        <v>0.1257386814</v>
      </c>
      <c r="AB13" s="7">
        <f t="shared" si="1"/>
        <v>9.9011633849999998E-5</v>
      </c>
      <c r="AC13" s="7">
        <f t="shared" si="1"/>
        <v>1.7437116645E-5</v>
      </c>
      <c r="AD13" s="7">
        <f t="shared" si="1"/>
        <v>5.9701175549999992E-9</v>
      </c>
      <c r="AE13" s="7">
        <f t="shared" si="1"/>
        <v>2.2447979145000002E-9</v>
      </c>
      <c r="AF13" s="7">
        <f t="shared" si="1"/>
        <v>3.5427114585E-6</v>
      </c>
      <c r="AG13" s="7">
        <f t="shared" si="1"/>
        <v>1.9428295499999999E-9</v>
      </c>
      <c r="AH13" s="7">
        <f t="shared" si="1"/>
        <v>2.5050833955000003E-7</v>
      </c>
      <c r="AI13" s="7">
        <f t="shared" si="1"/>
        <v>3.0776037884999992E-10</v>
      </c>
      <c r="AJ13" s="7">
        <f t="shared" si="1"/>
        <v>1.7995959944999998E-10</v>
      </c>
      <c r="AK13" s="7">
        <f t="shared" si="1"/>
        <v>1.5638564699999996E-9</v>
      </c>
      <c r="AL13" s="7">
        <f t="shared" si="1"/>
        <v>1.3898154960000004E-10</v>
      </c>
      <c r="AM13" s="7">
        <f t="shared" si="1"/>
        <v>1.3888873575E-11</v>
      </c>
      <c r="AN13" s="107">
        <f t="shared" si="4"/>
        <v>964391.72133451037</v>
      </c>
      <c r="AO13" s="130"/>
    </row>
    <row r="14" spans="1:64" x14ac:dyDescent="0.2">
      <c r="A14" s="40" t="s">
        <v>40</v>
      </c>
      <c r="B14" s="14">
        <v>169.8905583366365</v>
      </c>
      <c r="C14" s="7">
        <v>30405.172491900001</v>
      </c>
      <c r="D14" s="7">
        <v>1.6112630144230766</v>
      </c>
      <c r="E14" s="7">
        <v>2.0573086018518517E-2</v>
      </c>
      <c r="F14" s="7">
        <v>109.75067732484075</v>
      </c>
      <c r="G14" s="7">
        <v>1.5245237005617975E-2</v>
      </c>
      <c r="H14" s="7">
        <v>1.3275171108333332E-3</v>
      </c>
      <c r="I14" s="7">
        <v>1.5733215778846151E-3</v>
      </c>
      <c r="J14" s="7">
        <v>3.535867298275862E-4</v>
      </c>
      <c r="K14" s="7">
        <v>8.990420025000001E-3</v>
      </c>
      <c r="L14" s="7">
        <v>2.6623960500000001E-4</v>
      </c>
      <c r="M14" s="7">
        <v>5.9187794146551729E-4</v>
      </c>
      <c r="N14" s="7">
        <v>1.5620211272222219E-4</v>
      </c>
      <c r="O14" s="7">
        <v>9.133751961111112E-5</v>
      </c>
      <c r="P14" s="7">
        <v>5.3576564249999993E-3</v>
      </c>
      <c r="Q14" s="7">
        <v>5.1474648000000012E-3</v>
      </c>
      <c r="R14" s="15">
        <v>4.8802309807692295E-5</v>
      </c>
      <c r="S14" s="130"/>
      <c r="V14" s="40" t="s">
        <v>40</v>
      </c>
      <c r="W14" s="14">
        <f t="shared" si="3"/>
        <v>1291168.2433584374</v>
      </c>
      <c r="X14" s="7">
        <f t="shared" si="1"/>
        <v>30405.172491900001</v>
      </c>
      <c r="Y14" s="7">
        <f t="shared" si="1"/>
        <v>0.25135703024999995</v>
      </c>
      <c r="Z14" s="7">
        <f t="shared" si="1"/>
        <v>6.6656798699999992E-4</v>
      </c>
      <c r="AA14" s="7">
        <f t="shared" si="1"/>
        <v>0.17230856339999998</v>
      </c>
      <c r="AB14" s="7">
        <f t="shared" si="1"/>
        <v>1.3568260934999996E-4</v>
      </c>
      <c r="AC14" s="7">
        <f t="shared" si="1"/>
        <v>2.3895307994999995E-5</v>
      </c>
      <c r="AD14" s="7">
        <f t="shared" si="1"/>
        <v>8.1812722049999988E-9</v>
      </c>
      <c r="AE14" s="7">
        <f t="shared" si="1"/>
        <v>3.0762045494999999E-9</v>
      </c>
      <c r="AF14" s="7">
        <f t="shared" si="1"/>
        <v>4.8548268135000004E-6</v>
      </c>
      <c r="AG14" s="7">
        <f t="shared" si="1"/>
        <v>2.6623960500000002E-9</v>
      </c>
      <c r="AH14" s="7">
        <f t="shared" si="1"/>
        <v>3.4328920605000001E-7</v>
      </c>
      <c r="AI14" s="7">
        <f t="shared" si="1"/>
        <v>4.2174570434999988E-10</v>
      </c>
      <c r="AJ14" s="7">
        <f t="shared" si="1"/>
        <v>2.4661130295000001E-10</v>
      </c>
      <c r="AK14" s="7">
        <f t="shared" si="1"/>
        <v>2.1430625699999995E-9</v>
      </c>
      <c r="AL14" s="7">
        <f t="shared" si="1"/>
        <v>1.9045619760000004E-10</v>
      </c>
      <c r="AM14" s="7">
        <f t="shared" si="1"/>
        <v>1.9032900824999998E-11</v>
      </c>
      <c r="AN14" s="107">
        <f t="shared" si="4"/>
        <v>1321573.8403472919</v>
      </c>
      <c r="AO14" s="130"/>
    </row>
    <row r="15" spans="1:64" ht="16" thickBot="1" x14ac:dyDescent="0.25">
      <c r="A15" s="40" t="s">
        <v>41</v>
      </c>
      <c r="B15" s="14">
        <v>58.970700629171041</v>
      </c>
      <c r="C15" s="7">
        <v>16797.994033499999</v>
      </c>
      <c r="D15" s="7">
        <v>303.78130769230768</v>
      </c>
      <c r="E15" s="7">
        <v>1100.3781018518516</v>
      </c>
      <c r="F15" s="7">
        <v>74270.604458598711</v>
      </c>
      <c r="G15" s="7">
        <v>10583.042191011236</v>
      </c>
      <c r="H15" s="7">
        <v>775.11879166666677</v>
      </c>
      <c r="I15" s="7">
        <v>25518.43298076923</v>
      </c>
      <c r="J15" s="7">
        <v>58991.05</v>
      </c>
      <c r="K15" s="7">
        <v>1438.8360833333334</v>
      </c>
      <c r="L15" s="7">
        <v>6373.9375499999996</v>
      </c>
      <c r="M15" s="7">
        <v>80.486976724137932</v>
      </c>
      <c r="N15" s="7">
        <v>9148.3827777777769</v>
      </c>
      <c r="O15" s="7">
        <v>69747.905555555568</v>
      </c>
      <c r="P15" s="7">
        <v>44290.473749999997</v>
      </c>
      <c r="Q15" s="7">
        <v>76944.936486486491</v>
      </c>
      <c r="R15" s="15">
        <v>16534.026153846149</v>
      </c>
      <c r="S15" s="2"/>
      <c r="V15" s="40" t="s">
        <v>41</v>
      </c>
      <c r="W15" s="8">
        <f t="shared" si="3"/>
        <v>448177.32478169992</v>
      </c>
      <c r="X15" s="9">
        <f t="shared" si="1"/>
        <v>16797.994033499999</v>
      </c>
      <c r="Y15" s="9">
        <f t="shared" si="1"/>
        <v>47.389883999999995</v>
      </c>
      <c r="Z15" s="9">
        <f t="shared" si="1"/>
        <v>35.652250499999994</v>
      </c>
      <c r="AA15" s="9">
        <f t="shared" si="1"/>
        <v>116.60484899999997</v>
      </c>
      <c r="AB15" s="9">
        <f t="shared" si="1"/>
        <v>94.189075500000001</v>
      </c>
      <c r="AC15" s="9">
        <f t="shared" si="1"/>
        <v>13.952138250000001</v>
      </c>
      <c r="AD15" s="9">
        <f t="shared" si="1"/>
        <v>0.13269585149999999</v>
      </c>
      <c r="AE15" s="9">
        <f t="shared" si="1"/>
        <v>0.51322213500000002</v>
      </c>
      <c r="AF15" s="9">
        <f t="shared" si="1"/>
        <v>0.77697148500000002</v>
      </c>
      <c r="AG15" s="9">
        <f t="shared" si="1"/>
        <v>6.3739375500000001E-2</v>
      </c>
      <c r="AH15" s="9">
        <f t="shared" si="1"/>
        <v>4.6682446500000002E-2</v>
      </c>
      <c r="AI15" s="9">
        <f t="shared" si="1"/>
        <v>2.4700633499999996E-2</v>
      </c>
      <c r="AJ15" s="9">
        <f t="shared" si="1"/>
        <v>0.18831934500000003</v>
      </c>
      <c r="AK15" s="9">
        <f t="shared" si="1"/>
        <v>1.7716189499999997E-2</v>
      </c>
      <c r="AL15" s="9">
        <f t="shared" si="1"/>
        <v>2.8469626500000002E-3</v>
      </c>
      <c r="AM15" s="9">
        <f t="shared" si="1"/>
        <v>6.4482701999999982E-3</v>
      </c>
      <c r="AN15" s="107">
        <f t="shared" si="4"/>
        <v>465284.88035514421</v>
      </c>
    </row>
    <row r="16" spans="1:64" ht="16" thickBot="1" x14ac:dyDescent="0.25">
      <c r="A16" s="47" t="s">
        <v>30</v>
      </c>
      <c r="B16" s="43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5"/>
      <c r="S16" s="7"/>
      <c r="T16" s="7"/>
      <c r="U16" s="7"/>
      <c r="V16" s="46" t="s">
        <v>30</v>
      </c>
      <c r="W16" s="52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107"/>
    </row>
    <row r="17" spans="1:40" ht="16.5" customHeight="1" thickBot="1" x14ac:dyDescent="0.25">
      <c r="A17" s="40" t="s">
        <v>42</v>
      </c>
      <c r="B17" s="14">
        <v>37469.642930422255</v>
      </c>
      <c r="C17" s="7">
        <v>50520707.561807998</v>
      </c>
      <c r="D17" s="7">
        <v>1191929.3692307693</v>
      </c>
      <c r="E17" s="7">
        <v>8131967.1481481465</v>
      </c>
      <c r="F17" s="7">
        <v>23143437.248407643</v>
      </c>
      <c r="G17" s="7">
        <v>286377.18876404496</v>
      </c>
      <c r="H17" s="7">
        <v>20989.994666666662</v>
      </c>
      <c r="I17" s="7">
        <v>25445231.307692308</v>
      </c>
      <c r="J17" s="7">
        <v>19250172.965517242</v>
      </c>
      <c r="K17" s="7">
        <v>402322.18888888886</v>
      </c>
      <c r="L17" s="7">
        <v>3090840.4560000002</v>
      </c>
      <c r="M17" s="7">
        <v>4365.8139724137927</v>
      </c>
      <c r="N17" s="7">
        <v>130737786.66666669</v>
      </c>
      <c r="O17" s="7">
        <v>86437633.333333343</v>
      </c>
      <c r="P17" s="7">
        <v>258177968.40000001</v>
      </c>
      <c r="Q17" s="7">
        <v>41007740.756756753</v>
      </c>
      <c r="R17" s="15">
        <v>96594746.769230753</v>
      </c>
      <c r="S17" s="2"/>
      <c r="V17" s="40" t="s">
        <v>42</v>
      </c>
      <c r="W17" s="54">
        <f>B17*W$23</f>
        <v>284769286.27120912</v>
      </c>
      <c r="X17" s="55">
        <f t="shared" ref="X17:AM17" si="6">C17*X$23</f>
        <v>50520707.561807998</v>
      </c>
      <c r="Y17" s="55">
        <f t="shared" si="6"/>
        <v>185940.98160000003</v>
      </c>
      <c r="Z17" s="55">
        <f t="shared" si="6"/>
        <v>263475.73559999996</v>
      </c>
      <c r="AA17" s="55">
        <f t="shared" si="6"/>
        <v>36335.196479999999</v>
      </c>
      <c r="AB17" s="55">
        <f t="shared" si="6"/>
        <v>2548.7569800000001</v>
      </c>
      <c r="AC17" s="55">
        <f t="shared" si="6"/>
        <v>377.81990399999989</v>
      </c>
      <c r="AD17" s="55">
        <f t="shared" si="6"/>
        <v>132.31520280000001</v>
      </c>
      <c r="AE17" s="55">
        <f t="shared" si="6"/>
        <v>167.47650479999999</v>
      </c>
      <c r="AF17" s="55">
        <f t="shared" si="6"/>
        <v>217.25398199999998</v>
      </c>
      <c r="AG17" s="55">
        <f t="shared" si="6"/>
        <v>30.908404560000005</v>
      </c>
      <c r="AH17" s="55">
        <f t="shared" si="6"/>
        <v>2.5321721039999998</v>
      </c>
      <c r="AI17" s="55">
        <f t="shared" si="6"/>
        <v>352.99202400000007</v>
      </c>
      <c r="AJ17" s="55">
        <f t="shared" si="6"/>
        <v>233.38161000000002</v>
      </c>
      <c r="AK17" s="55">
        <f t="shared" si="6"/>
        <v>103.27118736</v>
      </c>
      <c r="AL17" s="55">
        <f t="shared" si="6"/>
        <v>1.5172864079999999</v>
      </c>
      <c r="AM17" s="55">
        <f t="shared" si="6"/>
        <v>37.671951239999999</v>
      </c>
      <c r="AN17" s="107">
        <f>SUM(W17:AM17)</f>
        <v>335779951.64390635</v>
      </c>
    </row>
    <row r="18" spans="1:40" ht="16" thickBot="1" x14ac:dyDescent="0.25">
      <c r="A18" s="47" t="s">
        <v>32</v>
      </c>
      <c r="B18" s="43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5"/>
      <c r="S18" s="7"/>
      <c r="T18" s="7"/>
      <c r="U18" s="7"/>
      <c r="V18" s="46" t="s">
        <v>32</v>
      </c>
      <c r="W18" s="52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107"/>
    </row>
    <row r="19" spans="1:40" x14ac:dyDescent="0.2">
      <c r="A19" s="40" t="s">
        <v>43</v>
      </c>
      <c r="B19" s="14">
        <v>0.44509904750239926</v>
      </c>
      <c r="C19" s="7">
        <v>3.607353168315</v>
      </c>
      <c r="D19" s="7">
        <v>9.3912834615384591E-2</v>
      </c>
      <c r="E19" s="7">
        <v>7.6747009259259258E-2</v>
      </c>
      <c r="F19" s="7">
        <v>6.7976534713375791</v>
      </c>
      <c r="G19" s="7">
        <v>2.044528820224719E-2</v>
      </c>
      <c r="H19" s="7">
        <v>1.5118244166666666E-3</v>
      </c>
      <c r="I19" s="7">
        <v>1.5396774807692308</v>
      </c>
      <c r="J19" s="7">
        <v>6.4620898275862064</v>
      </c>
      <c r="K19" s="7">
        <v>2.8559783333333338E-2</v>
      </c>
      <c r="L19" s="7">
        <v>0.44432480999999996</v>
      </c>
      <c r="M19" s="7">
        <v>8.8028381896551697E-4</v>
      </c>
      <c r="N19" s="7">
        <v>0.95124222222222232</v>
      </c>
      <c r="O19" s="7">
        <v>29.40719833333333</v>
      </c>
      <c r="P19" s="7">
        <v>3.9705104999999992</v>
      </c>
      <c r="Q19" s="7">
        <v>6.4172035135135133</v>
      </c>
      <c r="R19" s="15">
        <v>0.77132396153846139</v>
      </c>
      <c r="S19" s="2"/>
      <c r="V19" s="40" t="s">
        <v>43</v>
      </c>
      <c r="W19" s="12">
        <f>B19*W$23</f>
        <v>3382.7527610182342</v>
      </c>
      <c r="X19" s="3">
        <f t="shared" ref="X19:AM21" si="7">C19*X$23</f>
        <v>3.607353168315</v>
      </c>
      <c r="Y19" s="3">
        <f t="shared" si="7"/>
        <v>1.4650402199999996E-2</v>
      </c>
      <c r="Z19" s="3">
        <f t="shared" si="7"/>
        <v>2.4866031E-3</v>
      </c>
      <c r="AA19" s="3">
        <f t="shared" si="7"/>
        <v>1.0672315949999999E-2</v>
      </c>
      <c r="AB19" s="3">
        <f t="shared" si="7"/>
        <v>1.81963065E-4</v>
      </c>
      <c r="AC19" s="3">
        <f t="shared" si="7"/>
        <v>2.7212839499999996E-5</v>
      </c>
      <c r="AD19" s="3">
        <f t="shared" si="7"/>
        <v>8.0063229000000012E-6</v>
      </c>
      <c r="AE19" s="3">
        <f t="shared" si="7"/>
        <v>5.6220181499999993E-5</v>
      </c>
      <c r="AF19" s="3">
        <f t="shared" si="7"/>
        <v>1.5422283000000003E-5</v>
      </c>
      <c r="AG19" s="3">
        <f t="shared" si="7"/>
        <v>4.4432480999999997E-6</v>
      </c>
      <c r="AH19" s="3">
        <f t="shared" si="7"/>
        <v>5.1056461499999989E-7</v>
      </c>
      <c r="AI19" s="3">
        <f t="shared" si="7"/>
        <v>2.5683540000000003E-6</v>
      </c>
      <c r="AJ19" s="3">
        <f t="shared" si="7"/>
        <v>7.9399435499999984E-5</v>
      </c>
      <c r="AK19" s="3">
        <f t="shared" si="7"/>
        <v>1.5882041999999997E-6</v>
      </c>
      <c r="AL19" s="3">
        <f t="shared" si="7"/>
        <v>2.3743653E-7</v>
      </c>
      <c r="AM19" s="3">
        <f t="shared" si="7"/>
        <v>3.0081634499999994E-7</v>
      </c>
      <c r="AN19" s="107">
        <f>SUM(W19:AM19)</f>
        <v>3386.3883013805503</v>
      </c>
    </row>
    <row r="20" spans="1:40" x14ac:dyDescent="0.2">
      <c r="A20" s="40" t="s">
        <v>44</v>
      </c>
      <c r="B20" s="14">
        <v>0.39746199571684737</v>
      </c>
      <c r="C20" s="7">
        <v>91.225971988499992</v>
      </c>
      <c r="D20" s="7">
        <v>2.5512630769230773</v>
      </c>
      <c r="E20" s="7">
        <v>5.6534870370370367</v>
      </c>
      <c r="F20" s="7">
        <v>688.73750636942668</v>
      </c>
      <c r="G20" s="7">
        <v>0.84243960674157314</v>
      </c>
      <c r="H20" s="7">
        <v>6.6774741666666665E-2</v>
      </c>
      <c r="I20" s="7">
        <v>87.497988461538469</v>
      </c>
      <c r="J20" s="7">
        <v>755.09218965517232</v>
      </c>
      <c r="K20" s="7">
        <v>1.6980225277777778</v>
      </c>
      <c r="L20" s="7">
        <v>32.851306500000007</v>
      </c>
      <c r="M20" s="7">
        <v>3.6739008620689656E-2</v>
      </c>
      <c r="N20" s="7">
        <v>100.58121666666668</v>
      </c>
      <c r="O20" s="7">
        <v>711.73666666666668</v>
      </c>
      <c r="P20" s="7">
        <v>390.6053624999999</v>
      </c>
      <c r="Q20" s="7">
        <v>404.9034648648647</v>
      </c>
      <c r="R20" s="15">
        <v>101.43150000000001</v>
      </c>
      <c r="S20" s="2"/>
      <c r="V20" s="40" t="s">
        <v>44</v>
      </c>
      <c r="W20" s="14">
        <f t="shared" ref="W20:W21" si="8">B20*W$23</f>
        <v>3020.7111674480402</v>
      </c>
      <c r="X20" s="7">
        <f t="shared" si="7"/>
        <v>91.225971988499992</v>
      </c>
      <c r="Y20" s="7">
        <f t="shared" si="7"/>
        <v>0.39799704000000008</v>
      </c>
      <c r="Z20" s="7">
        <f t="shared" si="7"/>
        <v>0.18317297999999999</v>
      </c>
      <c r="AA20" s="7">
        <f t="shared" si="7"/>
        <v>1.0813178849999998</v>
      </c>
      <c r="AB20" s="7">
        <f t="shared" si="7"/>
        <v>7.4977125000000007E-3</v>
      </c>
      <c r="AC20" s="7">
        <f t="shared" si="7"/>
        <v>1.20194535E-3</v>
      </c>
      <c r="AD20" s="7">
        <f t="shared" si="7"/>
        <v>4.5498954000000006E-4</v>
      </c>
      <c r="AE20" s="7">
        <f>J20*AE$23</f>
        <v>6.5693020499999989E-3</v>
      </c>
      <c r="AF20" s="7">
        <f t="shared" si="7"/>
        <v>9.1693216500000007E-4</v>
      </c>
      <c r="AG20" s="7">
        <f t="shared" si="7"/>
        <v>3.2851306500000007E-4</v>
      </c>
      <c r="AH20" s="7">
        <f t="shared" si="7"/>
        <v>2.1308625E-5</v>
      </c>
      <c r="AI20" s="7">
        <f t="shared" si="7"/>
        <v>2.7156928500000004E-4</v>
      </c>
      <c r="AJ20" s="7">
        <f t="shared" si="7"/>
        <v>1.9216890000000001E-3</v>
      </c>
      <c r="AK20" s="7">
        <f t="shared" si="7"/>
        <v>1.5624214499999995E-4</v>
      </c>
      <c r="AL20" s="7">
        <f t="shared" si="7"/>
        <v>1.4981428199999995E-5</v>
      </c>
      <c r="AM20" s="7">
        <f t="shared" si="7"/>
        <v>3.9558285000000009E-5</v>
      </c>
      <c r="AN20" s="107">
        <f>SUM(W20:AM20)</f>
        <v>3113.619022084979</v>
      </c>
    </row>
    <row r="21" spans="1:40" ht="16" thickBot="1" x14ac:dyDescent="0.25">
      <c r="A21" s="41" t="s">
        <v>45</v>
      </c>
      <c r="B21" s="8">
        <v>1.0375875332513291</v>
      </c>
      <c r="C21" s="9">
        <v>755.98436353499983</v>
      </c>
      <c r="D21" s="9">
        <v>34.153185576923079</v>
      </c>
      <c r="E21" s="9">
        <v>15.099166203703703</v>
      </c>
      <c r="F21" s="9">
        <v>1230.4182802547771</v>
      </c>
      <c r="G21" s="9">
        <v>15.413698483146067</v>
      </c>
      <c r="H21" s="9">
        <v>1.1373484166666668</v>
      </c>
      <c r="I21" s="9">
        <v>475.55177884615381</v>
      </c>
      <c r="J21" s="9">
        <v>1414.6018103448278</v>
      </c>
      <c r="K21" s="9">
        <v>9.8090202777777762</v>
      </c>
      <c r="L21" s="9">
        <v>138.84596399999998</v>
      </c>
      <c r="M21" s="9">
        <v>0.33178750862068968</v>
      </c>
      <c r="N21" s="9">
        <v>195.3281833333333</v>
      </c>
      <c r="O21" s="9">
        <v>12615.308333333334</v>
      </c>
      <c r="P21" s="9">
        <v>907.70482499999991</v>
      </c>
      <c r="Q21" s="9">
        <v>2132.3258108108107</v>
      </c>
      <c r="R21" s="16">
        <v>192.91673846153842</v>
      </c>
      <c r="S21" s="2"/>
      <c r="V21" s="41" t="s">
        <v>45</v>
      </c>
      <c r="W21" s="8">
        <f t="shared" si="8"/>
        <v>7885.6652527101014</v>
      </c>
      <c r="X21" s="9">
        <f t="shared" si="7"/>
        <v>755.98436353499983</v>
      </c>
      <c r="Y21" s="9">
        <f t="shared" si="7"/>
        <v>5.3278969500000004</v>
      </c>
      <c r="Z21" s="9">
        <f t="shared" si="7"/>
        <v>0.48921298499999993</v>
      </c>
      <c r="AA21" s="9">
        <f t="shared" si="7"/>
        <v>1.9317567</v>
      </c>
      <c r="AB21" s="9">
        <f t="shared" si="7"/>
        <v>0.1371819165</v>
      </c>
      <c r="AC21" s="9">
        <f t="shared" si="7"/>
        <v>2.04722715E-2</v>
      </c>
      <c r="AD21" s="9">
        <f t="shared" si="7"/>
        <v>2.4728692499999998E-3</v>
      </c>
      <c r="AE21" s="9">
        <f t="shared" si="7"/>
        <v>1.230703575E-2</v>
      </c>
      <c r="AF21" s="9">
        <f t="shared" si="7"/>
        <v>5.2968709499999992E-3</v>
      </c>
      <c r="AG21" s="9">
        <f t="shared" si="7"/>
        <v>1.3884596399999999E-3</v>
      </c>
      <c r="AH21" s="9">
        <f t="shared" si="7"/>
        <v>1.92436755E-4</v>
      </c>
      <c r="AI21" s="9">
        <f t="shared" si="7"/>
        <v>5.2738609499999986E-4</v>
      </c>
      <c r="AJ21" s="9">
        <f t="shared" si="7"/>
        <v>3.4061332499999999E-2</v>
      </c>
      <c r="AK21" s="9">
        <f t="shared" si="7"/>
        <v>3.6308192999999993E-4</v>
      </c>
      <c r="AL21" s="9">
        <f t="shared" si="7"/>
        <v>7.8896054999999995E-5</v>
      </c>
      <c r="AM21" s="9">
        <f t="shared" si="7"/>
        <v>7.5237527999999989E-5</v>
      </c>
      <c r="AN21" s="108">
        <f>SUM(W21:AM21)</f>
        <v>8649.6129006745523</v>
      </c>
    </row>
    <row r="22" spans="1:40" ht="16" thickBot="1" x14ac:dyDescent="0.25">
      <c r="A22" s="24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5"/>
      <c r="T22" s="2"/>
      <c r="V22" s="24"/>
      <c r="W22" s="11"/>
    </row>
    <row r="23" spans="1:40" ht="15.75" customHeight="1" thickBot="1" x14ac:dyDescent="0.25">
      <c r="V23" s="89" t="s">
        <v>46</v>
      </c>
      <c r="W23" s="90">
        <v>7600</v>
      </c>
      <c r="X23" s="91">
        <v>1</v>
      </c>
      <c r="Y23" s="91">
        <v>0.156</v>
      </c>
      <c r="Z23" s="91">
        <v>3.2399999999999998E-2</v>
      </c>
      <c r="AA23" s="91">
        <v>1.57E-3</v>
      </c>
      <c r="AB23" s="91">
        <v>8.8999999999999999E-3</v>
      </c>
      <c r="AC23" s="91">
        <v>1.7999999999999999E-2</v>
      </c>
      <c r="AD23" s="91">
        <v>5.2000000000000002E-6</v>
      </c>
      <c r="AE23" s="91">
        <v>8.6999999999999997E-6</v>
      </c>
      <c r="AF23" s="91">
        <v>5.4000000000000001E-4</v>
      </c>
      <c r="AG23" s="91">
        <v>1.0000000000000001E-5</v>
      </c>
      <c r="AH23" s="91">
        <v>5.8E-4</v>
      </c>
      <c r="AI23" s="91">
        <v>2.7E-6</v>
      </c>
      <c r="AJ23" s="91">
        <v>2.7E-6</v>
      </c>
      <c r="AK23" s="91">
        <v>3.9999999999999998E-7</v>
      </c>
      <c r="AL23" s="91">
        <v>3.7E-8</v>
      </c>
      <c r="AM23" s="92">
        <v>3.9000000000000002E-7</v>
      </c>
    </row>
    <row r="24" spans="1:40" ht="17.25" customHeight="1" thickBot="1" x14ac:dyDescent="0.25">
      <c r="B24" s="21"/>
      <c r="V24" s="93" t="s">
        <v>47</v>
      </c>
      <c r="W24" s="94">
        <v>1</v>
      </c>
      <c r="X24" s="95">
        <v>1</v>
      </c>
      <c r="Y24" s="95">
        <v>1E-3</v>
      </c>
      <c r="Z24" s="95">
        <v>9.9999999999999995E-7</v>
      </c>
      <c r="AA24" s="95">
        <v>1E-3</v>
      </c>
      <c r="AB24" s="95">
        <v>9.9999999999999995E-7</v>
      </c>
      <c r="AC24" s="95">
        <v>9.9999999999999995E-7</v>
      </c>
      <c r="AD24" s="95">
        <v>1.0000000000000001E-9</v>
      </c>
      <c r="AE24" s="95">
        <v>1.0000000000000001E-9</v>
      </c>
      <c r="AF24" s="95">
        <v>9.9999999999999995E-7</v>
      </c>
      <c r="AG24" s="95">
        <v>1.0000000000000001E-9</v>
      </c>
      <c r="AH24" s="95">
        <v>9.9999999999999995E-7</v>
      </c>
      <c r="AI24" s="95">
        <v>1.0000000000000001E-9</v>
      </c>
      <c r="AJ24" s="95">
        <v>1.0000000000000001E-9</v>
      </c>
      <c r="AK24" s="95">
        <v>1.0000000000000001E-9</v>
      </c>
      <c r="AL24" s="95">
        <v>1.0000000000000001E-9</v>
      </c>
      <c r="AM24" s="96">
        <v>1.0000000000000001E-9</v>
      </c>
    </row>
    <row r="25" spans="1:40" ht="33" thickBo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V25" s="97" t="s">
        <v>48</v>
      </c>
      <c r="W25" s="98">
        <v>7.6</v>
      </c>
      <c r="X25" s="99">
        <v>1</v>
      </c>
      <c r="Y25" s="99">
        <v>156</v>
      </c>
      <c r="Z25" s="99">
        <v>32400</v>
      </c>
      <c r="AA25" s="99">
        <v>1.57</v>
      </c>
      <c r="AB25" s="99">
        <v>8900</v>
      </c>
      <c r="AC25" s="99">
        <v>18000</v>
      </c>
      <c r="AD25" s="99">
        <v>5200</v>
      </c>
      <c r="AE25" s="99">
        <v>8700</v>
      </c>
      <c r="AF25" s="99">
        <v>540</v>
      </c>
      <c r="AG25" s="99">
        <v>10000</v>
      </c>
      <c r="AH25" s="99">
        <v>580</v>
      </c>
      <c r="AI25" s="99">
        <v>2700</v>
      </c>
      <c r="AJ25" s="99">
        <v>2700</v>
      </c>
      <c r="AK25" s="99">
        <v>400</v>
      </c>
      <c r="AL25" s="99">
        <v>37</v>
      </c>
      <c r="AM25" s="100">
        <v>390</v>
      </c>
    </row>
    <row r="26" spans="1:40" ht="15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40" x14ac:dyDescent="0.2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40" x14ac:dyDescent="0.2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40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W29" t="s">
        <v>2</v>
      </c>
      <c r="X29" t="s">
        <v>49</v>
      </c>
      <c r="Y29" t="s">
        <v>50</v>
      </c>
      <c r="Z29" t="s">
        <v>5</v>
      </c>
      <c r="AA29" t="s">
        <v>6</v>
      </c>
      <c r="AB29" t="s">
        <v>7</v>
      </c>
      <c r="AC29" t="s">
        <v>8</v>
      </c>
      <c r="AD29" t="s">
        <v>9</v>
      </c>
      <c r="AE29" t="s">
        <v>10</v>
      </c>
      <c r="AF29" t="s">
        <v>51</v>
      </c>
      <c r="AG29" t="s">
        <v>12</v>
      </c>
      <c r="AH29" t="s">
        <v>13</v>
      </c>
      <c r="AI29" t="s">
        <v>14</v>
      </c>
      <c r="AJ29" t="s">
        <v>15</v>
      </c>
      <c r="AK29" t="s">
        <v>16</v>
      </c>
      <c r="AL29" t="s">
        <v>17</v>
      </c>
      <c r="AM29" t="s">
        <v>18</v>
      </c>
    </row>
    <row r="30" spans="1:40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V30" t="s">
        <v>27</v>
      </c>
      <c r="W30" s="5">
        <f t="shared" ref="W30:AM30" si="9">SUM(W$6:W$15)</f>
        <v>7077575.6402558042</v>
      </c>
      <c r="X30" s="5">
        <f t="shared" si="9"/>
        <v>185086.37110767001</v>
      </c>
      <c r="Y30" s="5">
        <f t="shared" si="9"/>
        <v>962.47593607499994</v>
      </c>
      <c r="Z30" s="5">
        <f t="shared" si="9"/>
        <v>390.67209705509998</v>
      </c>
      <c r="AA30" s="5">
        <f t="shared" si="9"/>
        <v>1066.3032607199998</v>
      </c>
      <c r="AB30" s="5">
        <f t="shared" si="9"/>
        <v>693.18262678975498</v>
      </c>
      <c r="AC30" s="5">
        <f t="shared" si="9"/>
        <v>116.4431840199135</v>
      </c>
      <c r="AD30" s="5">
        <f t="shared" si="9"/>
        <v>297.11701013211149</v>
      </c>
      <c r="AE30" s="5">
        <f t="shared" si="9"/>
        <v>6.4041760598140671</v>
      </c>
      <c r="AF30" s="5">
        <f t="shared" si="9"/>
        <v>167.07491164805359</v>
      </c>
      <c r="AG30" s="5">
        <f t="shared" si="9"/>
        <v>191.62314586544571</v>
      </c>
      <c r="AH30" s="5">
        <f t="shared" si="9"/>
        <v>5.4202485400186653</v>
      </c>
      <c r="AI30" s="5">
        <f t="shared" si="9"/>
        <v>6684.8779481748297</v>
      </c>
      <c r="AJ30" s="5">
        <f t="shared" si="9"/>
        <v>0.94954319616651706</v>
      </c>
      <c r="AK30" s="5">
        <f t="shared" si="9"/>
        <v>1890.2987868778371</v>
      </c>
      <c r="AL30" s="5">
        <f t="shared" si="9"/>
        <v>1.5556994750747464</v>
      </c>
      <c r="AM30" s="5">
        <f t="shared" si="9"/>
        <v>5.1893138901440275E-2</v>
      </c>
    </row>
    <row r="31" spans="1:40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V31" t="s">
        <v>30</v>
      </c>
      <c r="W31" s="5">
        <f t="shared" ref="W31:AM31" si="10">W$17</f>
        <v>284769286.27120912</v>
      </c>
      <c r="X31" s="5">
        <f t="shared" si="10"/>
        <v>50520707.561807998</v>
      </c>
      <c r="Y31" s="5">
        <f t="shared" si="10"/>
        <v>185940.98160000003</v>
      </c>
      <c r="Z31" s="5">
        <f t="shared" si="10"/>
        <v>263475.73559999996</v>
      </c>
      <c r="AA31" s="5">
        <f t="shared" si="10"/>
        <v>36335.196479999999</v>
      </c>
      <c r="AB31" s="5">
        <f t="shared" si="10"/>
        <v>2548.7569800000001</v>
      </c>
      <c r="AC31" s="5">
        <f t="shared" si="10"/>
        <v>377.81990399999989</v>
      </c>
      <c r="AD31" s="5">
        <f t="shared" si="10"/>
        <v>132.31520280000001</v>
      </c>
      <c r="AE31" s="5">
        <f t="shared" si="10"/>
        <v>167.47650479999999</v>
      </c>
      <c r="AF31" s="5">
        <f t="shared" si="10"/>
        <v>217.25398199999998</v>
      </c>
      <c r="AG31" s="5">
        <f t="shared" si="10"/>
        <v>30.908404560000005</v>
      </c>
      <c r="AH31" s="5">
        <f t="shared" si="10"/>
        <v>2.5321721039999998</v>
      </c>
      <c r="AI31" s="5">
        <f t="shared" si="10"/>
        <v>352.99202400000007</v>
      </c>
      <c r="AJ31" s="5">
        <f t="shared" si="10"/>
        <v>233.38161000000002</v>
      </c>
      <c r="AK31" s="5">
        <f t="shared" si="10"/>
        <v>103.27118736</v>
      </c>
      <c r="AL31" s="5">
        <f t="shared" si="10"/>
        <v>1.5172864079999999</v>
      </c>
      <c r="AM31" s="5">
        <f t="shared" si="10"/>
        <v>37.671951239999999</v>
      </c>
    </row>
    <row r="32" spans="1:40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V32" t="s">
        <v>52</v>
      </c>
      <c r="W32" s="5">
        <f t="shared" ref="W32:AM32" si="11">SUM(W$19:W$21)</f>
        <v>14289.129181176377</v>
      </c>
      <c r="X32" s="5">
        <f t="shared" si="11"/>
        <v>850.81768869181485</v>
      </c>
      <c r="Y32" s="5">
        <f t="shared" si="11"/>
        <v>5.7405443922000003</v>
      </c>
      <c r="Z32" s="5">
        <f t="shared" si="11"/>
        <v>0.67487256809999996</v>
      </c>
      <c r="AA32" s="5">
        <f t="shared" si="11"/>
        <v>3.02374690095</v>
      </c>
      <c r="AB32" s="5">
        <f t="shared" si="11"/>
        <v>0.14486159206499999</v>
      </c>
      <c r="AC32" s="5">
        <f t="shared" si="11"/>
        <v>2.17014296895E-2</v>
      </c>
      <c r="AD32" s="5">
        <f t="shared" si="11"/>
        <v>2.9358651128999999E-3</v>
      </c>
      <c r="AE32" s="5">
        <f t="shared" si="11"/>
        <v>1.8932557981499998E-2</v>
      </c>
      <c r="AF32" s="5">
        <f t="shared" si="11"/>
        <v>6.229225397999999E-3</v>
      </c>
      <c r="AG32" s="5">
        <f t="shared" si="11"/>
        <v>1.7214159531E-3</v>
      </c>
      <c r="AH32" s="5">
        <f t="shared" si="11"/>
        <v>2.1425594461499999E-4</v>
      </c>
      <c r="AI32" s="5">
        <f t="shared" si="11"/>
        <v>8.0152373399999984E-4</v>
      </c>
      <c r="AJ32" s="5">
        <f t="shared" si="11"/>
        <v>3.6062420935500002E-2</v>
      </c>
      <c r="AK32" s="5">
        <f t="shared" si="11"/>
        <v>5.2091227919999982E-4</v>
      </c>
      <c r="AL32" s="5">
        <f t="shared" si="11"/>
        <v>9.4114919729999992E-5</v>
      </c>
      <c r="AM32" s="5">
        <f t="shared" si="11"/>
        <v>1.1509662934499999E-4</v>
      </c>
    </row>
    <row r="33" spans="1:10" x14ac:dyDescent="0.2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 ht="1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 x14ac:dyDescent="0.2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 x14ac:dyDescent="0.2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0" x14ac:dyDescent="0.2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x14ac:dyDescent="0.2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2">
      <c r="A39" s="7"/>
      <c r="B39" s="7"/>
      <c r="C39" s="7"/>
      <c r="D39" s="7"/>
      <c r="E39" s="7"/>
      <c r="F39" s="7"/>
      <c r="G39" s="7"/>
      <c r="H39" s="7"/>
      <c r="I39" s="7"/>
      <c r="J39" s="7"/>
    </row>
  </sheetData>
  <mergeCells count="5">
    <mergeCell ref="S6:S9"/>
    <mergeCell ref="S11:S14"/>
    <mergeCell ref="AO6:AO9"/>
    <mergeCell ref="AO11:AO14"/>
    <mergeCell ref="AR3:AS3"/>
  </mergeCells>
  <conditionalFormatting sqref="T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{5E8D2F95-8046-40F3-B17F-1C53E747D519}</x14:id>
        </ext>
      </extLst>
    </cfRule>
  </conditionalFormatting>
  <conditionalFormatting sqref="AS6:AS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8D2F95-8046-40F3-B17F-1C53E747D51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60"/>
  <sheetViews>
    <sheetView topLeftCell="A21" zoomScaleNormal="100" workbookViewId="0">
      <selection activeCell="B30" sqref="B30:I30"/>
    </sheetView>
  </sheetViews>
  <sheetFormatPr baseColWidth="10" defaultColWidth="11.5" defaultRowHeight="15" x14ac:dyDescent="0.2"/>
  <cols>
    <col min="1" max="1" width="25.5" customWidth="1"/>
    <col min="4" max="4" width="12.5" customWidth="1"/>
    <col min="6" max="6" width="11.5" customWidth="1"/>
    <col min="7" max="7" width="12.33203125" customWidth="1"/>
    <col min="13" max="13" width="12.5" customWidth="1"/>
    <col min="15" max="15" width="12.1640625" customWidth="1"/>
    <col min="16" max="16" width="11.1640625" customWidth="1"/>
    <col min="19" max="19" width="23.5" customWidth="1"/>
  </cols>
  <sheetData>
    <row r="1" spans="1:34" ht="16" thickBot="1" x14ac:dyDescent="0.25">
      <c r="A1" t="s">
        <v>53</v>
      </c>
    </row>
    <row r="2" spans="1:34" ht="48.75" customHeight="1" thickTop="1" thickBot="1" x14ac:dyDescent="0.25">
      <c r="A2" s="17"/>
      <c r="B2" s="18" t="s">
        <v>54</v>
      </c>
      <c r="C2" s="18" t="s">
        <v>55</v>
      </c>
      <c r="D2" s="18" t="s">
        <v>56</v>
      </c>
      <c r="E2" s="18" t="s">
        <v>57</v>
      </c>
      <c r="F2" s="18" t="s">
        <v>58</v>
      </c>
      <c r="G2" s="18" t="s">
        <v>59</v>
      </c>
      <c r="H2" s="18" t="s">
        <v>60</v>
      </c>
      <c r="I2" s="18" t="s">
        <v>61</v>
      </c>
      <c r="J2" s="18" t="s">
        <v>62</v>
      </c>
      <c r="K2" s="18" t="s">
        <v>63</v>
      </c>
      <c r="L2" s="18" t="s">
        <v>64</v>
      </c>
      <c r="M2" s="18" t="s">
        <v>65</v>
      </c>
      <c r="N2" s="18" t="s">
        <v>66</v>
      </c>
      <c r="O2" s="18" t="s">
        <v>67</v>
      </c>
      <c r="P2" s="19" t="s">
        <v>68</v>
      </c>
      <c r="S2" s="17"/>
      <c r="T2" s="18" t="s">
        <v>54</v>
      </c>
      <c r="U2" s="18" t="s">
        <v>55</v>
      </c>
      <c r="V2" s="18" t="s">
        <v>56</v>
      </c>
      <c r="W2" s="18" t="s">
        <v>57</v>
      </c>
      <c r="X2" s="18" t="s">
        <v>58</v>
      </c>
      <c r="Y2" s="18" t="s">
        <v>59</v>
      </c>
      <c r="Z2" s="18" t="s">
        <v>60</v>
      </c>
      <c r="AA2" s="18" t="s">
        <v>61</v>
      </c>
      <c r="AB2" s="18" t="s">
        <v>62</v>
      </c>
      <c r="AC2" s="18" t="s">
        <v>63</v>
      </c>
      <c r="AD2" s="18" t="s">
        <v>64</v>
      </c>
      <c r="AE2" s="18" t="s">
        <v>65</v>
      </c>
      <c r="AF2" s="18" t="s">
        <v>66</v>
      </c>
      <c r="AG2" s="18" t="s">
        <v>67</v>
      </c>
      <c r="AH2" s="19" t="s">
        <v>68</v>
      </c>
    </row>
    <row r="3" spans="1:34" ht="38.25" customHeight="1" thickBot="1" x14ac:dyDescent="0.25">
      <c r="A3" s="20"/>
      <c r="B3" s="22" t="s">
        <v>69</v>
      </c>
      <c r="C3" s="22" t="s">
        <v>69</v>
      </c>
      <c r="D3" s="22" t="s">
        <v>70</v>
      </c>
      <c r="E3" s="22" t="s">
        <v>71</v>
      </c>
      <c r="F3" s="22" t="s">
        <v>72</v>
      </c>
      <c r="G3" s="22" t="s">
        <v>73</v>
      </c>
      <c r="H3" s="22" t="s">
        <v>74</v>
      </c>
      <c r="I3" s="22" t="s">
        <v>75</v>
      </c>
      <c r="J3" s="22" t="s">
        <v>76</v>
      </c>
      <c r="K3" s="22" t="s">
        <v>77</v>
      </c>
      <c r="L3" s="22" t="s">
        <v>78</v>
      </c>
      <c r="M3" s="22" t="s">
        <v>79</v>
      </c>
      <c r="N3" s="22" t="s">
        <v>80</v>
      </c>
      <c r="O3" s="22" t="s">
        <v>81</v>
      </c>
      <c r="P3" s="23" t="s">
        <v>82</v>
      </c>
      <c r="S3" s="20"/>
      <c r="T3" s="22" t="s">
        <v>83</v>
      </c>
      <c r="U3" s="22" t="s">
        <v>83</v>
      </c>
      <c r="V3" s="22" t="s">
        <v>83</v>
      </c>
      <c r="W3" s="22" t="s">
        <v>83</v>
      </c>
      <c r="X3" s="22" t="s">
        <v>83</v>
      </c>
      <c r="Y3" s="22" t="s">
        <v>83</v>
      </c>
      <c r="Z3" s="22" t="s">
        <v>84</v>
      </c>
      <c r="AA3" s="22" t="s">
        <v>84</v>
      </c>
      <c r="AB3" s="22" t="s">
        <v>84</v>
      </c>
      <c r="AC3" s="22" t="s">
        <v>84</v>
      </c>
      <c r="AD3" s="22" t="s">
        <v>84</v>
      </c>
      <c r="AE3" s="22" t="s">
        <v>84</v>
      </c>
      <c r="AF3" s="22" t="s">
        <v>3</v>
      </c>
      <c r="AG3" s="22" t="s">
        <v>85</v>
      </c>
      <c r="AH3" s="23" t="s">
        <v>85</v>
      </c>
    </row>
    <row r="4" spans="1:34" ht="15.75" customHeight="1" thickTop="1" thickBot="1" x14ac:dyDescent="0.25">
      <c r="A4" s="46" t="s">
        <v>27</v>
      </c>
      <c r="B4" s="48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50"/>
      <c r="S4" s="46" t="s">
        <v>27</v>
      </c>
      <c r="T4" s="48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50"/>
    </row>
    <row r="5" spans="1:34" ht="15.75" customHeight="1" x14ac:dyDescent="0.2">
      <c r="A5" s="39" t="s">
        <v>28</v>
      </c>
      <c r="B5" s="27">
        <v>1875.7317000000003</v>
      </c>
      <c r="C5" s="28">
        <v>7577.9236499999997</v>
      </c>
      <c r="D5" s="28">
        <v>118.261878</v>
      </c>
      <c r="E5" s="28">
        <v>436284.52499999997</v>
      </c>
      <c r="F5" s="28">
        <v>1.01452407E-2</v>
      </c>
      <c r="G5" s="28">
        <v>19.218898500000002</v>
      </c>
      <c r="H5" s="28">
        <v>18241606.5</v>
      </c>
      <c r="I5" s="28">
        <v>6453425.6999999993</v>
      </c>
      <c r="J5" s="28">
        <v>1143.907185</v>
      </c>
      <c r="K5" s="28">
        <v>1361.857665</v>
      </c>
      <c r="L5" s="28">
        <v>627.87878999999998</v>
      </c>
      <c r="M5" s="28">
        <v>143.98701749999998</v>
      </c>
      <c r="N5" s="88">
        <f>'Annexe 1'!AN6*N$21</f>
        <v>1220805.5771675508</v>
      </c>
      <c r="O5" s="28">
        <v>480988.57499999995</v>
      </c>
      <c r="P5" s="29">
        <v>78836.487000000008</v>
      </c>
      <c r="Q5" s="129" t="s">
        <v>29</v>
      </c>
      <c r="R5" s="37"/>
      <c r="S5" s="39" t="s">
        <v>28</v>
      </c>
      <c r="T5" s="27">
        <f>B5*T$22</f>
        <v>2.9178048666666675E-5</v>
      </c>
      <c r="U5" s="28">
        <f t="shared" ref="U5:AH5" si="0">C5*U$22</f>
        <v>1.1787881233333334E-4</v>
      </c>
      <c r="V5" s="28">
        <f t="shared" si="0"/>
        <v>4.5990730333333329E-4</v>
      </c>
      <c r="W5" s="28">
        <f t="shared" si="0"/>
        <v>5.0899861250000001E-7</v>
      </c>
      <c r="X5" s="28">
        <f t="shared" si="0"/>
        <v>5.9180570750000017E-8</v>
      </c>
      <c r="Y5" s="28">
        <f t="shared" si="0"/>
        <v>2.2742363225000003E-7</v>
      </c>
      <c r="Z5" s="28">
        <f t="shared" si="0"/>
        <v>5.0873813683333333</v>
      </c>
      <c r="AA5" s="28">
        <f t="shared" si="0"/>
        <v>283.59220714999998</v>
      </c>
      <c r="AB5" s="28">
        <f t="shared" si="0"/>
        <v>6.9269935091666675</v>
      </c>
      <c r="AC5" s="28">
        <f t="shared" si="0"/>
        <v>7.8685109533333337</v>
      </c>
      <c r="AD5" s="28">
        <f t="shared" si="0"/>
        <v>0</v>
      </c>
      <c r="AE5" s="28">
        <f t="shared" si="0"/>
        <v>0</v>
      </c>
      <c r="AF5" s="88">
        <f t="shared" si="0"/>
        <v>6782.2532064863935</v>
      </c>
      <c r="AG5" s="28">
        <f t="shared" si="0"/>
        <v>2672.1587500000001</v>
      </c>
      <c r="AH5" s="29">
        <f t="shared" si="0"/>
        <v>437.98048333333338</v>
      </c>
    </row>
    <row r="6" spans="1:34" x14ac:dyDescent="0.2">
      <c r="A6" s="40" t="s">
        <v>31</v>
      </c>
      <c r="B6" s="30">
        <v>373.91895</v>
      </c>
      <c r="C6" s="5">
        <v>672.79095000000007</v>
      </c>
      <c r="D6" s="5">
        <v>17.125554000000001</v>
      </c>
      <c r="E6" s="5">
        <v>36434.595000000001</v>
      </c>
      <c r="F6" s="5">
        <v>3.2293318499999999E-4</v>
      </c>
      <c r="G6" s="5">
        <v>2.5365956999999999</v>
      </c>
      <c r="H6" s="5">
        <v>1319395.56</v>
      </c>
      <c r="I6" s="5">
        <v>758809.29</v>
      </c>
      <c r="J6" s="5">
        <v>126.323475</v>
      </c>
      <c r="K6" s="5">
        <v>128.03255100000001</v>
      </c>
      <c r="L6" s="5">
        <v>49.9835025</v>
      </c>
      <c r="M6" s="5">
        <v>8.3099480999999997</v>
      </c>
      <c r="N6" s="87">
        <f>'Annexe 1'!AN7*N$21</f>
        <v>194865.55707281758</v>
      </c>
      <c r="O6" s="5">
        <v>64008.384000000005</v>
      </c>
      <c r="P6" s="31">
        <v>5661.6358499999997</v>
      </c>
      <c r="Q6" s="129"/>
      <c r="R6" s="2"/>
      <c r="S6" s="40" t="s">
        <v>31</v>
      </c>
      <c r="T6" s="30">
        <f t="shared" ref="T6:T20" si="1">B6*T$22</f>
        <v>5.8165170000000008E-6</v>
      </c>
      <c r="U6" s="5">
        <f t="shared" ref="U6:U20" si="2">C6*U$22</f>
        <v>1.0465637000000001E-5</v>
      </c>
      <c r="V6" s="5">
        <f t="shared" ref="V6:V20" si="3">D6*V$22</f>
        <v>6.6599376666666665E-5</v>
      </c>
      <c r="W6" s="5">
        <f t="shared" ref="W6:W20" si="4">E6*W$22</f>
        <v>4.2507027500000012E-8</v>
      </c>
      <c r="X6" s="5">
        <f t="shared" ref="X6:X20" si="5">F6*X$22</f>
        <v>1.8837769125000003E-9</v>
      </c>
      <c r="Y6" s="5">
        <f t="shared" ref="Y6:Y20" si="6">G6*Y$22</f>
        <v>3.0016382449999996E-8</v>
      </c>
      <c r="Z6" s="5">
        <f t="shared" ref="Z6:Z20" si="7">H6*Z$22</f>
        <v>0.36796476173333337</v>
      </c>
      <c r="AA6" s="5">
        <f t="shared" ref="AA6:AA20" si="8">I6*AA$22</f>
        <v>33.345452688333339</v>
      </c>
      <c r="AB6" s="5">
        <f t="shared" ref="AB6:AB20" si="9">J6*AB$22</f>
        <v>0.76495882083333344</v>
      </c>
      <c r="AC6" s="5">
        <f t="shared" ref="AC6:AC20" si="10">K6*AC$22</f>
        <v>0.73974362800000015</v>
      </c>
      <c r="AD6" s="5">
        <f t="shared" ref="AD6:AD20" si="11">L6*AD$22</f>
        <v>0</v>
      </c>
      <c r="AE6" s="5">
        <f t="shared" ref="AE6:AE20" si="12">M6*AE$22</f>
        <v>0</v>
      </c>
      <c r="AF6" s="87">
        <f t="shared" ref="AF6:AF20" si="13">N6*AF$22</f>
        <v>1082.5864281823199</v>
      </c>
      <c r="AG6" s="5">
        <f t="shared" ref="AG6:AG20" si="14">O6*AG$22</f>
        <v>355.60213333333337</v>
      </c>
      <c r="AH6" s="31">
        <f t="shared" ref="AH6:AH20" si="15">P6*AH$22</f>
        <v>31.453532499999998</v>
      </c>
    </row>
    <row r="7" spans="1:34" x14ac:dyDescent="0.2">
      <c r="A7" s="40" t="s">
        <v>33</v>
      </c>
      <c r="B7" s="30">
        <v>1466.978235</v>
      </c>
      <c r="C7" s="5">
        <v>5268.0311999999994</v>
      </c>
      <c r="D7" s="5">
        <v>82.561506000000008</v>
      </c>
      <c r="E7" s="5">
        <v>241309.98</v>
      </c>
      <c r="F7" s="5">
        <v>3.0342968999999997E-2</v>
      </c>
      <c r="G7" s="5">
        <v>12.068932200000001</v>
      </c>
      <c r="H7" s="5">
        <v>10034860.5</v>
      </c>
      <c r="I7" s="5">
        <v>4905191.0999999996</v>
      </c>
      <c r="J7" s="5">
        <v>632.64124500000003</v>
      </c>
      <c r="K7" s="5">
        <v>757.92336</v>
      </c>
      <c r="L7" s="5">
        <v>329.10621000000003</v>
      </c>
      <c r="M7" s="5">
        <v>83.461394999999996</v>
      </c>
      <c r="N7" s="87">
        <f>'Annexe 1'!AN8*N$21</f>
        <v>888476.45576453838</v>
      </c>
      <c r="O7" s="5">
        <v>312793.48499999999</v>
      </c>
      <c r="P7" s="31">
        <v>35491.000500000002</v>
      </c>
      <c r="Q7" s="129"/>
      <c r="S7" s="40" t="s">
        <v>33</v>
      </c>
      <c r="T7" s="30">
        <f t="shared" si="1"/>
        <v>2.2819661433333336E-5</v>
      </c>
      <c r="U7" s="5">
        <f t="shared" si="2"/>
        <v>8.1947151999999996E-5</v>
      </c>
      <c r="V7" s="5">
        <f t="shared" si="3"/>
        <v>3.2107252333333337E-4</v>
      </c>
      <c r="W7" s="5">
        <f t="shared" si="4"/>
        <v>2.8152831000000007E-7</v>
      </c>
      <c r="X7" s="5">
        <f t="shared" si="5"/>
        <v>1.7700065250000002E-7</v>
      </c>
      <c r="Y7" s="5">
        <f t="shared" si="6"/>
        <v>1.428156977E-7</v>
      </c>
      <c r="Z7" s="5">
        <f t="shared" si="7"/>
        <v>2.798611095</v>
      </c>
      <c r="AA7" s="5">
        <f t="shared" si="8"/>
        <v>215.55589778333334</v>
      </c>
      <c r="AB7" s="5">
        <f t="shared" si="9"/>
        <v>3.8309942058333339</v>
      </c>
      <c r="AC7" s="5">
        <f t="shared" si="10"/>
        <v>4.3791127466666673</v>
      </c>
      <c r="AD7" s="5">
        <f t="shared" si="11"/>
        <v>0</v>
      </c>
      <c r="AE7" s="5">
        <f t="shared" si="12"/>
        <v>0</v>
      </c>
      <c r="AF7" s="87">
        <f t="shared" si="13"/>
        <v>4935.9803098029915</v>
      </c>
      <c r="AG7" s="5">
        <f t="shared" si="14"/>
        <v>1737.7415833333332</v>
      </c>
      <c r="AH7" s="31">
        <f t="shared" si="15"/>
        <v>197.17222500000003</v>
      </c>
    </row>
    <row r="8" spans="1:34" x14ac:dyDescent="0.2">
      <c r="A8" s="40" t="s">
        <v>34</v>
      </c>
      <c r="B8" s="30">
        <v>3082.4148000000005</v>
      </c>
      <c r="C8" s="5">
        <v>19931.110499999999</v>
      </c>
      <c r="D8" s="5">
        <v>155.26720499999999</v>
      </c>
      <c r="E8" s="5">
        <v>246977.31</v>
      </c>
      <c r="F8" s="5">
        <v>2.5683799499999997</v>
      </c>
      <c r="G8" s="5">
        <v>19.258569000000001</v>
      </c>
      <c r="H8" s="5">
        <v>31474408.5</v>
      </c>
      <c r="I8" s="5">
        <v>14031140.25</v>
      </c>
      <c r="J8" s="5">
        <v>1082.44155</v>
      </c>
      <c r="K8" s="5">
        <v>1769.27835</v>
      </c>
      <c r="L8" s="5">
        <v>951.06092999999998</v>
      </c>
      <c r="M8" s="5">
        <v>303.24274500000001</v>
      </c>
      <c r="N8" s="87">
        <f>'Annexe 1'!AN9*N$21</f>
        <v>916583.57548067975</v>
      </c>
      <c r="O8" s="5">
        <v>350933.07</v>
      </c>
      <c r="P8" s="31">
        <v>92414.707500000004</v>
      </c>
      <c r="Q8" s="129"/>
      <c r="S8" s="40" t="s">
        <v>34</v>
      </c>
      <c r="T8" s="30">
        <f t="shared" si="1"/>
        <v>4.7948674666666679E-5</v>
      </c>
      <c r="U8" s="5">
        <f t="shared" si="2"/>
        <v>3.1003949666666669E-4</v>
      </c>
      <c r="V8" s="5">
        <f t="shared" si="3"/>
        <v>6.0381690833333332E-4</v>
      </c>
      <c r="W8" s="5">
        <f t="shared" si="4"/>
        <v>2.8814019500000006E-7</v>
      </c>
      <c r="X8" s="5">
        <f t="shared" si="5"/>
        <v>1.4982216375000003E-5</v>
      </c>
      <c r="Y8" s="5">
        <f t="shared" si="6"/>
        <v>2.2789306650000002E-7</v>
      </c>
      <c r="Z8" s="5">
        <f t="shared" si="7"/>
        <v>8.7778628150000007</v>
      </c>
      <c r="AA8" s="5">
        <f t="shared" si="8"/>
        <v>616.59066320833335</v>
      </c>
      <c r="AB8" s="5">
        <f t="shared" si="9"/>
        <v>6.554784941666667</v>
      </c>
      <c r="AC8" s="5">
        <f t="shared" si="10"/>
        <v>10.222497133333334</v>
      </c>
      <c r="AD8" s="5">
        <f t="shared" si="11"/>
        <v>0</v>
      </c>
      <c r="AE8" s="5">
        <f t="shared" si="12"/>
        <v>0</v>
      </c>
      <c r="AF8" s="87">
        <f t="shared" si="13"/>
        <v>5092.1309748926651</v>
      </c>
      <c r="AG8" s="5">
        <f t="shared" si="14"/>
        <v>1949.6281666666669</v>
      </c>
      <c r="AH8" s="31">
        <f t="shared" si="15"/>
        <v>513.41504166666675</v>
      </c>
    </row>
    <row r="9" spans="1:34" x14ac:dyDescent="0.2">
      <c r="A9" s="40" t="s">
        <v>35</v>
      </c>
      <c r="B9" s="30">
        <v>7.3187306849999993</v>
      </c>
      <c r="C9" s="5">
        <v>26.912846099999996</v>
      </c>
      <c r="D9" s="5">
        <v>0.96255029849999996</v>
      </c>
      <c r="E9" s="5">
        <v>8890.5969599999989</v>
      </c>
      <c r="F9" s="5">
        <v>2.174526375E-4</v>
      </c>
      <c r="G9" s="5">
        <v>0.71494747799999991</v>
      </c>
      <c r="H9" s="5">
        <v>131799.0135</v>
      </c>
      <c r="I9" s="5">
        <v>116165.05949999999</v>
      </c>
      <c r="J9" s="5">
        <v>89.054880600000004</v>
      </c>
      <c r="K9" s="5">
        <v>12.357545549999998</v>
      </c>
      <c r="L9" s="5">
        <v>3.1492748700000002</v>
      </c>
      <c r="M9" s="5">
        <v>0.12994852499999998</v>
      </c>
      <c r="N9" s="87">
        <f>'Annexe 1'!AN10*N$21</f>
        <v>17299.225862695908</v>
      </c>
      <c r="O9" s="5">
        <v>19077.286200000002</v>
      </c>
      <c r="P9" s="31">
        <v>14.129979149999999</v>
      </c>
      <c r="Q9" s="7"/>
      <c r="S9" s="40" t="s">
        <v>35</v>
      </c>
      <c r="T9" s="30">
        <f t="shared" si="1"/>
        <v>1.1384692176666666E-7</v>
      </c>
      <c r="U9" s="5">
        <f t="shared" si="2"/>
        <v>4.1864427266666663E-7</v>
      </c>
      <c r="V9" s="5">
        <f t="shared" si="3"/>
        <v>3.7432511608333331E-6</v>
      </c>
      <c r="W9" s="5">
        <f t="shared" si="4"/>
        <v>1.0372363120000001E-8</v>
      </c>
      <c r="X9" s="5">
        <f t="shared" si="5"/>
        <v>1.2684737187500003E-9</v>
      </c>
      <c r="Y9" s="5">
        <f t="shared" si="6"/>
        <v>8.4602118229999991E-9</v>
      </c>
      <c r="Z9" s="5">
        <f t="shared" si="7"/>
        <v>3.6757280431666664E-2</v>
      </c>
      <c r="AA9" s="5">
        <f t="shared" si="8"/>
        <v>5.1048090035833331</v>
      </c>
      <c r="AB9" s="5">
        <f t="shared" si="9"/>
        <v>0.53927677696666676</v>
      </c>
      <c r="AC9" s="5">
        <f t="shared" si="10"/>
        <v>7.1399152066666666E-2</v>
      </c>
      <c r="AD9" s="5">
        <f t="shared" si="11"/>
        <v>0</v>
      </c>
      <c r="AE9" s="5">
        <f t="shared" si="12"/>
        <v>0</v>
      </c>
      <c r="AF9" s="87">
        <f t="shared" si="13"/>
        <v>96.106810348310603</v>
      </c>
      <c r="AG9" s="5">
        <f t="shared" si="14"/>
        <v>105.98492333333336</v>
      </c>
      <c r="AH9" s="31">
        <f t="shared" si="15"/>
        <v>7.8499884166666659E-2</v>
      </c>
    </row>
    <row r="10" spans="1:34" ht="15" customHeight="1" x14ac:dyDescent="0.2">
      <c r="A10" s="40" t="s">
        <v>36</v>
      </c>
      <c r="B10" s="30">
        <v>1343.358432</v>
      </c>
      <c r="C10" s="5">
        <v>2464.0766999999996</v>
      </c>
      <c r="D10" s="5">
        <v>79.190956800000009</v>
      </c>
      <c r="E10" s="5">
        <v>369574.14779999998</v>
      </c>
      <c r="F10" s="5">
        <v>4.2313160160000005E-3</v>
      </c>
      <c r="G10" s="5">
        <v>21.852631980000002</v>
      </c>
      <c r="H10" s="5">
        <v>11986748.82</v>
      </c>
      <c r="I10" s="5">
        <v>2699514</v>
      </c>
      <c r="J10" s="5">
        <v>978.47519399999987</v>
      </c>
      <c r="K10" s="5">
        <v>844.6813380000001</v>
      </c>
      <c r="L10" s="5">
        <v>292.14285659999996</v>
      </c>
      <c r="M10" s="5">
        <v>118.39460579999999</v>
      </c>
      <c r="N10" s="87">
        <f>'Annexe 1'!AN11*N$21</f>
        <v>857237.08563067578</v>
      </c>
      <c r="O10" s="5">
        <v>468793.38060000003</v>
      </c>
      <c r="P10" s="31">
        <v>24407.581499999997</v>
      </c>
      <c r="Q10" s="130" t="s">
        <v>37</v>
      </c>
      <c r="S10" s="40" t="s">
        <v>36</v>
      </c>
      <c r="T10" s="30">
        <f t="shared" si="1"/>
        <v>2.0896686720000002E-5</v>
      </c>
      <c r="U10" s="5">
        <f t="shared" si="2"/>
        <v>3.8330081999999998E-5</v>
      </c>
      <c r="V10" s="5">
        <f t="shared" si="3"/>
        <v>3.0796483200000002E-4</v>
      </c>
      <c r="W10" s="5">
        <f t="shared" si="4"/>
        <v>4.3116983910000004E-7</v>
      </c>
      <c r="X10" s="5">
        <f t="shared" si="5"/>
        <v>2.468267676000001E-8</v>
      </c>
      <c r="Y10" s="5">
        <f t="shared" si="6"/>
        <v>2.5858947843000003E-7</v>
      </c>
      <c r="Z10" s="5">
        <f t="shared" si="7"/>
        <v>3.3429710598</v>
      </c>
      <c r="AA10" s="5">
        <f t="shared" si="8"/>
        <v>118.62864300000001</v>
      </c>
      <c r="AB10" s="5">
        <f t="shared" si="9"/>
        <v>5.9252108969999995</v>
      </c>
      <c r="AC10" s="5">
        <f t="shared" si="10"/>
        <v>4.8803810640000007</v>
      </c>
      <c r="AD10" s="5">
        <f t="shared" si="11"/>
        <v>0</v>
      </c>
      <c r="AE10" s="5">
        <f t="shared" si="12"/>
        <v>0</v>
      </c>
      <c r="AF10" s="87">
        <f t="shared" si="13"/>
        <v>4762.4282535037546</v>
      </c>
      <c r="AG10" s="5">
        <f t="shared" si="14"/>
        <v>2604.4076700000005</v>
      </c>
      <c r="AH10" s="31">
        <f t="shared" si="15"/>
        <v>135.59767499999998</v>
      </c>
    </row>
    <row r="11" spans="1:34" x14ac:dyDescent="0.2">
      <c r="A11" s="40" t="s">
        <v>38</v>
      </c>
      <c r="B11" s="30">
        <v>671.679216</v>
      </c>
      <c r="C11" s="5">
        <v>1232.0383499999998</v>
      </c>
      <c r="D11" s="5">
        <v>39.595478400000005</v>
      </c>
      <c r="E11" s="5">
        <v>184787.07389999999</v>
      </c>
      <c r="F11" s="5">
        <v>2.1156580080000003E-3</v>
      </c>
      <c r="G11" s="5">
        <v>10.926315990000001</v>
      </c>
      <c r="H11" s="5">
        <v>5993374.4100000001</v>
      </c>
      <c r="I11" s="5">
        <v>1349757</v>
      </c>
      <c r="J11" s="5">
        <v>489.23759699999994</v>
      </c>
      <c r="K11" s="5">
        <v>422.34066900000005</v>
      </c>
      <c r="L11" s="5">
        <v>146.07142829999998</v>
      </c>
      <c r="M11" s="5">
        <v>59.197302899999997</v>
      </c>
      <c r="N11" s="87">
        <f>'Annexe 1'!AN12*N$21</f>
        <v>428618.54281533789</v>
      </c>
      <c r="O11" s="5">
        <v>234396.69030000002</v>
      </c>
      <c r="P11" s="31">
        <v>12203.790749999998</v>
      </c>
      <c r="Q11" s="130"/>
      <c r="S11" s="40" t="s">
        <v>38</v>
      </c>
      <c r="T11" s="30">
        <f t="shared" si="1"/>
        <v>1.0448343360000001E-5</v>
      </c>
      <c r="U11" s="5">
        <f t="shared" si="2"/>
        <v>1.9165040999999999E-5</v>
      </c>
      <c r="V11" s="5">
        <f t="shared" si="3"/>
        <v>1.5398241600000001E-4</v>
      </c>
      <c r="W11" s="5">
        <f t="shared" si="4"/>
        <v>2.1558491955000002E-7</v>
      </c>
      <c r="X11" s="5">
        <f t="shared" si="5"/>
        <v>1.2341338380000005E-8</v>
      </c>
      <c r="Y11" s="5">
        <f t="shared" si="6"/>
        <v>1.2929473921500002E-7</v>
      </c>
      <c r="Z11" s="5">
        <f t="shared" si="7"/>
        <v>1.6714855299</v>
      </c>
      <c r="AA11" s="5">
        <f t="shared" si="8"/>
        <v>59.314321500000005</v>
      </c>
      <c r="AB11" s="5">
        <f t="shared" si="9"/>
        <v>2.9626054484999997</v>
      </c>
      <c r="AC11" s="5">
        <f t="shared" si="10"/>
        <v>2.4401905320000004</v>
      </c>
      <c r="AD11" s="5">
        <f t="shared" si="11"/>
        <v>0</v>
      </c>
      <c r="AE11" s="5">
        <f t="shared" si="12"/>
        <v>0</v>
      </c>
      <c r="AF11" s="87">
        <f t="shared" si="13"/>
        <v>2381.2141267518773</v>
      </c>
      <c r="AG11" s="5">
        <f t="shared" si="14"/>
        <v>1302.2038350000003</v>
      </c>
      <c r="AH11" s="31">
        <f t="shared" si="15"/>
        <v>67.798837499999991</v>
      </c>
    </row>
    <row r="12" spans="1:34" x14ac:dyDescent="0.2">
      <c r="A12" s="40" t="s">
        <v>39</v>
      </c>
      <c r="B12" s="30">
        <v>1511.2782360000001</v>
      </c>
      <c r="C12" s="5">
        <v>2772.0862874999998</v>
      </c>
      <c r="D12" s="5">
        <v>89.089826400000007</v>
      </c>
      <c r="E12" s="5">
        <v>415770.91627499997</v>
      </c>
      <c r="F12" s="5">
        <v>4.7602305180000004E-3</v>
      </c>
      <c r="G12" s="5">
        <v>24.584210977500003</v>
      </c>
      <c r="H12" s="5">
        <v>13485092.422499999</v>
      </c>
      <c r="I12" s="5">
        <v>3036953.2500000005</v>
      </c>
      <c r="J12" s="5">
        <v>1100.7845932499999</v>
      </c>
      <c r="K12" s="5">
        <v>950.26650525000002</v>
      </c>
      <c r="L12" s="5">
        <v>328.66071367499995</v>
      </c>
      <c r="M12" s="5">
        <v>133.19393152500001</v>
      </c>
      <c r="N12" s="87">
        <f>'Annexe 1'!AN13*N$21</f>
        <v>964391.72133451037</v>
      </c>
      <c r="O12" s="5">
        <v>527392.55317500001</v>
      </c>
      <c r="P12" s="31">
        <v>27458.5291875</v>
      </c>
      <c r="Q12" s="130"/>
      <c r="S12" s="40" t="s">
        <v>39</v>
      </c>
      <c r="T12" s="30">
        <f t="shared" si="1"/>
        <v>2.3508772560000005E-5</v>
      </c>
      <c r="U12" s="5">
        <f t="shared" si="2"/>
        <v>4.3121342250000004E-5</v>
      </c>
      <c r="V12" s="5">
        <f t="shared" si="3"/>
        <v>3.4646043600000003E-4</v>
      </c>
      <c r="W12" s="5">
        <f t="shared" si="4"/>
        <v>4.8506606898750009E-7</v>
      </c>
      <c r="X12" s="5">
        <f t="shared" si="5"/>
        <v>2.7768011355000009E-8</v>
      </c>
      <c r="Y12" s="5">
        <f t="shared" si="6"/>
        <v>2.9091316323375006E-7</v>
      </c>
      <c r="Z12" s="5">
        <f t="shared" si="7"/>
        <v>3.760842442275</v>
      </c>
      <c r="AA12" s="5">
        <f t="shared" si="8"/>
        <v>133.45722337500004</v>
      </c>
      <c r="AB12" s="5">
        <f t="shared" si="9"/>
        <v>6.6658622591250003</v>
      </c>
      <c r="AC12" s="5">
        <f t="shared" si="10"/>
        <v>5.4904286970000005</v>
      </c>
      <c r="AD12" s="5">
        <f t="shared" si="11"/>
        <v>0</v>
      </c>
      <c r="AE12" s="5">
        <f t="shared" si="12"/>
        <v>0</v>
      </c>
      <c r="AF12" s="87">
        <f t="shared" si="13"/>
        <v>5357.7317851917242</v>
      </c>
      <c r="AG12" s="5">
        <f t="shared" si="14"/>
        <v>2929.9586287500001</v>
      </c>
      <c r="AH12" s="31">
        <f t="shared" si="15"/>
        <v>152.54738437500001</v>
      </c>
    </row>
    <row r="13" spans="1:34" x14ac:dyDescent="0.2">
      <c r="A13" s="40" t="s">
        <v>40</v>
      </c>
      <c r="B13" s="30">
        <v>2071.0109159999997</v>
      </c>
      <c r="C13" s="5">
        <v>3798.7849124999993</v>
      </c>
      <c r="D13" s="5">
        <v>122.08605840000001</v>
      </c>
      <c r="E13" s="5">
        <v>569760.14452500001</v>
      </c>
      <c r="F13" s="5">
        <v>6.5232788580000013E-3</v>
      </c>
      <c r="G13" s="5">
        <v>33.689474302500003</v>
      </c>
      <c r="H13" s="5">
        <v>18479571.0975</v>
      </c>
      <c r="I13" s="5">
        <v>4161750.75</v>
      </c>
      <c r="J13" s="5">
        <v>1508.4825907499999</v>
      </c>
      <c r="K13" s="5">
        <v>1302.21706275</v>
      </c>
      <c r="L13" s="5">
        <v>450.3869039249999</v>
      </c>
      <c r="M13" s="5">
        <v>182.52501727499998</v>
      </c>
      <c r="N13" s="87">
        <f>'Annexe 1'!AN14*N$21</f>
        <v>1321573.8403472919</v>
      </c>
      <c r="O13" s="5">
        <v>722723.128425</v>
      </c>
      <c r="P13" s="31">
        <v>37628.354812499994</v>
      </c>
      <c r="Q13" s="130"/>
      <c r="S13" s="40" t="s">
        <v>40</v>
      </c>
      <c r="T13" s="30">
        <f t="shared" si="1"/>
        <v>3.2215725359999999E-5</v>
      </c>
      <c r="U13" s="5">
        <f t="shared" si="2"/>
        <v>5.9092209749999998E-5</v>
      </c>
      <c r="V13" s="5">
        <f t="shared" si="3"/>
        <v>4.7477911600000001E-4</v>
      </c>
      <c r="W13" s="5">
        <f t="shared" si="4"/>
        <v>6.6472016861250018E-7</v>
      </c>
      <c r="X13" s="5">
        <f t="shared" si="5"/>
        <v>3.8052460005000019E-8</v>
      </c>
      <c r="Y13" s="5">
        <f t="shared" si="6"/>
        <v>3.9865877924625002E-7</v>
      </c>
      <c r="Z13" s="5">
        <f t="shared" si="7"/>
        <v>5.1537470505250003</v>
      </c>
      <c r="AA13" s="5">
        <f t="shared" si="8"/>
        <v>182.88582462500003</v>
      </c>
      <c r="AB13" s="5">
        <f t="shared" si="9"/>
        <v>9.1347001328750004</v>
      </c>
      <c r="AC13" s="5">
        <f t="shared" si="10"/>
        <v>7.5239208070000005</v>
      </c>
      <c r="AD13" s="5">
        <f t="shared" si="11"/>
        <v>0</v>
      </c>
      <c r="AE13" s="5">
        <f t="shared" si="12"/>
        <v>0</v>
      </c>
      <c r="AF13" s="87">
        <f t="shared" si="13"/>
        <v>7342.076890818289</v>
      </c>
      <c r="AG13" s="5">
        <f t="shared" si="14"/>
        <v>4015.12849125</v>
      </c>
      <c r="AH13" s="31">
        <f t="shared" si="15"/>
        <v>209.04641562499998</v>
      </c>
    </row>
    <row r="14" spans="1:34" ht="16" thickBot="1" x14ac:dyDescent="0.25">
      <c r="A14" s="40" t="s">
        <v>41</v>
      </c>
      <c r="B14" s="30">
        <v>433.06717500000002</v>
      </c>
      <c r="C14" s="5">
        <v>441.25409999999999</v>
      </c>
      <c r="D14" s="5">
        <v>27.625944</v>
      </c>
      <c r="E14" s="5">
        <v>77695.936499999996</v>
      </c>
      <c r="F14" s="5">
        <v>1.1603987699999999E-3</v>
      </c>
      <c r="G14" s="5">
        <v>8.8807462499999996</v>
      </c>
      <c r="H14" s="5">
        <v>1179793.3049999999</v>
      </c>
      <c r="I14" s="5">
        <v>631645.26</v>
      </c>
      <c r="J14" s="5">
        <v>252.94337999999999</v>
      </c>
      <c r="K14" s="5">
        <v>702.57701999999995</v>
      </c>
      <c r="L14" s="5">
        <v>141.9704145</v>
      </c>
      <c r="M14" s="5">
        <v>3.3394436999999999</v>
      </c>
      <c r="N14" s="87">
        <f>'Annexe 1'!AN15*N$21</f>
        <v>465284.88035514421</v>
      </c>
      <c r="O14" s="5">
        <v>183712.34999999998</v>
      </c>
      <c r="P14" s="31">
        <v>2238.8553000000002</v>
      </c>
      <c r="Q14" s="7"/>
      <c r="S14" s="40" t="s">
        <v>41</v>
      </c>
      <c r="T14" s="30">
        <f t="shared" si="1"/>
        <v>6.7366005000000006E-6</v>
      </c>
      <c r="U14" s="5">
        <f t="shared" si="2"/>
        <v>6.8639526666666673E-6</v>
      </c>
      <c r="V14" s="5">
        <f t="shared" si="3"/>
        <v>1.0743422666666667E-4</v>
      </c>
      <c r="W14" s="5">
        <f t="shared" si="4"/>
        <v>9.0645259250000016E-8</v>
      </c>
      <c r="X14" s="5">
        <f t="shared" si="5"/>
        <v>6.7689928250000015E-9</v>
      </c>
      <c r="Y14" s="5">
        <f t="shared" si="6"/>
        <v>1.0508883062499999E-7</v>
      </c>
      <c r="Z14" s="5">
        <f t="shared" si="7"/>
        <v>0.32903124395</v>
      </c>
      <c r="AA14" s="5">
        <f t="shared" si="8"/>
        <v>27.75730003666667</v>
      </c>
      <c r="AB14" s="5">
        <f t="shared" si="9"/>
        <v>1.5317126900000002</v>
      </c>
      <c r="AC14" s="5">
        <f t="shared" si="10"/>
        <v>4.0593338933333332</v>
      </c>
      <c r="AD14" s="5">
        <f t="shared" si="11"/>
        <v>0</v>
      </c>
      <c r="AE14" s="5">
        <f t="shared" si="12"/>
        <v>0</v>
      </c>
      <c r="AF14" s="87">
        <f t="shared" si="13"/>
        <v>2584.9160019730234</v>
      </c>
      <c r="AG14" s="5">
        <f t="shared" si="14"/>
        <v>1020.6241666666666</v>
      </c>
      <c r="AH14" s="31">
        <f t="shared" si="15"/>
        <v>12.438085000000001</v>
      </c>
    </row>
    <row r="15" spans="1:34" ht="16" thickBot="1" x14ac:dyDescent="0.25">
      <c r="A15" s="47" t="s">
        <v>30</v>
      </c>
      <c r="B15" s="43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5"/>
      <c r="Q15" s="7"/>
      <c r="S15" s="47" t="s">
        <v>30</v>
      </c>
      <c r="T15" s="43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5"/>
    </row>
    <row r="16" spans="1:34" ht="16" thickBot="1" x14ac:dyDescent="0.25">
      <c r="A16" s="40" t="s">
        <v>42</v>
      </c>
      <c r="B16" s="30">
        <v>163238.43</v>
      </c>
      <c r="C16" s="5">
        <v>539585.95499999996</v>
      </c>
      <c r="D16" s="5">
        <v>28762.273499999996</v>
      </c>
      <c r="E16" s="5">
        <v>25686069</v>
      </c>
      <c r="F16" s="5">
        <v>2.0662796999999999</v>
      </c>
      <c r="G16" s="5">
        <v>4939.2296999999999</v>
      </c>
      <c r="H16" s="5">
        <v>913011855</v>
      </c>
      <c r="I16" s="5">
        <v>330840585</v>
      </c>
      <c r="J16" s="5">
        <v>650528.79</v>
      </c>
      <c r="K16" s="5">
        <v>498108.375</v>
      </c>
      <c r="L16" s="5">
        <v>219808.005</v>
      </c>
      <c r="M16" s="5">
        <v>31061.746499999997</v>
      </c>
      <c r="N16" s="103">
        <f>'Annexe 1'!AN17*N21</f>
        <v>335779951.64390635</v>
      </c>
      <c r="O16" s="5">
        <v>699204405</v>
      </c>
      <c r="P16" s="31">
        <v>337760.02500000002</v>
      </c>
      <c r="Q16" s="7"/>
      <c r="S16" s="40" t="s">
        <v>42</v>
      </c>
      <c r="T16" s="30">
        <f t="shared" si="1"/>
        <v>2.539264466666667E-3</v>
      </c>
      <c r="U16" s="5">
        <f t="shared" si="2"/>
        <v>8.3935593000000006E-3</v>
      </c>
      <c r="V16" s="5">
        <f t="shared" si="3"/>
        <v>0.11185328583333332</v>
      </c>
      <c r="W16" s="5">
        <f t="shared" si="4"/>
        <v>2.9967080500000007E-5</v>
      </c>
      <c r="X16" s="5">
        <f t="shared" si="5"/>
        <v>1.2053298250000002E-5</v>
      </c>
      <c r="Y16" s="5">
        <f t="shared" si="6"/>
        <v>5.8447551450000001E-5</v>
      </c>
      <c r="Z16" s="5">
        <f t="shared" si="7"/>
        <v>254.62886178333332</v>
      </c>
      <c r="AA16" s="5">
        <f t="shared" si="8"/>
        <v>14538.605707500001</v>
      </c>
      <c r="AB16" s="5">
        <f t="shared" si="9"/>
        <v>3939.3132283333339</v>
      </c>
      <c r="AC16" s="5">
        <f t="shared" si="10"/>
        <v>2877.9595000000004</v>
      </c>
      <c r="AD16" s="5">
        <f t="shared" si="11"/>
        <v>0</v>
      </c>
      <c r="AE16" s="5">
        <f t="shared" si="12"/>
        <v>0</v>
      </c>
      <c r="AF16" s="103">
        <f t="shared" si="13"/>
        <v>1865444.1757994797</v>
      </c>
      <c r="AG16" s="5">
        <f t="shared" si="14"/>
        <v>3884468.916666667</v>
      </c>
      <c r="AH16" s="31">
        <f t="shared" si="15"/>
        <v>1876.4445833333336</v>
      </c>
    </row>
    <row r="17" spans="1:34" ht="16" thickBot="1" x14ac:dyDescent="0.25">
      <c r="A17" s="47" t="s">
        <v>32</v>
      </c>
      <c r="B17" s="43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5"/>
      <c r="S17" s="47" t="s">
        <v>32</v>
      </c>
      <c r="T17" s="43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5"/>
    </row>
    <row r="18" spans="1:34" ht="15" customHeight="1" x14ac:dyDescent="0.2">
      <c r="A18" s="40" t="s">
        <v>86</v>
      </c>
      <c r="B18" s="30">
        <v>3.2226161999999996E-2</v>
      </c>
      <c r="C18" s="5">
        <v>3.1374302999999999E-2</v>
      </c>
      <c r="D18" s="5">
        <v>3.3623867999999996E-3</v>
      </c>
      <c r="E18" s="5">
        <v>17.646608999999998</v>
      </c>
      <c r="F18" s="5">
        <v>3.6839863500000001E-7</v>
      </c>
      <c r="G18" s="5">
        <v>1.23117792E-3</v>
      </c>
      <c r="H18" s="5">
        <v>196.03036500000002</v>
      </c>
      <c r="I18" s="5">
        <v>32.798785499999994</v>
      </c>
      <c r="J18" s="5">
        <v>0.40458991499999997</v>
      </c>
      <c r="K18" s="5">
        <v>6.36915225E-2</v>
      </c>
      <c r="L18" s="5">
        <v>3.83671545E-2</v>
      </c>
      <c r="M18" s="5">
        <v>6.0547477499999999E-4</v>
      </c>
      <c r="N18" s="103">
        <f>'Annexe 1'!AN19*N$21</f>
        <v>3386.3883013805503</v>
      </c>
      <c r="O18" s="5">
        <v>37.460686499999994</v>
      </c>
      <c r="P18" s="31">
        <v>4.1243919000000004E-2</v>
      </c>
      <c r="Q18" s="7"/>
      <c r="S18" s="40" t="s">
        <v>86</v>
      </c>
      <c r="T18" s="30">
        <f>B18*T$22</f>
        <v>5.0129585333333328E-10</v>
      </c>
      <c r="U18" s="5">
        <f t="shared" si="2"/>
        <v>4.8804471333333334E-10</v>
      </c>
      <c r="V18" s="5">
        <f t="shared" si="3"/>
        <v>1.3075948666666665E-8</v>
      </c>
      <c r="W18" s="5">
        <f t="shared" si="4"/>
        <v>2.05877105E-11</v>
      </c>
      <c r="X18" s="5">
        <f>F18*X$22</f>
        <v>2.1489920375000005E-12</v>
      </c>
      <c r="Y18" s="5">
        <f t="shared" si="6"/>
        <v>1.4568938719999999E-11</v>
      </c>
      <c r="Z18" s="5">
        <f t="shared" si="7"/>
        <v>5.4670690683333338E-5</v>
      </c>
      <c r="AA18" s="5">
        <f t="shared" si="8"/>
        <v>1.4413244072499999E-3</v>
      </c>
      <c r="AB18" s="5">
        <f t="shared" si="9"/>
        <v>2.4500167075000002E-3</v>
      </c>
      <c r="AC18" s="5">
        <f t="shared" si="10"/>
        <v>3.6799546333333337E-4</v>
      </c>
      <c r="AD18" s="5">
        <f t="shared" si="11"/>
        <v>0</v>
      </c>
      <c r="AE18" s="5">
        <f t="shared" si="12"/>
        <v>0</v>
      </c>
      <c r="AF18" s="103">
        <f t="shared" si="13"/>
        <v>18.813268341003059</v>
      </c>
      <c r="AG18" s="5">
        <f t="shared" si="14"/>
        <v>0.20811492499999998</v>
      </c>
      <c r="AH18" s="31">
        <f t="shared" si="15"/>
        <v>2.2913288333333337E-4</v>
      </c>
    </row>
    <row r="19" spans="1:34" x14ac:dyDescent="0.2">
      <c r="A19" s="40" t="s">
        <v>87</v>
      </c>
      <c r="B19" s="30">
        <v>3.8842653</v>
      </c>
      <c r="C19" s="5">
        <v>20.254407</v>
      </c>
      <c r="D19" s="5">
        <v>0.18201447000000001</v>
      </c>
      <c r="E19" s="5">
        <v>932.09779500000013</v>
      </c>
      <c r="F19" s="5">
        <v>1.0186540199999999E-5</v>
      </c>
      <c r="G19" s="5">
        <v>3.8961645000000003E-2</v>
      </c>
      <c r="H19" s="5">
        <v>13362412.5</v>
      </c>
      <c r="I19" s="5">
        <v>15056.264999999999</v>
      </c>
      <c r="J19" s="5">
        <v>8.6755253999999997</v>
      </c>
      <c r="K19" s="5">
        <v>2.4976731000000001</v>
      </c>
      <c r="L19" s="5">
        <v>0.78030682500000004</v>
      </c>
      <c r="M19" s="5">
        <v>1.6167451499999999E-2</v>
      </c>
      <c r="N19" s="103">
        <f>'Annexe 1'!AN20*N$21</f>
        <v>3113.619022084979</v>
      </c>
      <c r="O19" s="5">
        <v>1521.6089999999999</v>
      </c>
      <c r="P19" s="31">
        <v>1.4095339199999999</v>
      </c>
      <c r="Q19" s="2"/>
      <c r="S19" s="40" t="s">
        <v>87</v>
      </c>
      <c r="T19" s="30">
        <f t="shared" si="1"/>
        <v>6.042190466666667E-8</v>
      </c>
      <c r="U19" s="5">
        <f t="shared" si="2"/>
        <v>3.1506855333333337E-7</v>
      </c>
      <c r="V19" s="5">
        <f t="shared" si="3"/>
        <v>7.0783404999999998E-7</v>
      </c>
      <c r="W19" s="5">
        <f t="shared" si="4"/>
        <v>1.0874474275000004E-9</v>
      </c>
      <c r="X19" s="5">
        <f t="shared" si="5"/>
        <v>5.9421484500000014E-11</v>
      </c>
      <c r="Y19" s="5">
        <f t="shared" si="6"/>
        <v>4.6104613250000006E-10</v>
      </c>
      <c r="Z19" s="5">
        <f t="shared" si="7"/>
        <v>3.7266283750000002</v>
      </c>
      <c r="AA19" s="5">
        <f t="shared" si="8"/>
        <v>0.66163920083333339</v>
      </c>
      <c r="AB19" s="5">
        <f t="shared" si="9"/>
        <v>5.2535126033333338E-2</v>
      </c>
      <c r="AC19" s="5">
        <f t="shared" si="10"/>
        <v>1.4431000133333335E-2</v>
      </c>
      <c r="AD19" s="5">
        <f t="shared" si="11"/>
        <v>0</v>
      </c>
      <c r="AE19" s="5">
        <f t="shared" si="12"/>
        <v>0</v>
      </c>
      <c r="AF19" s="103">
        <f t="shared" si="13"/>
        <v>17.297883456027662</v>
      </c>
      <c r="AG19" s="5">
        <f t="shared" si="14"/>
        <v>8.453383333333333</v>
      </c>
      <c r="AH19" s="31">
        <f t="shared" si="15"/>
        <v>7.8307439999999989E-3</v>
      </c>
    </row>
    <row r="20" spans="1:34" ht="16" thickBot="1" x14ac:dyDescent="0.25">
      <c r="A20" s="41" t="s">
        <v>45</v>
      </c>
      <c r="B20" s="32">
        <v>5.2276647000000001</v>
      </c>
      <c r="C20" s="33">
        <v>19.223461499999999</v>
      </c>
      <c r="D20" s="33">
        <v>0.68753591999999997</v>
      </c>
      <c r="E20" s="33">
        <v>6350.4263999999994</v>
      </c>
      <c r="F20" s="33">
        <v>1.5532331999999999E-4</v>
      </c>
      <c r="G20" s="33">
        <v>0.51067677</v>
      </c>
      <c r="H20" s="33">
        <v>94142.15400000001</v>
      </c>
      <c r="I20" s="33">
        <v>82975.039499999999</v>
      </c>
      <c r="J20" s="33">
        <v>63.610629000000003</v>
      </c>
      <c r="K20" s="33">
        <v>8.8268182499999988</v>
      </c>
      <c r="L20" s="33">
        <v>2.2494820500000001</v>
      </c>
      <c r="M20" s="33">
        <v>9.2820376499999996E-2</v>
      </c>
      <c r="N20" s="104">
        <f>'Annexe 1'!AN21*N$21</f>
        <v>8649.6129006745523</v>
      </c>
      <c r="O20" s="33">
        <v>13626.633000000002</v>
      </c>
      <c r="P20" s="34">
        <v>10.09284225</v>
      </c>
      <c r="Q20" s="7"/>
      <c r="S20" s="41" t="s">
        <v>45</v>
      </c>
      <c r="T20" s="32">
        <f t="shared" si="1"/>
        <v>8.1319228666666673E-8</v>
      </c>
      <c r="U20" s="33">
        <f t="shared" si="2"/>
        <v>2.9903162333333336E-7</v>
      </c>
      <c r="V20" s="33">
        <f t="shared" si="3"/>
        <v>2.6737508E-6</v>
      </c>
      <c r="W20" s="33">
        <f t="shared" si="4"/>
        <v>7.408830800000001E-9</v>
      </c>
      <c r="X20" s="33">
        <f t="shared" si="5"/>
        <v>9.0605270000000013E-10</v>
      </c>
      <c r="Y20" s="33">
        <f t="shared" si="6"/>
        <v>6.0430084450000002E-9</v>
      </c>
      <c r="Z20" s="33">
        <f t="shared" si="7"/>
        <v>2.6255200726666671E-2</v>
      </c>
      <c r="AA20" s="33">
        <f t="shared" si="8"/>
        <v>3.6462920135833334</v>
      </c>
      <c r="AB20" s="33">
        <f t="shared" si="9"/>
        <v>0.38519769783333341</v>
      </c>
      <c r="AC20" s="33">
        <f t="shared" si="10"/>
        <v>5.099939433333333E-2</v>
      </c>
      <c r="AD20" s="33">
        <f t="shared" si="11"/>
        <v>0</v>
      </c>
      <c r="AE20" s="33">
        <f t="shared" si="12"/>
        <v>0</v>
      </c>
      <c r="AF20" s="104">
        <f t="shared" si="13"/>
        <v>48.053405003747514</v>
      </c>
      <c r="AG20" s="33">
        <f t="shared" si="14"/>
        <v>75.703516666666673</v>
      </c>
      <c r="AH20" s="34">
        <f t="shared" si="15"/>
        <v>5.6071345833333334E-2</v>
      </c>
    </row>
    <row r="21" spans="1:34" ht="16" thickBot="1" x14ac:dyDescent="0.25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101" t="s">
        <v>88</v>
      </c>
      <c r="N21" s="102">
        <v>1</v>
      </c>
      <c r="O21" s="5"/>
      <c r="P21" s="5"/>
      <c r="Q21" s="2"/>
    </row>
    <row r="22" spans="1:34" ht="16" thickBot="1" x14ac:dyDescent="0.25">
      <c r="M22" s="60" t="s">
        <v>89</v>
      </c>
      <c r="N22" s="61">
        <f>30</f>
        <v>30</v>
      </c>
      <c r="S22" s="111" t="s">
        <v>46</v>
      </c>
      <c r="T22" s="112">
        <f>T23*T24*T25</f>
        <v>1.5555555555555557E-8</v>
      </c>
      <c r="U22" s="112">
        <f t="shared" ref="U22:AG22" si="16">U23*U24*U25</f>
        <v>1.5555555555555557E-8</v>
      </c>
      <c r="V22" s="112">
        <f t="shared" si="16"/>
        <v>3.8888888888888887E-6</v>
      </c>
      <c r="W22" s="112">
        <f t="shared" si="16"/>
        <v>1.1666666666666669E-12</v>
      </c>
      <c r="X22" s="112">
        <f t="shared" si="16"/>
        <v>5.8333333333333348E-6</v>
      </c>
      <c r="Y22" s="112">
        <f t="shared" si="16"/>
        <v>1.1833333333333333E-8</v>
      </c>
      <c r="Z22" s="112">
        <f>Z23*Z24*Z25</f>
        <v>2.7888888888888889E-7</v>
      </c>
      <c r="AA22" s="112">
        <f t="shared" si="16"/>
        <v>4.3944444444444448E-5</v>
      </c>
      <c r="AB22" s="112">
        <f t="shared" si="16"/>
        <v>6.0555555555555562E-3</v>
      </c>
      <c r="AC22" s="112">
        <f t="shared" si="16"/>
        <v>5.7777777777777784E-3</v>
      </c>
      <c r="AD22" s="112">
        <f t="shared" si="16"/>
        <v>0</v>
      </c>
      <c r="AE22" s="112">
        <f t="shared" si="16"/>
        <v>0</v>
      </c>
      <c r="AF22" s="112">
        <f t="shared" si="16"/>
        <v>5.5555555555555558E-3</v>
      </c>
      <c r="AG22" s="112">
        <f t="shared" si="16"/>
        <v>5.5555555555555558E-3</v>
      </c>
      <c r="AH22" s="112">
        <f>AH23*AH24*AH25</f>
        <v>5.5555555555555558E-3</v>
      </c>
    </row>
    <row r="23" spans="1:34" ht="15.75" customHeight="1" thickBot="1" x14ac:dyDescent="0.25">
      <c r="M23" s="62" t="s">
        <v>90</v>
      </c>
      <c r="N23" s="63">
        <f>500</f>
        <v>500</v>
      </c>
      <c r="S23" s="111" t="s">
        <v>91</v>
      </c>
      <c r="T23" s="109">
        <f>2.8*10^-6</f>
        <v>2.7999999999999999E-6</v>
      </c>
      <c r="U23" s="109">
        <f>2.8*10^-6</f>
        <v>2.7999999999999999E-6</v>
      </c>
      <c r="V23" s="109">
        <f>7*10^-4</f>
        <v>6.9999999999999999E-4</v>
      </c>
      <c r="W23" s="109">
        <f>2.1*10^-10</f>
        <v>2.1000000000000002E-10</v>
      </c>
      <c r="X23" s="109">
        <f>1.05*10^-3</f>
        <v>1.0500000000000002E-3</v>
      </c>
      <c r="Y23" s="109">
        <f>2.13*10^-6</f>
        <v>2.1299999999999999E-6</v>
      </c>
      <c r="Z23" s="109">
        <f>5.02*10^-5</f>
        <v>5.02E-5</v>
      </c>
      <c r="AA23" s="109">
        <f>7.91*10^-3</f>
        <v>7.9100000000000004E-3</v>
      </c>
      <c r="AB23" s="109">
        <f>1.09</f>
        <v>1.0900000000000001</v>
      </c>
      <c r="AC23" s="109">
        <f>1.04</f>
        <v>1.04</v>
      </c>
      <c r="AD23" s="109"/>
      <c r="AE23" s="109"/>
      <c r="AF23" s="109">
        <v>1</v>
      </c>
      <c r="AG23" s="109">
        <v>1</v>
      </c>
      <c r="AH23" s="110">
        <v>1</v>
      </c>
    </row>
    <row r="24" spans="1:34" ht="15" customHeight="1" thickBot="1" x14ac:dyDescent="0.25">
      <c r="S24" s="111" t="s">
        <v>92</v>
      </c>
      <c r="T24" s="109">
        <v>1</v>
      </c>
      <c r="U24" s="109">
        <v>1</v>
      </c>
      <c r="V24" s="109">
        <v>1</v>
      </c>
      <c r="W24" s="109">
        <v>1</v>
      </c>
      <c r="X24" s="109">
        <v>1</v>
      </c>
      <c r="Y24" s="109">
        <v>1</v>
      </c>
      <c r="Z24" s="109">
        <v>1</v>
      </c>
      <c r="AA24" s="109">
        <v>1</v>
      </c>
      <c r="AB24" s="109">
        <v>1</v>
      </c>
      <c r="AC24" s="109">
        <v>1</v>
      </c>
      <c r="AD24" s="109">
        <v>1</v>
      </c>
      <c r="AE24" s="109">
        <v>1</v>
      </c>
      <c r="AF24" s="109">
        <v>1</v>
      </c>
      <c r="AG24" s="109">
        <v>1</v>
      </c>
      <c r="AH24" s="110">
        <v>1</v>
      </c>
    </row>
    <row r="25" spans="1:34" ht="15" customHeight="1" thickBot="1" x14ac:dyDescent="0.25">
      <c r="A25" s="64"/>
      <c r="B25" s="133" t="s">
        <v>93</v>
      </c>
      <c r="C25" s="134"/>
      <c r="D25" s="133" t="s">
        <v>94</v>
      </c>
      <c r="E25" s="135"/>
      <c r="F25" s="134" t="s">
        <v>95</v>
      </c>
      <c r="G25" s="134"/>
      <c r="H25" s="133" t="s">
        <v>96</v>
      </c>
      <c r="I25" s="135"/>
      <c r="S25" s="111" t="s">
        <v>97</v>
      </c>
      <c r="T25" s="109">
        <f>1/180</f>
        <v>5.5555555555555558E-3</v>
      </c>
      <c r="U25" s="109">
        <f>1/180</f>
        <v>5.5555555555555558E-3</v>
      </c>
      <c r="V25" s="109">
        <f t="shared" ref="V25:AH25" si="17">1/180</f>
        <v>5.5555555555555558E-3</v>
      </c>
      <c r="W25" s="109">
        <f t="shared" si="17"/>
        <v>5.5555555555555558E-3</v>
      </c>
      <c r="X25" s="109">
        <f t="shared" si="17"/>
        <v>5.5555555555555558E-3</v>
      </c>
      <c r="Y25" s="109">
        <f t="shared" si="17"/>
        <v>5.5555555555555558E-3</v>
      </c>
      <c r="Z25" s="109">
        <f t="shared" si="17"/>
        <v>5.5555555555555558E-3</v>
      </c>
      <c r="AA25" s="109">
        <f t="shared" si="17"/>
        <v>5.5555555555555558E-3</v>
      </c>
      <c r="AB25" s="109">
        <f t="shared" si="17"/>
        <v>5.5555555555555558E-3</v>
      </c>
      <c r="AC25" s="109">
        <f t="shared" si="17"/>
        <v>5.5555555555555558E-3</v>
      </c>
      <c r="AD25" s="109">
        <f t="shared" si="17"/>
        <v>5.5555555555555558E-3</v>
      </c>
      <c r="AE25" s="109">
        <f t="shared" si="17"/>
        <v>5.5555555555555558E-3</v>
      </c>
      <c r="AF25" s="109">
        <f t="shared" si="17"/>
        <v>5.5555555555555558E-3</v>
      </c>
      <c r="AG25" s="109">
        <f t="shared" si="17"/>
        <v>5.5555555555555558E-3</v>
      </c>
      <c r="AH25" s="109">
        <f t="shared" si="17"/>
        <v>5.5555555555555558E-3</v>
      </c>
    </row>
    <row r="26" spans="1:34" ht="16" thickBot="1" x14ac:dyDescent="0.25">
      <c r="A26" s="64"/>
      <c r="B26" s="80" t="s">
        <v>98</v>
      </c>
      <c r="C26" s="81" t="s">
        <v>99</v>
      </c>
      <c r="D26" s="80" t="s">
        <v>98</v>
      </c>
      <c r="E26" s="81" t="s">
        <v>99</v>
      </c>
      <c r="F26" s="80" t="s">
        <v>98</v>
      </c>
      <c r="G26" s="81" t="s">
        <v>99</v>
      </c>
      <c r="H26" s="80" t="s">
        <v>98</v>
      </c>
      <c r="I26" s="82" t="s">
        <v>99</v>
      </c>
    </row>
    <row r="27" spans="1:34" x14ac:dyDescent="0.2">
      <c r="A27" s="65" t="s">
        <v>27</v>
      </c>
      <c r="B27" s="66">
        <f>SUM(T5:Y14)</f>
        <v>3.7529346866952344E-3</v>
      </c>
      <c r="C27" s="67" cm="1">
        <f t="array" ref="C27:C29">'[1]Annexe 2'!$B$27:$B$29</f>
        <v>4.1118700122826073E-3</v>
      </c>
      <c r="D27" s="66">
        <f>SUM(Z5:AE14)</f>
        <v>1800.0716153058986</v>
      </c>
      <c r="E27" s="67" cm="1">
        <f t="array" ref="E27:E29">'[1]Annexe 2'!$D$27:$D$29</f>
        <v>2054.8920225674806</v>
      </c>
      <c r="F27" s="66">
        <f>SUM(AF5:AF14)</f>
        <v>40417.424787951357</v>
      </c>
      <c r="G27" s="67" cm="1">
        <f t="array" ref="G27:G29">'[1]Annexe 2'!$F$27:$F$29</f>
        <v>1364.0469186884284</v>
      </c>
      <c r="H27" s="66">
        <f>SUM(AG5:AH14)</f>
        <v>20450.966528217505</v>
      </c>
      <c r="I27" s="68" cm="1">
        <f t="array" ref="I27:I29">'[1]Annexe 2'!$H$27:$H$29</f>
        <v>19471.601167013327</v>
      </c>
    </row>
    <row r="28" spans="1:34" x14ac:dyDescent="0.2">
      <c r="A28" s="69" t="s">
        <v>30</v>
      </c>
      <c r="B28" s="70">
        <f>SUM(T16:Y16)</f>
        <v>0.12288657753019999</v>
      </c>
      <c r="C28" s="71">
        <v>4.4726264250122176E-3</v>
      </c>
      <c r="D28" s="70">
        <f>SUM(Z16:AE16)</f>
        <v>21610.507297616667</v>
      </c>
      <c r="E28" s="71">
        <v>5056.0577217359996</v>
      </c>
      <c r="F28" s="70">
        <f>SUM(AF16)</f>
        <v>1865444.1757994797</v>
      </c>
      <c r="G28" s="71">
        <v>6390.2909681033343</v>
      </c>
      <c r="H28" s="70">
        <f>SUM(AG16:AH16)</f>
        <v>3886345.3612500005</v>
      </c>
      <c r="I28" s="72">
        <v>69912.528218333318</v>
      </c>
    </row>
    <row r="29" spans="1:34" x14ac:dyDescent="0.2">
      <c r="A29" s="73" t="s">
        <v>32</v>
      </c>
      <c r="B29" s="74">
        <f>SUM(T18:Y20)</f>
        <v>4.1674945618640909E-6</v>
      </c>
      <c r="C29" s="75">
        <v>4.6071459757886333E-6</v>
      </c>
      <c r="D29" s="74">
        <f>SUM(Z18:AE20)</f>
        <v>8.5682920157454348</v>
      </c>
      <c r="E29" s="75">
        <v>9.7678528975762458</v>
      </c>
      <c r="F29" s="74">
        <f>SUM(AF18:AF20)</f>
        <v>84.164556800778229</v>
      </c>
      <c r="G29" s="75">
        <v>4.859889845249354</v>
      </c>
      <c r="H29" s="74">
        <f>SUM(AG18:AH20)</f>
        <v>84.429146147716665</v>
      </c>
      <c r="I29" s="76">
        <v>80.207688836776256</v>
      </c>
    </row>
    <row r="30" spans="1:34" x14ac:dyDescent="0.2">
      <c r="A30" t="s">
        <v>100</v>
      </c>
      <c r="B30" s="5">
        <f>SUM(B$27:B$29)</f>
        <v>0.1266436797114571</v>
      </c>
      <c r="C30" s="5">
        <f t="shared" ref="C30:I30" si="18">SUM(C$27:C$29)</f>
        <v>8.5891035832706148E-3</v>
      </c>
      <c r="D30" s="5">
        <f t="shared" si="18"/>
        <v>23419.147204938312</v>
      </c>
      <c r="E30" s="5">
        <f t="shared" si="18"/>
        <v>7120.7175972010564</v>
      </c>
      <c r="F30" s="5">
        <f t="shared" si="18"/>
        <v>1905945.765144232</v>
      </c>
      <c r="G30" s="5">
        <f t="shared" si="18"/>
        <v>7759.1977766370119</v>
      </c>
      <c r="H30" s="5">
        <f t="shared" si="18"/>
        <v>3906880.7569243656</v>
      </c>
      <c r="I30" s="5">
        <f t="shared" si="18"/>
        <v>89464.337074183422</v>
      </c>
    </row>
    <row r="31" spans="1:34" ht="15" customHeight="1" x14ac:dyDescent="0.2"/>
    <row r="32" spans="1:34" x14ac:dyDescent="0.2">
      <c r="A32" s="64"/>
      <c r="B32" s="133" t="s">
        <v>93</v>
      </c>
      <c r="C32" s="134"/>
      <c r="D32" s="133" t="s">
        <v>94</v>
      </c>
      <c r="E32" s="135"/>
      <c r="F32" s="134" t="s">
        <v>95</v>
      </c>
      <c r="G32" s="134"/>
      <c r="H32" s="133" t="s">
        <v>96</v>
      </c>
      <c r="I32" s="135"/>
    </row>
    <row r="33" spans="1:9" ht="15" customHeight="1" x14ac:dyDescent="0.2">
      <c r="A33" s="65" t="s">
        <v>27</v>
      </c>
      <c r="B33" s="77">
        <f>B27/MAX(SUM(B27:C29))</f>
        <v>2.7751663429983912E-2</v>
      </c>
      <c r="C33" s="77">
        <f>C27/MAX(SUM(B27:C29))</f>
        <v>3.0405866921493111E-2</v>
      </c>
      <c r="D33" s="77">
        <f>D27/MAX(SUM(D27:E29))</f>
        <v>5.8941702164306914E-2</v>
      </c>
      <c r="E33" s="77">
        <f>E27/MAX(SUM(D27:E29))</f>
        <v>6.7285563832081272E-2</v>
      </c>
      <c r="F33" s="77">
        <f>F27/MAX(SUM(F27:G29))</f>
        <v>2.1119987443760736E-2</v>
      </c>
      <c r="G33" s="77">
        <f>G27/MAX(SUM(F27:G29))</f>
        <v>7.1277806407864307E-4</v>
      </c>
      <c r="H33" s="77">
        <f>H27/MAX(SUM(H27:I29))</f>
        <v>5.117417552085138E-3</v>
      </c>
      <c r="I33" s="83">
        <f>I27/MAX(SUM(H27:I29))</f>
        <v>4.8723522891590395E-3</v>
      </c>
    </row>
    <row r="34" spans="1:9" ht="15" customHeight="1" x14ac:dyDescent="0.2">
      <c r="A34" s="69" t="s">
        <v>30</v>
      </c>
      <c r="B34" s="78">
        <f>B28/MAX(SUM(B27:C29))</f>
        <v>0.90870404746739353</v>
      </c>
      <c r="C34" s="78">
        <f>C28/MAX(SUM(B27:C29))</f>
        <v>3.3073536727144998E-2</v>
      </c>
      <c r="D34" s="78">
        <f>D28/MAX(SUM(D27:E29))</f>
        <v>0.70761633810843894</v>
      </c>
      <c r="E34" s="78">
        <f>E28/MAX(SUM(D27:E29))</f>
        <v>0.16555599556491207</v>
      </c>
      <c r="F34" s="78">
        <f>F28/MAX(SUM(F27:G29))</f>
        <v>0.97478149032558847</v>
      </c>
      <c r="G34" s="78">
        <f>G28/MAX(SUM(F27:G29))</f>
        <v>3.3392247456733855E-3</v>
      </c>
      <c r="H34" s="78">
        <f>H28/MAX(SUM(H27:I29))</f>
        <v>0.97247491641456618</v>
      </c>
      <c r="I34" s="84">
        <f>I28/MAX(SUM(H27:I29))</f>
        <v>1.7494116892788715E-2</v>
      </c>
    </row>
    <row r="35" spans="1:9" ht="15" customHeight="1" x14ac:dyDescent="0.2">
      <c r="A35" s="73" t="s">
        <v>32</v>
      </c>
      <c r="B35" s="79">
        <f>B29/MAX(SUM(B27:C29))</f>
        <v>3.0817191366840472E-5</v>
      </c>
      <c r="C35" s="79">
        <f>C29/MAX(SUM(B27:C29))</f>
        <v>3.4068262617561988E-5</v>
      </c>
      <c r="D35" s="79">
        <f>D29/MAX(SUM(D27:E29))</f>
        <v>2.8056090199669816E-4</v>
      </c>
      <c r="E35" s="79">
        <f>E29/MAX(SUM(D27:E29))</f>
        <v>3.1983942826400432E-4</v>
      </c>
      <c r="F35" s="79">
        <f>F29/MAX(SUM(F27:G29))</f>
        <v>4.3979902038984469E-5</v>
      </c>
      <c r="G35" s="79">
        <f>G29/MAX(SUM(F27:G29))</f>
        <v>2.5395188597053916E-6</v>
      </c>
      <c r="H35" s="79">
        <f>H29/MAX(SUM(H27:I29))</f>
        <v>2.112659046249706E-5</v>
      </c>
      <c r="I35" s="85">
        <f>I29/MAX(SUM(H27:I29))</f>
        <v>2.0070260938482752E-5</v>
      </c>
    </row>
    <row r="36" spans="1:9" ht="15" customHeight="1" x14ac:dyDescent="0.2">
      <c r="C36" s="86"/>
    </row>
    <row r="54" spans="7:10" x14ac:dyDescent="0.2">
      <c r="G54" s="35"/>
      <c r="H54" s="35"/>
      <c r="I54" s="35"/>
      <c r="J54" s="35"/>
    </row>
    <row r="58" spans="7:10" x14ac:dyDescent="0.2">
      <c r="G58" s="5"/>
    </row>
    <row r="59" spans="7:10" x14ac:dyDescent="0.2">
      <c r="G59" s="5"/>
    </row>
    <row r="60" spans="7:10" x14ac:dyDescent="0.2">
      <c r="G60" s="5"/>
    </row>
  </sheetData>
  <mergeCells count="10">
    <mergeCell ref="B32:C32"/>
    <mergeCell ref="D32:E32"/>
    <mergeCell ref="F32:G32"/>
    <mergeCell ref="H32:I32"/>
    <mergeCell ref="Q5:Q8"/>
    <mergeCell ref="Q10:Q13"/>
    <mergeCell ref="B25:C25"/>
    <mergeCell ref="D25:E25"/>
    <mergeCell ref="F25:G25"/>
    <mergeCell ref="H25:I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1</vt:i4>
      </vt:variant>
    </vt:vector>
  </HeadingPairs>
  <TitlesOfParts>
    <vt:vector size="3" baseType="lpstr">
      <vt:lpstr>Annexe 1</vt:lpstr>
      <vt:lpstr>Annexe 2</vt:lpstr>
      <vt:lpstr>Graphique gaz à effet de serre</vt:lpstr>
    </vt:vector>
  </TitlesOfParts>
  <Manager/>
  <Company>UdeS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Bastien Roure</dc:creator>
  <cp:keywords/>
  <dc:description/>
  <cp:lastModifiedBy>Mathieu Désautels</cp:lastModifiedBy>
  <cp:revision/>
  <dcterms:created xsi:type="dcterms:W3CDTF">2017-09-07T15:48:18Z</dcterms:created>
  <dcterms:modified xsi:type="dcterms:W3CDTF">2023-02-21T17:14:05Z</dcterms:modified>
  <cp:category/>
  <cp:contentStatus/>
</cp:coreProperties>
</file>