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t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<sst xmlns="http://schemas.openxmlformats.org/spreadsheetml/2006/main" count="4597" uniqueCount="2950">
  <si>
    <t xml:space="preserve">question</t>
  </si>
  <si>
    <t xml:space="preserve">answer</t>
  </si>
  <si>
    <t xml:space="preserve">tag</t>
  </si>
  <si>
    <t xml:space="preserve">alternatives</t>
  </si>
  <si>
    <t xml:space="preserve">es_en</t>
  </si>
  <si>
    <t xml:space="preserve">en_es</t>
  </si>
  <si>
    <t xml:space="preserve">date</t>
  </si>
  <si>
    <t xml:space="preserve">en|es</t>
  </si>
  <si>
    <t xml:space="preserve">hello</t>
  </si>
  <si>
    <t xml:space="preserve">hola</t>
  </si>
  <si>
    <t xml:space="preserve">ch01;greetings</t>
  </si>
  <si>
    <t xml:space="preserve">good morning</t>
  </si>
  <si>
    <t xml:space="preserve">buenos días</t>
  </si>
  <si>
    <t xml:space="preserve">good afternoon</t>
  </si>
  <si>
    <t xml:space="preserve">buenas tardes</t>
  </si>
  <si>
    <t xml:space="preserve">how are you? (familiar)</t>
  </si>
  <si>
    <t xml:space="preserve">cómo estás (tú)?</t>
  </si>
  <si>
    <t xml:space="preserve">cómo estás</t>
  </si>
  <si>
    <t xml:space="preserve">and you? (familiar)</t>
  </si>
  <si>
    <t xml:space="preserve">y tú?</t>
  </si>
  <si>
    <t xml:space="preserve">ch01;introductions</t>
  </si>
  <si>
    <t xml:space="preserve">bye</t>
  </si>
  <si>
    <t xml:space="preserve">adiós</t>
  </si>
  <si>
    <t xml:space="preserve">well</t>
  </si>
  <si>
    <t xml:space="preserve">bien</t>
  </si>
  <si>
    <t xml:space="preserve">very well</t>
  </si>
  <si>
    <t xml:space="preserve">muy bien</t>
  </si>
  <si>
    <t xml:space="preserve">badly</t>
  </si>
  <si>
    <t xml:space="preserve">mal</t>
  </si>
  <si>
    <t xml:space="preserve">very badly</t>
  </si>
  <si>
    <t xml:space="preserve">muy mal</t>
  </si>
  <si>
    <t xml:space="preserve">zero</t>
  </si>
  <si>
    <t xml:space="preserve">cero</t>
  </si>
  <si>
    <t xml:space="preserve">ch01;numbers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</si>
  <si>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</si>
  <si>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</si>
  <si>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</si>
  <si>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</si>
  <si>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</si>
  <si>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</si>
  <si>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what is your name? (familiar)</t>
  </si>
  <si>
    <t xml:space="preserve">cómo te llama?</t>
  </si>
  <si>
    <t xml:space="preserve">my name is</t>
  </si>
  <si>
    <t xml:space="preserve">me llamo</t>
  </si>
  <si>
    <t xml:space="preserve">mi nombre es</t>
  </si>
  <si>
    <t xml:space="preserve">the name</t>
  </si>
  <si>
    <t xml:space="preserve">el nombre</t>
  </si>
  <si>
    <t xml:space="preserve">how are you? (formal)</t>
  </si>
  <si>
    <t xml:space="preserve">cómo está usted?</t>
  </si>
  <si>
    <t xml:space="preserve">cómo está</t>
  </si>
  <si>
    <t xml:space="preserve">how are things?</t>
  </si>
  <si>
    <t xml:space="preserve">qué tal?</t>
  </si>
  <si>
    <t xml:space="preserve">okay</t>
  </si>
  <si>
    <t xml:space="preserve">regular</t>
  </si>
  <si>
    <t xml:space="preserve">more or less fine</t>
  </si>
  <si>
    <t xml:space="preserve">más o menos</t>
  </si>
  <si>
    <t xml:space="preserve">and you? (formal)</t>
  </si>
  <si>
    <t xml:space="preserve">y usted?</t>
  </si>
  <si>
    <t xml:space="preserve">thank you</t>
  </si>
  <si>
    <t xml:space="preserve">gracias</t>
  </si>
  <si>
    <t xml:space="preserve">please</t>
  </si>
  <si>
    <t xml:space="preserve">por favor</t>
  </si>
  <si>
    <t xml:space="preserve">see you later</t>
  </si>
  <si>
    <t xml:space="preserve">hasta luego</t>
  </si>
  <si>
    <t xml:space="preserve">goodnight</t>
  </si>
  <si>
    <t xml:space="preserve">buenos noches</t>
  </si>
  <si>
    <t xml:space="preserve">what is your name? (formal)</t>
  </si>
  <si>
    <t xml:space="preserve">cómo se llama?</t>
  </si>
  <si>
    <t xml:space="preserve">let me introduce you to</t>
  </si>
  <si>
    <t xml:space="preserve">te presento a</t>
  </si>
  <si>
    <t xml:space="preserve">sir</t>
  </si>
  <si>
    <t xml:space="preserve">señor</t>
  </si>
  <si>
    <t xml:space="preserve">mrs.</t>
  </si>
  <si>
    <t xml:space="preserve">señora</t>
  </si>
  <si>
    <t xml:space="preserve">miss</t>
  </si>
  <si>
    <t xml:space="preserve">señorita</t>
  </si>
  <si>
    <t xml:space="preserve">it's a pleasure</t>
  </si>
  <si>
    <t xml:space="preserve">mucho gusto!</t>
  </si>
  <si>
    <t xml:space="preserve">the pleasure is mine!</t>
  </si>
  <si>
    <t xml:space="preserve">el gusto es mío!</t>
  </si>
  <si>
    <t xml:space="preserve">delighted!</t>
  </si>
  <si>
    <t xml:space="preserve">encantad@!</t>
  </si>
  <si>
    <t xml:space="preserve">likewise!</t>
  </si>
  <si>
    <t xml:space="preserve">igualmente!</t>
  </si>
  <si>
    <t xml:space="preserve">very kind</t>
  </si>
  <si>
    <t xml:space="preserve">muy amable</t>
  </si>
  <si>
    <t xml:space="preserve">i am (trait)</t>
  </si>
  <si>
    <t xml:space="preserve">yo soy</t>
  </si>
  <si>
    <t xml:space="preserve">ch02;toBe</t>
  </si>
  <si>
    <t xml:space="preserve">you are (singular, trait)</t>
  </si>
  <si>
    <t xml:space="preserve">tú eres</t>
  </si>
  <si>
    <t xml:space="preserve">he is (trait)</t>
  </si>
  <si>
    <t xml:space="preserve">el es</t>
  </si>
  <si>
    <t xml:space="preserve">she is (trait)</t>
  </si>
  <si>
    <t xml:space="preserve">ella es</t>
  </si>
  <si>
    <t xml:space="preserve">what?</t>
  </si>
  <si>
    <t xml:space="preserve">qué?</t>
  </si>
  <si>
    <t xml:space="preserve">ch01;questions</t>
  </si>
  <si>
    <t xml:space="preserve">where?</t>
  </si>
  <si>
    <t xml:space="preserve">dónde?</t>
  </si>
  <si>
    <t xml:space="preserve">which? (singular)</t>
  </si>
  <si>
    <t xml:space="preserve">cuál?</t>
  </si>
  <si>
    <t xml:space="preserve">which? (plural)</t>
  </si>
  <si>
    <t xml:space="preserve">cuáles?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</si>
  <si>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</si>
  <si>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</si>
  <si>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</si>
  <si>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</si>
  <si>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</si>
  <si>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</si>
  <si>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the day</t>
  </si>
  <si>
    <t xml:space="preserve">el día</t>
  </si>
  <si>
    <t xml:space="preserve">ch01;dates;object</t>
  </si>
  <si>
    <t xml:space="preserve">the week</t>
  </si>
  <si>
    <t xml:space="preserve">la semana</t>
  </si>
  <si>
    <t xml:space="preserve">the month</t>
  </si>
  <si>
    <t xml:space="preserve">el mes</t>
  </si>
  <si>
    <t xml:space="preserve">ch01;dates</t>
  </si>
  <si>
    <t xml:space="preserve">the year</t>
  </si>
  <si>
    <t xml:space="preserve">el año</t>
  </si>
  <si>
    <t xml:space="preserve">today</t>
  </si>
  <si>
    <t xml:space="preserve">hoy</t>
  </si>
  <si>
    <t xml:space="preserve">tomorrow</t>
  </si>
  <si>
    <t xml:space="preserve">mañana</t>
  </si>
  <si>
    <t xml:space="preserve">what day is it?</t>
  </si>
  <si>
    <t xml:space="preserve">que dia es hoy?</t>
  </si>
  <si>
    <t xml:space="preserve">ch01;sentences</t>
  </si>
  <si>
    <t xml:space="preserve">the monday</t>
  </si>
  <si>
    <t xml:space="preserve">el lunes</t>
  </si>
  <si>
    <t xml:space="preserve">the tuesday</t>
  </si>
  <si>
    <t xml:space="preserve">el martes</t>
  </si>
  <si>
    <t xml:space="preserve">the wednesday</t>
  </si>
  <si>
    <t xml:space="preserve">el miércoles</t>
  </si>
  <si>
    <t xml:space="preserve">in</t>
  </si>
  <si>
    <t xml:space="preserve">en</t>
  </si>
  <si>
    <t xml:space="preserve">next</t>
  </si>
  <si>
    <t xml:space="preserve">próxim@</t>
  </si>
  <si>
    <t xml:space="preserve">the morning</t>
  </si>
  <si>
    <t xml:space="preserve">la mañana</t>
  </si>
  <si>
    <t xml:space="preserve">the afternoon</t>
  </si>
  <si>
    <t xml:space="preserve">la tarde</t>
  </si>
  <si>
    <t xml:space="preserve">the night</t>
  </si>
  <si>
    <t xml:space="preserve">la noche</t>
  </si>
  <si>
    <t xml:space="preserve">the thursday</t>
  </si>
  <si>
    <t xml:space="preserve">el jueves</t>
  </si>
  <si>
    <t xml:space="preserve">the friday</t>
  </si>
  <si>
    <t xml:space="preserve">el viernes</t>
  </si>
  <si>
    <t xml:space="preserve">the saturday</t>
  </si>
  <si>
    <t xml:space="preserve">el sábado</t>
  </si>
  <si>
    <t xml:space="preserve">the sunday</t>
  </si>
  <si>
    <t xml:space="preserve">el domingo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</si>
  <si>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</si>
  <si>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</si>
  <si>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</si>
  <si>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</si>
  <si>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</si>
  <si>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</si>
  <si>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</si>
  <si>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</si>
  <si>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when?</t>
  </si>
  <si>
    <t xml:space="preserve">cuándo?</t>
  </si>
  <si>
    <t xml:space="preserve">why?</t>
  </si>
  <si>
    <t xml:space="preserve">por qué?</t>
  </si>
  <si>
    <t xml:space="preserve">who?</t>
  </si>
  <si>
    <t xml:space="preserve">quién?</t>
  </si>
  <si>
    <t xml:space="preserve">how?</t>
  </si>
  <si>
    <t xml:space="preserve">como?</t>
  </si>
  <si>
    <t xml:space="preserve">how much?</t>
  </si>
  <si>
    <t xml:space="preserve">cuánt@?</t>
  </si>
  <si>
    <t xml:space="preserve">how many?</t>
  </si>
  <si>
    <t xml:space="preserve">cuánt@s?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</si>
  <si>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</si>
  <si>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</si>
  <si>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</si>
  <si>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</si>
  <si>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</si>
  <si>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</si>
  <si>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</si>
  <si>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</si>
  <si>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</si>
  <si>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</si>
  <si>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</si>
  <si>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</si>
  <si>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to talk</t>
  </si>
  <si>
    <t xml:space="preserve">hablar</t>
  </si>
  <si>
    <t xml:space="preserve">ch02;activities;verb;inf;regverb</t>
  </si>
  <si>
    <t xml:space="preserve">to read</t>
  </si>
  <si>
    <t xml:space="preserve">leer</t>
  </si>
  <si>
    <t xml:space="preserve">to study</t>
  </si>
  <si>
    <t xml:space="preserve">estudiar</t>
  </si>
  <si>
    <t xml:space="preserve">to listen to music</t>
  </si>
  <si>
    <t xml:space="preserve">escuchar música</t>
  </si>
  <si>
    <t xml:space="preserve">ch02;activities;verb;inf</t>
  </si>
  <si>
    <t xml:space="preserve">to work</t>
  </si>
  <si>
    <t xml:space="preserve">trabajar</t>
  </si>
  <si>
    <t xml:space="preserve">to do</t>
  </si>
  <si>
    <t xml:space="preserve">hacer</t>
  </si>
  <si>
    <t xml:space="preserve">i like</t>
  </si>
  <si>
    <t xml:space="preserve">(a mí) me gusta</t>
  </si>
  <si>
    <t xml:space="preserve">ch02;like</t>
  </si>
  <si>
    <t xml:space="preserve">me gusta</t>
  </si>
  <si>
    <t xml:space="preserve">i like a lot</t>
  </si>
  <si>
    <t xml:space="preserve">(a mí) me gusta mucho</t>
  </si>
  <si>
    <t xml:space="preserve">a mí me gusta mucho</t>
  </si>
  <si>
    <t xml:space="preserve">i like more</t>
  </si>
  <si>
    <t xml:space="preserve">me gusta más</t>
  </si>
  <si>
    <t xml:space="preserve">a mí me gusta más</t>
  </si>
  <si>
    <t xml:space="preserve">i don't like very much</t>
  </si>
  <si>
    <t xml:space="preserve">no me gusta mucho</t>
  </si>
  <si>
    <t xml:space="preserve">a mí no me gusta mucho</t>
  </si>
  <si>
    <t xml:space="preserve">i don't like at all</t>
  </si>
  <si>
    <t xml:space="preserve">no me gusta nada</t>
  </si>
  <si>
    <t xml:space="preserve">a mí no me gusta nada</t>
  </si>
  <si>
    <t xml:space="preserve">what do you like to do?</t>
  </si>
  <si>
    <t xml:space="preserve">qué te gusta hacer?</t>
  </si>
  <si>
    <t xml:space="preserve">ch02;sentences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</si>
  <si>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</si>
  <si>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</si>
  <si>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</si>
  <si>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</si>
  <si>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</si>
  <si>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</si>
  <si>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</si>
  <si>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</si>
  <si>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</si>
  <si>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</si>
  <si>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</si>
  <si>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</si>
  <si>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the date</t>
  </si>
  <si>
    <t xml:space="preserve">la fecha</t>
  </si>
  <si>
    <t xml:space="preserve">ch01;object</t>
  </si>
  <si>
    <t xml:space="preserve">what is today's date?</t>
  </si>
  <si>
    <t xml:space="preserve">cuál es la fecha de hoy?</t>
  </si>
  <si>
    <t xml:space="preserve">birthday</t>
  </si>
  <si>
    <t xml:space="preserve">cumpleaños</t>
  </si>
  <si>
    <t xml:space="preserve">ch01</t>
  </si>
  <si>
    <t xml:space="preserve">when is your birthday?</t>
  </si>
  <si>
    <t xml:space="preserve">cuando es tu cumpleaños?</t>
  </si>
  <si>
    <t xml:space="preserve">how old are you?</t>
  </si>
  <si>
    <t xml:space="preserve">cuántos años tienes?</t>
  </si>
  <si>
    <t xml:space="preserve">yes</t>
  </si>
  <si>
    <t xml:space="preserve">sí</t>
  </si>
  <si>
    <t xml:space="preserve">ch02;smallWords</t>
  </si>
  <si>
    <t xml:space="preserve">no</t>
  </si>
  <si>
    <t xml:space="preserve">maybe</t>
  </si>
  <si>
    <t xml:space="preserve">quizás</t>
  </si>
  <si>
    <t xml:space="preserve">and</t>
  </si>
  <si>
    <t xml:space="preserve">y</t>
  </si>
  <si>
    <t xml:space="preserve">or</t>
  </si>
  <si>
    <t xml:space="preserve">o</t>
  </si>
  <si>
    <t xml:space="preserve">sometimes</t>
  </si>
  <si>
    <t xml:space="preserve">a veces</t>
  </si>
  <si>
    <t xml:space="preserve">very</t>
  </si>
  <si>
    <t xml:space="preserve">muy</t>
  </si>
  <si>
    <t xml:space="preserve">but</t>
  </si>
  <si>
    <t xml:space="preserve">pero</t>
  </si>
  <si>
    <t xml:space="preserve">that's why/for that</t>
  </si>
  <si>
    <t xml:space="preserve">por eso</t>
  </si>
  <si>
    <t xml:space="preserve">well/then</t>
  </si>
  <si>
    <t xml:space="preserve">pues</t>
  </si>
  <si>
    <t xml:space="preserve">also</t>
  </si>
  <si>
    <t xml:space="preserve">también</t>
  </si>
  <si>
    <t xml:space="preserve">neither/either</t>
  </si>
  <si>
    <t xml:space="preserve">tampoco</t>
  </si>
  <si>
    <t xml:space="preserve">today is monday</t>
  </si>
  <si>
    <t xml:space="preserve">hoy es lunes</t>
  </si>
  <si>
    <t xml:space="preserve">today is thursday</t>
  </si>
  <si>
    <t xml:space="preserve">hoy es jueves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</si>
  <si>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</si>
  <si>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</si>
  <si>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</si>
  <si>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</si>
  <si>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</si>
  <si>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</si>
  <si>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</si>
  <si>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</si>
  <si>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</si>
  <si>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</si>
  <si>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to cook</t>
  </si>
  <si>
    <t xml:space="preserve">cocinar</t>
  </si>
  <si>
    <t xml:space="preserve">to play the guitar</t>
  </si>
  <si>
    <t xml:space="preserve">tocar la guitarra</t>
  </si>
  <si>
    <t xml:space="preserve">where are you from?</t>
  </si>
  <si>
    <t xml:space="preserve">de donde eres?</t>
  </si>
  <si>
    <t xml:space="preserve">and you? (as object)</t>
  </si>
  <si>
    <t xml:space="preserve">y a ti?</t>
  </si>
  <si>
    <t xml:space="preserve">we are (trait)</t>
  </si>
  <si>
    <t xml:space="preserve">nosotros somos</t>
  </si>
  <si>
    <t xml:space="preserve">you are (plural, trait)</t>
  </si>
  <si>
    <t xml:space="preserve">vosotors sois</t>
  </si>
  <si>
    <t xml:space="preserve">they are (triat)</t>
  </si>
  <si>
    <t xml:space="preserve">(ellos/ellas) son</t>
  </si>
  <si>
    <t xml:space="preserve">really?</t>
  </si>
  <si>
    <t xml:space="preserve">de verad?</t>
  </si>
  <si>
    <t xml:space="preserve">ch02;verify</t>
  </si>
  <si>
    <t xml:space="preserve">seriously?</t>
  </si>
  <si>
    <t xml:space="preserve">en serio?</t>
  </si>
  <si>
    <t xml:space="preserve">i like (singular object)</t>
  </si>
  <si>
    <t xml:space="preserve">ch02;toLike</t>
  </si>
  <si>
    <t xml:space="preserve">i like (plural object)</t>
  </si>
  <si>
    <t xml:space="preserve">me gustan</t>
  </si>
  <si>
    <t xml:space="preserve">you like (singular, singular object)</t>
  </si>
  <si>
    <t xml:space="preserve">te gusta</t>
  </si>
  <si>
    <t xml:space="preserve">you like (singular, plural object)</t>
  </si>
  <si>
    <t xml:space="preserve">te gustan</t>
  </si>
  <si>
    <t xml:space="preserve">he/she likes (singular object)</t>
  </si>
  <si>
    <t xml:space="preserve">le gusta</t>
  </si>
  <si>
    <t xml:space="preserve">he/she likes (plural object)</t>
  </si>
  <si>
    <t xml:space="preserve">le gustan</t>
  </si>
  <si>
    <t xml:space="preserve">i like the cars</t>
  </si>
  <si>
    <t xml:space="preserve">me gustan los coches</t>
  </si>
  <si>
    <t xml:space="preserve">delights me (singular)</t>
  </si>
  <si>
    <t xml:space="preserve">me encanta</t>
  </si>
  <si>
    <t xml:space="preserve">ch02;toDelight</t>
  </si>
  <si>
    <t xml:space="preserve">delights me (plural)</t>
  </si>
  <si>
    <t xml:space="preserve">me encantan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</si>
  <si>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</si>
  <si>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</si>
  <si>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</si>
  <si>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</si>
  <si>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</si>
  <si>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</si>
  <si>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</si>
  <si>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</si>
  <si>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</si>
  <si>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</si>
  <si>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serious</t>
  </si>
  <si>
    <t xml:space="preserve">seri@</t>
  </si>
  <si>
    <t xml:space="preserve">ch02;personalityTraits</t>
  </si>
  <si>
    <t xml:space="preserve">sociable</t>
  </si>
  <si>
    <t xml:space="preserve">cautious</t>
  </si>
  <si>
    <t xml:space="preserve">prudente</t>
  </si>
  <si>
    <t xml:space="preserve">kind</t>
  </si>
  <si>
    <t xml:space="preserve">amable</t>
  </si>
  <si>
    <t xml:space="preserve">sporty</t>
  </si>
  <si>
    <t xml:space="preserve">deportista</t>
  </si>
  <si>
    <t xml:space="preserve">she is sporty</t>
  </si>
  <si>
    <t xml:space="preserve">ella es deportista</t>
  </si>
  <si>
    <t xml:space="preserve">to start</t>
  </si>
  <si>
    <t xml:space="preserve">empezar</t>
  </si>
  <si>
    <t xml:space="preserve">ch03;time;regVerb</t>
  </si>
  <si>
    <t xml:space="preserve">it starts</t>
  </si>
  <si>
    <t xml:space="preserve">(el) empieza</t>
  </si>
  <si>
    <t xml:space="preserve">ch03;time</t>
  </si>
  <si>
    <t xml:space="preserve">(el) comienza</t>
  </si>
  <si>
    <t xml:space="preserve">to end</t>
  </si>
  <si>
    <t xml:space="preserve">terminar</t>
  </si>
  <si>
    <t xml:space="preserve">it ends</t>
  </si>
  <si>
    <t xml:space="preserve">termina</t>
  </si>
  <si>
    <t xml:space="preserve">at what time?</t>
  </si>
  <si>
    <t xml:space="preserve">a qué hora?</t>
  </si>
  <si>
    <t xml:space="preserve">at what time does it start?</t>
  </si>
  <si>
    <t xml:space="preserve">a qué hora empieza?</t>
  </si>
  <si>
    <t xml:space="preserve">what time is it?</t>
  </si>
  <si>
    <t xml:space="preserve">qué hora es?</t>
  </si>
  <si>
    <t xml:space="preserve">it's one</t>
  </si>
  <si>
    <t xml:space="preserve">es la una</t>
  </si>
  <si>
    <t xml:space="preserve">it's two</t>
  </si>
  <si>
    <t xml:space="preserve">son las dos</t>
  </si>
  <si>
    <t xml:space="preserve">quarter (15 mins)</t>
  </si>
  <si>
    <t xml:space="preserve">cuarto</t>
  </si>
  <si>
    <t xml:space="preserve">half hour (30 mins)</t>
  </si>
  <si>
    <t xml:space="preserve">media</t>
  </si>
  <si>
    <t xml:space="preserve">in the morning</t>
  </si>
  <si>
    <t xml:space="preserve">(en/de) la mañana</t>
  </si>
  <si>
    <t xml:space="preserve">in the afternoon</t>
  </si>
  <si>
    <t xml:space="preserve">(en/de) la tarde</t>
  </si>
  <si>
    <t xml:space="preserve">in the evening</t>
  </si>
  <si>
    <t xml:space="preserve">(en/de) la noche</t>
  </si>
  <si>
    <t xml:space="preserve">it's 11:30 in the evening</t>
  </si>
  <si>
    <t xml:space="preserve">son las once y media de la noche</t>
  </si>
  <si>
    <t xml:space="preserve">it's 9:15</t>
  </si>
  <si>
    <t xml:space="preserve">son las nueve y cuatro</t>
  </si>
  <si>
    <t xml:space="preserve">i am (state)</t>
  </si>
  <si>
    <t xml:space="preserve">yo estoy</t>
  </si>
  <si>
    <t xml:space="preserve">you are (singular, state)</t>
  </si>
  <si>
    <t xml:space="preserve">tú estás</t>
  </si>
  <si>
    <t xml:space="preserve">he is (state)</t>
  </si>
  <si>
    <t xml:space="preserve">el está</t>
  </si>
  <si>
    <t xml:space="preserve">she is (state)</t>
  </si>
  <si>
    <t xml:space="preserve">ella está</t>
  </si>
  <si>
    <t xml:space="preserve">music</t>
  </si>
  <si>
    <t xml:space="preserve">la música</t>
  </si>
  <si>
    <t xml:space="preserve">ch03;school</t>
  </si>
  <si>
    <t xml:space="preserve">difficult</t>
  </si>
  <si>
    <t xml:space="preserve">dificil</t>
  </si>
  <si>
    <t xml:space="preserve">easy</t>
  </si>
  <si>
    <t xml:space="preserve">fácil</t>
  </si>
  <si>
    <t xml:space="preserve">me too</t>
  </si>
  <si>
    <t xml:space="preserve">yo igual</t>
  </si>
  <si>
    <t xml:space="preserve">today is friday</t>
  </si>
  <si>
    <t xml:space="preserve">hoy es viernes</t>
  </si>
  <si>
    <t xml:space="preserve">today is saturday</t>
  </si>
  <si>
    <t xml:space="preserve">hoy es sábado</t>
  </si>
  <si>
    <t xml:space="preserve">today is sunday</t>
  </si>
  <si>
    <t xml:space="preserve">hoy es domingo</t>
  </si>
  <si>
    <t xml:space="preserve">today is tuesday</t>
  </si>
  <si>
    <t xml:space="preserve">hoy es martes</t>
  </si>
  <si>
    <t xml:space="preserve">twenty-one</t>
  </si>
  <si>
    <t xml:space="preserve">veintiuno</t>
  </si>
  <si>
    <t xml:space="preserve">twenty-two</t>
  </si>
  <si>
    <t xml:space="preserve">veintidós</t>
  </si>
  <si>
    <t xml:space="preserve">twenty-three</t>
  </si>
  <si>
    <t xml:space="preserve">veintitrés</t>
  </si>
  <si>
    <t xml:space="preserve">twenty-four</t>
  </si>
  <si>
    <t xml:space="preserve">veinticuatro</t>
  </si>
  <si>
    <t xml:space="preserve">twenty-five</t>
  </si>
  <si>
    <t xml:space="preserve">veinticinco</t>
  </si>
  <si>
    <t xml:space="preserve">time (the hour)</t>
  </si>
  <si>
    <t xml:space="preserve">la hora</t>
  </si>
  <si>
    <t xml:space="preserve">we are (state)</t>
  </si>
  <si>
    <t xml:space="preserve">nosotros estamos</t>
  </si>
  <si>
    <t xml:space="preserve">you are (plural, state)</t>
  </si>
  <si>
    <t xml:space="preserve">vosotros estáis</t>
  </si>
  <si>
    <t xml:space="preserve">they are (state)</t>
  </si>
  <si>
    <t xml:space="preserve">(ellos/ellas) están</t>
  </si>
  <si>
    <t xml:space="preserve">to be with friends</t>
  </si>
  <si>
    <t xml:space="preserve">estar con amigos</t>
  </si>
  <si>
    <t xml:space="preserve">to write</t>
  </si>
  <si>
    <t xml:space="preserve">escribir</t>
  </si>
  <si>
    <t xml:space="preserve">to help around the house</t>
  </si>
  <si>
    <t xml:space="preserve">ayudar en casa</t>
  </si>
  <si>
    <t xml:space="preserve">to play sports</t>
  </si>
  <si>
    <t xml:space="preserve">practicar deportes</t>
  </si>
  <si>
    <t xml:space="preserve">to watch tv</t>
  </si>
  <si>
    <t xml:space="preserve">ver la televisión</t>
  </si>
  <si>
    <t xml:space="preserve">we like (singular object)</t>
  </si>
  <si>
    <t xml:space="preserve">nos gusta</t>
  </si>
  <si>
    <t xml:space="preserve">you like (plural, singular object)</t>
  </si>
  <si>
    <t xml:space="preserve">os gusta</t>
  </si>
  <si>
    <t xml:space="preserve">they like (singular object)</t>
  </si>
  <si>
    <t xml:space="preserve">les gusta</t>
  </si>
  <si>
    <t xml:space="preserve">are you? (familiar, state)</t>
  </si>
  <si>
    <t xml:space="preserve">(tú) eres?</t>
  </si>
  <si>
    <t xml:space="preserve">eres?</t>
  </si>
  <si>
    <t xml:space="preserve">what are you like? (familiar)</t>
  </si>
  <si>
    <t xml:space="preserve">cómo eres?</t>
  </si>
  <si>
    <t xml:space="preserve">at what time does it finish?</t>
  </si>
  <si>
    <t xml:space="preserve">a qué hora termina?</t>
  </si>
  <si>
    <t xml:space="preserve">it ends at one</t>
  </si>
  <si>
    <t xml:space="preserve">(el) termina a la una</t>
  </si>
  <si>
    <t xml:space="preserve">it ends at two</t>
  </si>
  <si>
    <t xml:space="preserve">(el) termina a las dos</t>
  </si>
  <si>
    <t xml:space="preserve">midday</t>
  </si>
  <si>
    <t xml:space="preserve">mediodía</t>
  </si>
  <si>
    <t xml:space="preserve">in the middle of the night</t>
  </si>
  <si>
    <t xml:space="preserve">medianoche</t>
  </si>
  <si>
    <t xml:space="preserve">the computer</t>
  </si>
  <si>
    <t xml:space="preserve">la computadora</t>
  </si>
  <si>
    <t xml:space="preserve">ch03;things;officeSupplies;object</t>
  </si>
  <si>
    <t xml:space="preserve">the calendar</t>
  </si>
  <si>
    <t xml:space="preserve">el calendario</t>
  </si>
  <si>
    <t xml:space="preserve">the pencil</t>
  </si>
  <si>
    <t xml:space="preserve">el lápiz</t>
  </si>
  <si>
    <t xml:space="preserve">the pencils</t>
  </si>
  <si>
    <t xml:space="preserve">los lápices</t>
  </si>
  <si>
    <t xml:space="preserve">ch03;things;officeSupplies</t>
  </si>
  <si>
    <t xml:space="preserve">the desk</t>
  </si>
  <si>
    <t xml:space="preserve">el escritorio</t>
  </si>
  <si>
    <t xml:space="preserve">to teach</t>
  </si>
  <si>
    <t xml:space="preserve">enseñar</t>
  </si>
  <si>
    <t xml:space="preserve">ch03;school;regVerb</t>
  </si>
  <si>
    <t xml:space="preserve">homework</t>
  </si>
  <si>
    <t xml:space="preserve">la tarea</t>
  </si>
  <si>
    <t xml:space="preserve">the semester</t>
  </si>
  <si>
    <t xml:space="preserve">el semestre</t>
  </si>
  <si>
    <t xml:space="preserve">ch03;time;school</t>
  </si>
  <si>
    <t xml:space="preserve">the first semester</t>
  </si>
  <si>
    <t xml:space="preserve">el primer semestre</t>
  </si>
  <si>
    <t xml:space="preserve">the second semester</t>
  </si>
  <si>
    <t xml:space="preserve">el segundo semestre</t>
  </si>
  <si>
    <t xml:space="preserve">the first week</t>
  </si>
  <si>
    <t xml:space="preserve">la primera semana</t>
  </si>
  <si>
    <t xml:space="preserve">to draw</t>
  </si>
  <si>
    <t xml:space="preserve">dibujar</t>
  </si>
  <si>
    <t xml:space="preserve">to go to school</t>
  </si>
  <si>
    <t xml:space="preserve">ir a la escuela</t>
  </si>
  <si>
    <t xml:space="preserve">to go to the movies</t>
  </si>
  <si>
    <t xml:space="preserve">ir al cine</t>
  </si>
  <si>
    <t xml:space="preserve">to swim</t>
  </si>
  <si>
    <t xml:space="preserve">nadar</t>
  </si>
  <si>
    <t xml:space="preserve">to skate</t>
  </si>
  <si>
    <t xml:space="preserve">patinar</t>
  </si>
  <si>
    <t xml:space="preserve">to paint</t>
  </si>
  <si>
    <t xml:space="preserve">pintar</t>
  </si>
  <si>
    <t xml:space="preserve">we like (plural object)</t>
  </si>
  <si>
    <t xml:space="preserve">nos gustan</t>
  </si>
  <si>
    <t xml:space="preserve">you like (plural, plural object)</t>
  </si>
  <si>
    <t xml:space="preserve">os gustan</t>
  </si>
  <si>
    <t xml:space="preserve">they like (plural object)</t>
  </si>
  <si>
    <t xml:space="preserve">les gustan</t>
  </si>
  <si>
    <t xml:space="preserve">the books delight me</t>
  </si>
  <si>
    <t xml:space="preserve">me encantan los libros</t>
  </si>
  <si>
    <t xml:space="preserve">ch03;sentences</t>
  </si>
  <si>
    <t xml:space="preserve">we like the house</t>
  </si>
  <si>
    <t xml:space="preserve">nos gusta la casa</t>
  </si>
  <si>
    <t xml:space="preserve">i like to swim</t>
  </si>
  <si>
    <t xml:space="preserve">me gusta nadar</t>
  </si>
  <si>
    <t xml:space="preserve">we like the houses</t>
  </si>
  <si>
    <t xml:space="preserve">nos gustan las casas</t>
  </si>
  <si>
    <t xml:space="preserve">i like to start the class</t>
  </si>
  <si>
    <t xml:space="preserve">me gusta empezar la clase</t>
  </si>
  <si>
    <t xml:space="preserve">he likes to teach</t>
  </si>
  <si>
    <t xml:space="preserve">(a el) le gusta ensenar</t>
  </si>
  <si>
    <t xml:space="preserve">work</t>
  </si>
  <si>
    <t xml:space="preserve">el trabajo</t>
  </si>
  <si>
    <t xml:space="preserve">ch03;work</t>
  </si>
  <si>
    <t xml:space="preserve">the colleague</t>
  </si>
  <si>
    <t xml:space="preserve">(el/la) colega</t>
  </si>
  <si>
    <t xml:space="preserve">ch03;persons;work</t>
  </si>
  <si>
    <t xml:space="preserve">the book</t>
  </si>
  <si>
    <t xml:space="preserve">el libro</t>
  </si>
  <si>
    <t xml:space="preserve">the paper</t>
  </si>
  <si>
    <t xml:space="preserve">el papel</t>
  </si>
  <si>
    <t xml:space="preserve">the mate</t>
  </si>
  <si>
    <t xml:space="preserve">(el/la) compañer@</t>
  </si>
  <si>
    <t xml:space="preserve">the director</t>
  </si>
  <si>
    <t xml:space="preserve">(el/la) director@</t>
  </si>
  <si>
    <t xml:space="preserve">ch03;persons;work;school</t>
  </si>
  <si>
    <t xml:space="preserve">the employee</t>
  </si>
  <si>
    <t xml:space="preserve">el/la emplead@</t>
  </si>
  <si>
    <t xml:space="preserve">the student</t>
  </si>
  <si>
    <t xml:space="preserve">(el/la) estudiante</t>
  </si>
  <si>
    <t xml:space="preserve">the boss</t>
  </si>
  <si>
    <t xml:space="preserve">(el jefe/la jefa)</t>
  </si>
  <si>
    <t xml:space="preserve">the teacher</t>
  </si>
  <si>
    <t xml:space="preserve">(el/la) maestro</t>
  </si>
  <si>
    <t xml:space="preserve">the pen (starts p.)</t>
  </si>
  <si>
    <t xml:space="preserve">la pluma</t>
  </si>
  <si>
    <t xml:space="preserve">the pen (starts b.)</t>
  </si>
  <si>
    <t xml:space="preserve">el bolígrafo</t>
  </si>
  <si>
    <t xml:space="preserve">the appointment</t>
  </si>
  <si>
    <t xml:space="preserve">la cita</t>
  </si>
  <si>
    <t xml:space="preserve">the meeting</t>
  </si>
  <si>
    <t xml:space="preserve">la reunión</t>
  </si>
  <si>
    <t xml:space="preserve">they like the classes</t>
  </si>
  <si>
    <t xml:space="preserve">les gustan las clases</t>
  </si>
  <si>
    <t xml:space="preserve">it's an important class</t>
  </si>
  <si>
    <t xml:space="preserve">es una clase importante</t>
  </si>
  <si>
    <t xml:space="preserve">she doesn't like to swim</t>
  </si>
  <si>
    <t xml:space="preserve">(a ella) no le gusta nadar</t>
  </si>
  <si>
    <t xml:space="preserve">the music delights him</t>
  </si>
  <si>
    <t xml:space="preserve">(a el) le encanta la musica</t>
  </si>
  <si>
    <t xml:space="preserve">the cars delight us</t>
  </si>
  <si>
    <t xml:space="preserve">nos encantan los coches</t>
  </si>
  <si>
    <t xml:space="preserve">i don't like the president either</t>
  </si>
  <si>
    <t xml:space="preserve">no me gusta tampoco el presidente</t>
  </si>
  <si>
    <t xml:space="preserve">i have</t>
  </si>
  <si>
    <t xml:space="preserve">yo tengo</t>
  </si>
  <si>
    <t xml:space="preserve">ch03;toHave</t>
  </si>
  <si>
    <t xml:space="preserve">you (singular informal) have</t>
  </si>
  <si>
    <t xml:space="preserve">tú tienes</t>
  </si>
  <si>
    <t xml:space="preserve">my</t>
  </si>
  <si>
    <t xml:space="preserve">mi</t>
  </si>
  <si>
    <t xml:space="preserve">ch03;Possesion</t>
  </si>
  <si>
    <t xml:space="preserve">your (singular)</t>
  </si>
  <si>
    <t xml:space="preserve">tu</t>
  </si>
  <si>
    <t xml:space="preserve">his/hers/your (formal)</t>
  </si>
  <si>
    <t xml:space="preserve">su</t>
  </si>
  <si>
    <t xml:space="preserve">our</t>
  </si>
  <si>
    <t xml:space="preserve">nuestr@</t>
  </si>
  <si>
    <t xml:space="preserve">your (plural)</t>
  </si>
  <si>
    <t xml:space="preserve">vuestr@</t>
  </si>
  <si>
    <t xml:space="preserve">their</t>
  </si>
  <si>
    <t xml:space="preserve">my boss</t>
  </si>
  <si>
    <t xml:space="preserve">mi jefe</t>
  </si>
  <si>
    <t xml:space="preserve">ch03;Possesion;work</t>
  </si>
  <si>
    <t xml:space="preserve">your boss</t>
  </si>
  <si>
    <t xml:space="preserve">tu jefe</t>
  </si>
  <si>
    <t xml:space="preserve">our (male) boss</t>
  </si>
  <si>
    <t xml:space="preserve">nuestro jefe</t>
  </si>
  <si>
    <t xml:space="preserve">our (female) boss</t>
  </si>
  <si>
    <t xml:space="preserve">nuestra jefa</t>
  </si>
  <si>
    <t xml:space="preserve">to need</t>
  </si>
  <si>
    <t xml:space="preserve">necesitar</t>
  </si>
  <si>
    <t xml:space="preserve">ch03;regVerb</t>
  </si>
  <si>
    <t xml:space="preserve">i need</t>
  </si>
  <si>
    <t xml:space="preserve">yo necesito</t>
  </si>
  <si>
    <t xml:space="preserve">ch03</t>
  </si>
  <si>
    <t xml:space="preserve">you need</t>
  </si>
  <si>
    <t xml:space="preserve">tú necesitas</t>
  </si>
  <si>
    <t xml:space="preserve">a lot of/much</t>
  </si>
  <si>
    <t xml:space="preserve">much@</t>
  </si>
  <si>
    <t xml:space="preserve">a lot of/many</t>
  </si>
  <si>
    <t xml:space="preserve">much@s</t>
  </si>
  <si>
    <t xml:space="preserve">a little</t>
  </si>
  <si>
    <t xml:space="preserve">poc@</t>
  </si>
  <si>
    <t xml:space="preserve">a few</t>
  </si>
  <si>
    <t xml:space="preserve">poc@s</t>
  </si>
  <si>
    <t xml:space="preserve">do you have a lot of homework?</t>
  </si>
  <si>
    <t xml:space="preserve">tienes mucha tarea?</t>
  </si>
  <si>
    <t xml:space="preserve">do you have a lot of pens?</t>
  </si>
  <si>
    <t xml:space="preserve">tienes muchas plumas?</t>
  </si>
  <si>
    <t xml:space="preserve">i have a little homework</t>
  </si>
  <si>
    <t xml:space="preserve">tengo poca tarea</t>
  </si>
  <si>
    <t xml:space="preserve">i have one pen</t>
  </si>
  <si>
    <t xml:space="preserve">tengo una pluma</t>
  </si>
  <si>
    <t xml:space="preserve">i'm sorry</t>
  </si>
  <si>
    <t xml:space="preserve">lo siento</t>
  </si>
  <si>
    <t xml:space="preserve">i'm very sorry</t>
  </si>
  <si>
    <t xml:space="preserve">lo siento mucho</t>
  </si>
  <si>
    <t xml:space="preserve">here</t>
  </si>
  <si>
    <t xml:space="preserve">aquí</t>
  </si>
  <si>
    <t xml:space="preserve">here it is</t>
  </si>
  <si>
    <t xml:space="preserve">aquí está</t>
  </si>
  <si>
    <t xml:space="preserve">there</t>
  </si>
  <si>
    <t xml:space="preserve">allí</t>
  </si>
  <si>
    <t xml:space="preserve">there it is</t>
  </si>
  <si>
    <t xml:space="preserve">allí está</t>
  </si>
  <si>
    <t xml:space="preserve">favorite</t>
  </si>
  <si>
    <t xml:space="preserve">favorit@</t>
  </si>
  <si>
    <t xml:space="preserve">more/most</t>
  </si>
  <si>
    <t xml:space="preserve">más</t>
  </si>
  <si>
    <t xml:space="preserve">less/fewer/least</t>
  </si>
  <si>
    <t xml:space="preserve">menos</t>
  </si>
  <si>
    <t xml:space="preserve">i speak</t>
  </si>
  <si>
    <t xml:space="preserve">yo hablo</t>
  </si>
  <si>
    <t xml:space="preserve">ch03;toSpeak;verb;conj</t>
  </si>
  <si>
    <t xml:space="preserve">you speak</t>
  </si>
  <si>
    <t xml:space="preserve">tú hablas</t>
  </si>
  <si>
    <t xml:space="preserve">he speaks</t>
  </si>
  <si>
    <t xml:space="preserve">el habla</t>
  </si>
  <si>
    <t xml:space="preserve">she speaks</t>
  </si>
  <si>
    <t xml:space="preserve">ella habla</t>
  </si>
  <si>
    <t xml:space="preserve">you (formal) speak</t>
  </si>
  <si>
    <t xml:space="preserve">usted habla</t>
  </si>
  <si>
    <t xml:space="preserve">we speak</t>
  </si>
  <si>
    <t xml:space="preserve">nosotros hablamos</t>
  </si>
  <si>
    <t xml:space="preserve">you (plural) speak</t>
  </si>
  <si>
    <t xml:space="preserve">vosotros habláis</t>
  </si>
  <si>
    <t xml:space="preserve">they speak</t>
  </si>
  <si>
    <t xml:space="preserve">(ellos/ellas) hablan</t>
  </si>
  <si>
    <t xml:space="preserve">you (plural, formal) speak</t>
  </si>
  <si>
    <t xml:space="preserve">ustedes hablan</t>
  </si>
  <si>
    <t xml:space="preserve">of/from</t>
  </si>
  <si>
    <t xml:space="preserve">de</t>
  </si>
  <si>
    <t xml:space="preserve">from the school</t>
  </si>
  <si>
    <t xml:space="preserve">de la escuela</t>
  </si>
  <si>
    <t xml:space="preserve">to (direction)</t>
  </si>
  <si>
    <t xml:space="preserve">a</t>
  </si>
  <si>
    <t xml:space="preserve">to the school</t>
  </si>
  <si>
    <t xml:space="preserve">a la escuela</t>
  </si>
  <si>
    <t xml:space="preserve">from monday to friday</t>
  </si>
  <si>
    <t xml:space="preserve">de lunes a viernes</t>
  </si>
  <si>
    <t xml:space="preserve">ch03;days</t>
  </si>
  <si>
    <t xml:space="preserve">today is wednesday</t>
  </si>
  <si>
    <t xml:space="preserve">hoy es miércoles</t>
  </si>
  <si>
    <t xml:space="preserve">artistic</t>
  </si>
  <si>
    <t xml:space="preserve">artístic@</t>
  </si>
  <si>
    <t xml:space="preserve">daring</t>
  </si>
  <si>
    <t xml:space="preserve">atrevid@</t>
  </si>
  <si>
    <t xml:space="preserve">quiet</t>
  </si>
  <si>
    <t xml:space="preserve">callad@</t>
  </si>
  <si>
    <t xml:space="preserve">unorganized</t>
  </si>
  <si>
    <t xml:space="preserve">desordenad@</t>
  </si>
  <si>
    <t xml:space="preserve">generous</t>
  </si>
  <si>
    <t xml:space="preserve">generos@</t>
  </si>
  <si>
    <t xml:space="preserve">funny</t>
  </si>
  <si>
    <t xml:space="preserve">gracios@</t>
  </si>
  <si>
    <t xml:space="preserve">impatient</t>
  </si>
  <si>
    <t xml:space="preserve">impaciente</t>
  </si>
  <si>
    <t xml:space="preserve">organized</t>
  </si>
  <si>
    <t xml:space="preserve">ordenad@</t>
  </si>
  <si>
    <t xml:space="preserve">patient</t>
  </si>
  <si>
    <t xml:space="preserve">paciente</t>
  </si>
  <si>
    <t xml:space="preserve">lazy</t>
  </si>
  <si>
    <t xml:space="preserve">perezos@</t>
  </si>
  <si>
    <t xml:space="preserve">cheap/stingy</t>
  </si>
  <si>
    <t xml:space="preserve">tacañ@</t>
  </si>
  <si>
    <t xml:space="preserve">hard working</t>
  </si>
  <si>
    <t xml:space="preserve">trabajador@</t>
  </si>
  <si>
    <t xml:space="preserve">i like it too</t>
  </si>
  <si>
    <t xml:space="preserve">a mí también (me gusta)</t>
  </si>
  <si>
    <t xml:space="preserve">i don't like</t>
  </si>
  <si>
    <t xml:space="preserve">(a mí) no me gusta</t>
  </si>
  <si>
    <t xml:space="preserve">no me gusta</t>
  </si>
  <si>
    <t xml:space="preserve">i don't like either/neither</t>
  </si>
  <si>
    <t xml:space="preserve">no me gusta tampoco</t>
  </si>
  <si>
    <t xml:space="preserve">a mí no me gusta tampoco</t>
  </si>
  <si>
    <t xml:space="preserve">me (indirect object)</t>
  </si>
  <si>
    <t xml:space="preserve">me</t>
  </si>
  <si>
    <t xml:space="preserve">ch02;indirectObjectPronouns</t>
  </si>
  <si>
    <t xml:space="preserve">you (indirect object)</t>
  </si>
  <si>
    <t xml:space="preserve">te</t>
  </si>
  <si>
    <t xml:space="preserve">him/her (indirect object)</t>
  </si>
  <si>
    <t xml:space="preserve">le</t>
  </si>
  <si>
    <t xml:space="preserve">us (indirect object)</t>
  </si>
  <si>
    <t xml:space="preserve">nos</t>
  </si>
  <si>
    <t xml:space="preserve">you (plural) (indirect object)</t>
  </si>
  <si>
    <t xml:space="preserve">os</t>
  </si>
  <si>
    <t xml:space="preserve">they (indirect object)</t>
  </si>
  <si>
    <t xml:space="preserve">les</t>
  </si>
  <si>
    <t xml:space="preserve">delights you (singular, singular object)</t>
  </si>
  <si>
    <t xml:space="preserve">te encanta</t>
  </si>
  <si>
    <t xml:space="preserve">delights you (singular, plural object)</t>
  </si>
  <si>
    <t xml:space="preserve">te encantan</t>
  </si>
  <si>
    <t xml:space="preserve">delights him/her (singular)</t>
  </si>
  <si>
    <t xml:space="preserve">le encanta</t>
  </si>
  <si>
    <t xml:space="preserve">delights him/her (plural)</t>
  </si>
  <si>
    <t xml:space="preserve">le encantan</t>
  </si>
  <si>
    <t xml:space="preserve">delights us (singular)</t>
  </si>
  <si>
    <t xml:space="preserve">nos encanta</t>
  </si>
  <si>
    <t xml:space="preserve">delights us (plural)</t>
  </si>
  <si>
    <t xml:space="preserve">nos encantan</t>
  </si>
  <si>
    <t xml:space="preserve">delights you (plural, singular object)</t>
  </si>
  <si>
    <t xml:space="preserve">os encanta</t>
  </si>
  <si>
    <t xml:space="preserve">delights you (plural, plural object)</t>
  </si>
  <si>
    <t xml:space="preserve">os encantan</t>
  </si>
  <si>
    <t xml:space="preserve">delights them (singular)</t>
  </si>
  <si>
    <t xml:space="preserve">les encanta</t>
  </si>
  <si>
    <t xml:space="preserve">delights them (plural)</t>
  </si>
  <si>
    <t xml:space="preserve">les encantan</t>
  </si>
  <si>
    <t xml:space="preserve">the music delights us</t>
  </si>
  <si>
    <t xml:space="preserve">nos encanta la música</t>
  </si>
  <si>
    <t xml:space="preserve">i am cheap/stingy</t>
  </si>
  <si>
    <t xml:space="preserve">soy tacaño</t>
  </si>
  <si>
    <t xml:space="preserve">we are daring</t>
  </si>
  <si>
    <t xml:space="preserve">nosotros somos atrevidos</t>
  </si>
  <si>
    <t xml:space="preserve">lunch</t>
  </si>
  <si>
    <t xml:space="preserve">el almuerzo</t>
  </si>
  <si>
    <t xml:space="preserve">art</t>
  </si>
  <si>
    <t xml:space="preserve">el arte</t>
  </si>
  <si>
    <t xml:space="preserve">science</t>
  </si>
  <si>
    <t xml:space="preserve">las ciencias</t>
  </si>
  <si>
    <t xml:space="preserve">social sciences</t>
  </si>
  <si>
    <t xml:space="preserve">las ciencias sociales</t>
  </si>
  <si>
    <t xml:space="preserve">class of</t>
  </si>
  <si>
    <t xml:space="preserve">la clase de</t>
  </si>
  <si>
    <t xml:space="preserve">p.e.</t>
  </si>
  <si>
    <t xml:space="preserve">la educación fisica</t>
  </si>
  <si>
    <t xml:space="preserve">spanish</t>
  </si>
  <si>
    <t xml:space="preserve">(el) español</t>
  </si>
  <si>
    <t xml:space="preserve">english</t>
  </si>
  <si>
    <t xml:space="preserve">(el) inglés</t>
  </si>
  <si>
    <t xml:space="preserve">math</t>
  </si>
  <si>
    <t xml:space="preserve">las matemáticas</t>
  </si>
  <si>
    <t xml:space="preserve">twenty-six</t>
  </si>
  <si>
    <t xml:space="preserve">veintiséis</t>
  </si>
  <si>
    <t xml:space="preserve">twenty-seven</t>
  </si>
  <si>
    <t xml:space="preserve">veintisiete</t>
  </si>
  <si>
    <t xml:space="preserve">twenty-eight</t>
  </si>
  <si>
    <t xml:space="preserve">veintiocho</t>
  </si>
  <si>
    <t xml:space="preserve">twenty-nine</t>
  </si>
  <si>
    <t xml:space="preserve">veintinueve</t>
  </si>
  <si>
    <t xml:space="preserve">thirty</t>
  </si>
  <si>
    <t xml:space="preserve">treinta</t>
  </si>
  <si>
    <t xml:space="preserve">thirty-one</t>
  </si>
  <si>
    <t xml:space="preserve">treinta y uno</t>
  </si>
  <si>
    <t xml:space="preserve">fourty</t>
  </si>
  <si>
    <t xml:space="preserve">cuarenta</t>
  </si>
  <si>
    <t xml:space="preserve">ch03;numbers</t>
  </si>
  <si>
    <t xml:space="preserve">fifty</t>
  </si>
  <si>
    <t xml:space="preserve">cincuenta</t>
  </si>
  <si>
    <t xml:space="preserve">two thousand</t>
  </si>
  <si>
    <t xml:space="preserve">dos mil</t>
  </si>
  <si>
    <t xml:space="preserve">the daily planner</t>
  </si>
  <si>
    <t xml:space="preserve">la agenda</t>
  </si>
  <si>
    <t xml:space="preserve">the filing cabinet</t>
  </si>
  <si>
    <t xml:space="preserve">el archivador</t>
  </si>
  <si>
    <t xml:space="preserve">the calculator</t>
  </si>
  <si>
    <t xml:space="preserve">la calculadora</t>
  </si>
  <si>
    <t xml:space="preserve">the file folder</t>
  </si>
  <si>
    <t xml:space="preserve">la capeta</t>
  </si>
  <si>
    <t xml:space="preserve">the notebook</t>
  </si>
  <si>
    <t xml:space="preserve">el cuaderno</t>
  </si>
  <si>
    <t xml:space="preserve">the dictionary</t>
  </si>
  <si>
    <t xml:space="preserve">el diccionario</t>
  </si>
  <si>
    <t xml:space="preserve">the schedule</t>
  </si>
  <si>
    <t xml:space="preserve">el horario</t>
  </si>
  <si>
    <t xml:space="preserve">i am in the room</t>
  </si>
  <si>
    <t xml:space="preserve">yo estoy en la habitacion</t>
  </si>
  <si>
    <t xml:space="preserve">the marker</t>
  </si>
  <si>
    <t xml:space="preserve">el marcador</t>
  </si>
  <si>
    <t xml:space="preserve">the backpack</t>
  </si>
  <si>
    <t xml:space="preserve">la mochila</t>
  </si>
  <si>
    <t xml:space="preserve">the ruler/rule</t>
  </si>
  <si>
    <t xml:space="preserve">la regla</t>
  </si>
  <si>
    <t xml:space="preserve">the school</t>
  </si>
  <si>
    <t xml:space="preserve">la escuela</t>
  </si>
  <si>
    <t xml:space="preserve">ch03;school;object</t>
  </si>
  <si>
    <t xml:space="preserve">the counselor</t>
  </si>
  <si>
    <t xml:space="preserve">(el/la) consejer@</t>
  </si>
  <si>
    <t xml:space="preserve">the mentor</t>
  </si>
  <si>
    <t xml:space="preserve">(el mentor/la mentora)</t>
  </si>
  <si>
    <t xml:space="preserve">the tutor</t>
  </si>
  <si>
    <t xml:space="preserve">(el tutor/la turota)</t>
  </si>
  <si>
    <t xml:space="preserve">important</t>
  </si>
  <si>
    <t xml:space="preserve">importante</t>
  </si>
  <si>
    <t xml:space="preserve">ch03;Adjective</t>
  </si>
  <si>
    <t xml:space="preserve">the class is at midday</t>
  </si>
  <si>
    <t xml:space="preserve">la clase es en la mediodía</t>
  </si>
  <si>
    <t xml:space="preserve">you are ill</t>
  </si>
  <si>
    <t xml:space="preserve">tu estas infermo</t>
  </si>
  <si>
    <t xml:space="preserve">the ruler is on the table</t>
  </si>
  <si>
    <t xml:space="preserve">la regla esta en la mesa</t>
  </si>
  <si>
    <t xml:space="preserve">we like to watch television</t>
  </si>
  <si>
    <t xml:space="preserve">nos gusta ver la televisión</t>
  </si>
  <si>
    <t xml:space="preserve">watching tv delights me</t>
  </si>
  <si>
    <t xml:space="preserve">me encanta ver la televisión</t>
  </si>
  <si>
    <t xml:space="preserve">the class ends at two</t>
  </si>
  <si>
    <t xml:space="preserve">la clase termina a las dos</t>
  </si>
  <si>
    <t xml:space="preserve">he is handsome</t>
  </si>
  <si>
    <t xml:space="preserve">el esta guapo</t>
  </si>
  <si>
    <t xml:space="preserve">the theater delights me</t>
  </si>
  <si>
    <t xml:space="preserve">me encanta el teatro</t>
  </si>
  <si>
    <t xml:space="preserve">i want to do something</t>
  </si>
  <si>
    <t xml:space="preserve">yo quiero hacer algo</t>
  </si>
  <si>
    <t xml:space="preserve">i'm quiet</t>
  </si>
  <si>
    <t xml:space="preserve">soy callado</t>
  </si>
  <si>
    <t xml:space="preserve">i don't like to swim very much</t>
  </si>
  <si>
    <t xml:space="preserve">no me gusta mucho nadar</t>
  </si>
  <si>
    <t xml:space="preserve">we are organized</t>
  </si>
  <si>
    <t xml:space="preserve">nosotros somos ordenados</t>
  </si>
  <si>
    <t xml:space="preserve">they like the cats</t>
  </si>
  <si>
    <t xml:space="preserve">les gustan los gatos</t>
  </si>
  <si>
    <t xml:space="preserve">i don't like to write either</t>
  </si>
  <si>
    <t xml:space="preserve">a mi tampoco me gusta escribir</t>
  </si>
  <si>
    <t xml:space="preserve">he is serious</t>
  </si>
  <si>
    <t xml:space="preserve">el es serio</t>
  </si>
  <si>
    <t xml:space="preserve">i like to paint the house</t>
  </si>
  <si>
    <t xml:space="preserve">me gusta pintar la casa</t>
  </si>
  <si>
    <t xml:space="preserve">you (all) like my hair</t>
  </si>
  <si>
    <t xml:space="preserve">os gusta mi pelo</t>
  </si>
  <si>
    <t xml:space="preserve">they (female) are serious</t>
  </si>
  <si>
    <t xml:space="preserve">ellas son serias</t>
  </si>
  <si>
    <t xml:space="preserve">she is daring</t>
  </si>
  <si>
    <t xml:space="preserve">ella es atrevida</t>
  </si>
  <si>
    <t xml:space="preserve">she is cheap</t>
  </si>
  <si>
    <t xml:space="preserve">ella es tacaña</t>
  </si>
  <si>
    <t xml:space="preserve">the clown is funny</t>
  </si>
  <si>
    <t xml:space="preserve">el payaso es gracioso</t>
  </si>
  <si>
    <t xml:space="preserve">i swim in the water</t>
  </si>
  <si>
    <t xml:space="preserve">yo nado en el agua</t>
  </si>
  <si>
    <t xml:space="preserve">where are you (formal) from?</t>
  </si>
  <si>
    <t xml:space="preserve">de dónde es usted?</t>
  </si>
  <si>
    <t xml:space="preserve">de donde es usted?</t>
  </si>
  <si>
    <t xml:space="preserve">the teacher is very smart</t>
  </si>
  <si>
    <t xml:space="preserve">el meastro es muy inteligente</t>
  </si>
  <si>
    <t xml:space="preserve">happy cinco de mayo</t>
  </si>
  <si>
    <t xml:space="preserve">feliz de cinco de mayo</t>
  </si>
  <si>
    <t xml:space="preserve">the marker is green</t>
  </si>
  <si>
    <t xml:space="preserve">el marcador es verde</t>
  </si>
  <si>
    <t xml:space="preserve">the class is easy</t>
  </si>
  <si>
    <t xml:space="preserve">la clase es facil</t>
  </si>
  <si>
    <t xml:space="preserve">the pencil is yellow</t>
  </si>
  <si>
    <t xml:space="preserve">el lapiz es amarillo</t>
  </si>
  <si>
    <t xml:space="preserve">they are green</t>
  </si>
  <si>
    <t xml:space="preserve">ellos son verde</t>
  </si>
  <si>
    <t xml:space="preserve">i have nine pesos</t>
  </si>
  <si>
    <t xml:space="preserve">yo tengo nueve pesos</t>
  </si>
  <si>
    <t xml:space="preserve">ch04;sentences</t>
  </si>
  <si>
    <t xml:space="preserve">the pencil is on the table</t>
  </si>
  <si>
    <t xml:space="preserve">el lápiz esta en el escritorio</t>
  </si>
  <si>
    <t xml:space="preserve">she is seated</t>
  </si>
  <si>
    <t xml:space="preserve">ella esta sentada</t>
  </si>
  <si>
    <t xml:space="preserve">it is january 29th</t>
  </si>
  <si>
    <t xml:space="preserve">es el veintinueve de enero</t>
  </si>
  <si>
    <t xml:space="preserve">i have my notebooks in my backpack</t>
  </si>
  <si>
    <t xml:space="preserve">(yo) tengo mis cuardernos en mi mochila</t>
  </si>
  <si>
    <t xml:space="preserve">what is his/her name?</t>
  </si>
  <si>
    <t xml:space="preserve">cuál es su nombre?</t>
  </si>
  <si>
    <t xml:space="preserve">what is your boss called?</t>
  </si>
  <si>
    <t xml:space="preserve">cómo se llame tu jef@?</t>
  </si>
  <si>
    <t xml:space="preserve">what is the name of your boss</t>
  </si>
  <si>
    <t xml:space="preserve">cuál es el nombre de tu jef@?</t>
  </si>
  <si>
    <t xml:space="preserve">the nickname</t>
  </si>
  <si>
    <t xml:space="preserve">el apodo</t>
  </si>
  <si>
    <t xml:space="preserve">(el sobrenombre/el mote)</t>
  </si>
  <si>
    <t xml:space="preserve">for</t>
  </si>
  <si>
    <t xml:space="preserve">para</t>
  </si>
  <si>
    <t xml:space="preserve">i have a pencil for the class</t>
  </si>
  <si>
    <t xml:space="preserve">tengo un lápiz para la clase</t>
  </si>
  <si>
    <t xml:space="preserve">do you have your computer for the meeting?</t>
  </si>
  <si>
    <t xml:space="preserve">tienes tu computadora para la reunión?</t>
  </si>
  <si>
    <t xml:space="preserve">i need a notebood for the meeting</t>
  </si>
  <si>
    <t xml:space="preserve">necesito un cuaderno para la reunión</t>
  </si>
  <si>
    <t xml:space="preserve">do you need a daily planner for work?</t>
  </si>
  <si>
    <t xml:space="preserve">necsitas una agenda para el trabajo?</t>
  </si>
  <si>
    <t xml:space="preserve">i eat</t>
  </si>
  <si>
    <t xml:space="preserve">yo como</t>
  </si>
  <si>
    <t xml:space="preserve">ch03;toEat;verb;conj</t>
  </si>
  <si>
    <t xml:space="preserve">you eat</t>
  </si>
  <si>
    <t xml:space="preserve">tú comes</t>
  </si>
  <si>
    <t xml:space="preserve">he eats</t>
  </si>
  <si>
    <t xml:space="preserve">el come</t>
  </si>
  <si>
    <t xml:space="preserve">she eats</t>
  </si>
  <si>
    <t xml:space="preserve">ella come</t>
  </si>
  <si>
    <t xml:space="preserve">you (formal) eat</t>
  </si>
  <si>
    <t xml:space="preserve">usted come</t>
  </si>
  <si>
    <t xml:space="preserve">we eat</t>
  </si>
  <si>
    <t xml:space="preserve">nosotros comenos</t>
  </si>
  <si>
    <t xml:space="preserve">you (plural) eat</t>
  </si>
  <si>
    <t xml:space="preserve">vosotros coméis</t>
  </si>
  <si>
    <t xml:space="preserve">they eat</t>
  </si>
  <si>
    <t xml:space="preserve">(ellos/ellas) comen</t>
  </si>
  <si>
    <t xml:space="preserve">you (plural, formal) eat</t>
  </si>
  <si>
    <t xml:space="preserve">ustedes comen</t>
  </si>
  <si>
    <t xml:space="preserve">to live</t>
  </si>
  <si>
    <t xml:space="preserve">vivir</t>
  </si>
  <si>
    <t xml:space="preserve">ch03;toLive;verb;conj;regVerb</t>
  </si>
  <si>
    <t xml:space="preserve">i live</t>
  </si>
  <si>
    <t xml:space="preserve">yo vivo</t>
  </si>
  <si>
    <t xml:space="preserve">ch03;toLive;verb;conj</t>
  </si>
  <si>
    <t xml:space="preserve">you live</t>
  </si>
  <si>
    <t xml:space="preserve">tú vives</t>
  </si>
  <si>
    <t xml:space="preserve">he lives</t>
  </si>
  <si>
    <t xml:space="preserve">el vive</t>
  </si>
  <si>
    <t xml:space="preserve">she lives</t>
  </si>
  <si>
    <t xml:space="preserve">ella vive</t>
  </si>
  <si>
    <t xml:space="preserve">you (formal) live</t>
  </si>
  <si>
    <t xml:space="preserve">usted vive</t>
  </si>
  <si>
    <t xml:space="preserve">we live</t>
  </si>
  <si>
    <t xml:space="preserve">nosotros vivimos</t>
  </si>
  <si>
    <t xml:space="preserve">you (plural) live</t>
  </si>
  <si>
    <t xml:space="preserve">vosotros vivis</t>
  </si>
  <si>
    <t xml:space="preserve">they live</t>
  </si>
  <si>
    <t xml:space="preserve">(ellos/ellas) viven</t>
  </si>
  <si>
    <t xml:space="preserve">you (plural, formal) live</t>
  </si>
  <si>
    <t xml:space="preserve">ustedes viven</t>
  </si>
  <si>
    <t xml:space="preserve">to go</t>
  </si>
  <si>
    <t xml:space="preserve">ir</t>
  </si>
  <si>
    <t xml:space="preserve">ch04;togo;verb;irregVerb</t>
  </si>
  <si>
    <t xml:space="preserve">i go</t>
  </si>
  <si>
    <t xml:space="preserve">yo voy</t>
  </si>
  <si>
    <t xml:space="preserve">you go</t>
  </si>
  <si>
    <t xml:space="preserve">tú vas</t>
  </si>
  <si>
    <t xml:space="preserve">he goes</t>
  </si>
  <si>
    <t xml:space="preserve">el va</t>
  </si>
  <si>
    <t xml:space="preserve">she goes</t>
  </si>
  <si>
    <t xml:space="preserve">ella va</t>
  </si>
  <si>
    <t xml:space="preserve">you (formal) go</t>
  </si>
  <si>
    <t xml:space="preserve">usted va</t>
  </si>
  <si>
    <t xml:space="preserve">we go</t>
  </si>
  <si>
    <t xml:space="preserve">nosotros vamos</t>
  </si>
  <si>
    <t xml:space="preserve">you (plural) go</t>
  </si>
  <si>
    <t xml:space="preserve">vosotros vais</t>
  </si>
  <si>
    <t xml:space="preserve">they (male) go</t>
  </si>
  <si>
    <t xml:space="preserve">ellos van</t>
  </si>
  <si>
    <t xml:space="preserve">they (female) go</t>
  </si>
  <si>
    <t xml:space="preserve">ellas van</t>
  </si>
  <si>
    <t xml:space="preserve">you (plural formal) go</t>
  </si>
  <si>
    <t xml:space="preserve">ustedes van</t>
  </si>
  <si>
    <t xml:space="preserve">to be able</t>
  </si>
  <si>
    <t xml:space="preserve">poder</t>
  </si>
  <si>
    <t xml:space="preserve">ch04;toBeAble;verb;irregVerb</t>
  </si>
  <si>
    <t xml:space="preserve">i am able</t>
  </si>
  <si>
    <t xml:space="preserve">yo pudeo</t>
  </si>
  <si>
    <t xml:space="preserve">you are able</t>
  </si>
  <si>
    <t xml:space="preserve">tú puedes</t>
  </si>
  <si>
    <t xml:space="preserve">he is able</t>
  </si>
  <si>
    <t xml:space="preserve">el puede</t>
  </si>
  <si>
    <t xml:space="preserve">she is able</t>
  </si>
  <si>
    <t xml:space="preserve">ella puede</t>
  </si>
  <si>
    <t xml:space="preserve">you (formal) are able</t>
  </si>
  <si>
    <t xml:space="preserve">usted puede</t>
  </si>
  <si>
    <t xml:space="preserve">we are able</t>
  </si>
  <si>
    <t xml:space="preserve">nosotros podemos</t>
  </si>
  <si>
    <t xml:space="preserve">you (plural) are able</t>
  </si>
  <si>
    <t xml:space="preserve">vosotros podéis</t>
  </si>
  <si>
    <t xml:space="preserve">they (masculin) are able</t>
  </si>
  <si>
    <t xml:space="preserve">ellos pueden</t>
  </si>
  <si>
    <t xml:space="preserve">they (feminine) are able</t>
  </si>
  <si>
    <t xml:space="preserve">ellas pueden</t>
  </si>
  <si>
    <t xml:space="preserve">you (plural,formal) are able</t>
  </si>
  <si>
    <t xml:space="preserve">ustedes pueden</t>
  </si>
  <si>
    <t xml:space="preserve">to want</t>
  </si>
  <si>
    <t xml:space="preserve">querer</t>
  </si>
  <si>
    <t xml:space="preserve">ch04;toWant;verb;irregVerb</t>
  </si>
  <si>
    <t xml:space="preserve">i want</t>
  </si>
  <si>
    <t xml:space="preserve">yo quiero</t>
  </si>
  <si>
    <t xml:space="preserve">you want</t>
  </si>
  <si>
    <t xml:space="preserve">tú quieres</t>
  </si>
  <si>
    <t xml:space="preserve">he wants</t>
  </si>
  <si>
    <t xml:space="preserve">el quiere</t>
  </si>
  <si>
    <t xml:space="preserve">she wants</t>
  </si>
  <si>
    <t xml:space="preserve">ella quiere</t>
  </si>
  <si>
    <t xml:space="preserve">you (formal) want</t>
  </si>
  <si>
    <t xml:space="preserve">usted quiere</t>
  </si>
  <si>
    <t xml:space="preserve">we want</t>
  </si>
  <si>
    <t xml:space="preserve">nosotros queremos</t>
  </si>
  <si>
    <t xml:space="preserve">you (plural) want</t>
  </si>
  <si>
    <t xml:space="preserve">vosotros queréis</t>
  </si>
  <si>
    <t xml:space="preserve">they (masculin) want</t>
  </si>
  <si>
    <t xml:space="preserve">ellos quieren</t>
  </si>
  <si>
    <t xml:space="preserve">they (feminine) want</t>
  </si>
  <si>
    <t xml:space="preserve">ellas quieren</t>
  </si>
  <si>
    <t xml:space="preserve">you (plural,formal) want</t>
  </si>
  <si>
    <t xml:space="preserve">ustedes quieren</t>
  </si>
  <si>
    <t xml:space="preserve">i listen to music</t>
  </si>
  <si>
    <t xml:space="preserve">yo escucho musica</t>
  </si>
  <si>
    <t xml:space="preserve">do you like to work?</t>
  </si>
  <si>
    <t xml:space="preserve">te gusta trabajar?</t>
  </si>
  <si>
    <t xml:space="preserve">we arrived late for the appointment</t>
  </si>
  <si>
    <t xml:space="preserve">nosotros llegamos tarde por la cita</t>
  </si>
  <si>
    <t xml:space="preserve">the student (f) studies art</t>
  </si>
  <si>
    <t xml:space="preserve">la estudiante estudia arte</t>
  </si>
  <si>
    <t xml:space="preserve">maybe later</t>
  </si>
  <si>
    <t xml:space="preserve">quizas mas tarde</t>
  </si>
  <si>
    <t xml:space="preserve">math class</t>
  </si>
  <si>
    <t xml:space="preserve">la clase de matimaticas</t>
  </si>
  <si>
    <t xml:space="preserve">we are late for the appointment</t>
  </si>
  <si>
    <t xml:space="preserve">nosotros estamos tarde para la cita</t>
  </si>
  <si>
    <t xml:space="preserve">i can look at cats</t>
  </si>
  <si>
    <t xml:space="preserve">yo puedo mirar a gatos</t>
  </si>
  <si>
    <t xml:space="preserve">no you can not look at cats</t>
  </si>
  <si>
    <t xml:space="preserve">no tú ni puedes mirar a gatos</t>
  </si>
  <si>
    <t xml:space="preserve">here is the student (f) with the computer</t>
  </si>
  <si>
    <t xml:space="preserve">aqui esta la estudianta con la computadora</t>
  </si>
  <si>
    <t xml:space="preserve">maybe i speak spanish.</t>
  </si>
  <si>
    <t xml:space="preserve">quiza yo hablo espanol</t>
  </si>
  <si>
    <t xml:space="preserve">do you like beer?</t>
  </si>
  <si>
    <t xml:space="preserve">te gusta cerveza?</t>
  </si>
  <si>
    <t xml:space="preserve">it's 2 on a friday.</t>
  </si>
  <si>
    <t xml:space="preserve">son los dos en viernes</t>
  </si>
  <si>
    <t xml:space="preserve">i am 19 today!</t>
  </si>
  <si>
    <t xml:space="preserve">yo tengo diecinueve anos hoy!</t>
  </si>
  <si>
    <t xml:space="preserve">he talks about cats</t>
  </si>
  <si>
    <t xml:space="preserve">el habla de gatos</t>
  </si>
  <si>
    <t xml:space="preserve">he is happy</t>
  </si>
  <si>
    <t xml:space="preserve">el esta contento</t>
  </si>
  <si>
    <t xml:space="preserve">they want to party</t>
  </si>
  <si>
    <t xml:space="preserve">ellos quieren fiesta</t>
  </si>
  <si>
    <t xml:space="preserve">i have a meeting with my mentor</t>
  </si>
  <si>
    <t xml:space="preserve">yo tengo un reunion con mi mentor</t>
  </si>
  <si>
    <t xml:space="preserve">i believe in science</t>
  </si>
  <si>
    <t xml:space="preserve">yo creo en la ciencia</t>
  </si>
  <si>
    <t xml:space="preserve">i read the book</t>
  </si>
  <si>
    <t xml:space="preserve">yo leo el libro</t>
  </si>
  <si>
    <t xml:space="preserve">the accident is horrible</t>
  </si>
  <si>
    <t xml:space="preserve">el accidente es horrible</t>
  </si>
  <si>
    <t xml:space="preserve">the television is big</t>
  </si>
  <si>
    <t xml:space="preserve">la televisión es grande</t>
  </si>
  <si>
    <t xml:space="preserve">the animal is small</t>
  </si>
  <si>
    <t xml:space="preserve">el animal es pequeña</t>
  </si>
  <si>
    <t xml:space="preserve">the bicycle is good</t>
  </si>
  <si>
    <t xml:space="preserve">la bicicleta es buena</t>
  </si>
  <si>
    <t xml:space="preserve">the café is exotic</t>
  </si>
  <si>
    <t xml:space="preserve">el café es exótica</t>
  </si>
  <si>
    <t xml:space="preserve">the camera is expensive</t>
  </si>
  <si>
    <t xml:space="preserve">la cámara es caro</t>
  </si>
  <si>
    <t xml:space="preserve">the sofa is comfortable</t>
  </si>
  <si>
    <t xml:space="preserve">el sofá es cómodo</t>
  </si>
  <si>
    <t xml:space="preserve">the crocodile is big</t>
  </si>
  <si>
    <t xml:space="preserve">el cocodrilo es grande</t>
  </si>
  <si>
    <t xml:space="preserve">the dolar is strong</t>
  </si>
  <si>
    <t xml:space="preserve">el dolar es fuerte</t>
  </si>
  <si>
    <t xml:space="preserve">the family is extrodinary</t>
  </si>
  <si>
    <t xml:space="preserve">la familia es extrodinary</t>
  </si>
  <si>
    <t xml:space="preserve">the piano is pretty</t>
  </si>
  <si>
    <t xml:space="preserve">el piano es bastante</t>
  </si>
  <si>
    <t xml:space="preserve">the island is exotic</t>
  </si>
  <si>
    <t xml:space="preserve">la isla es exótica</t>
  </si>
  <si>
    <t xml:space="preserve">the restaurant is tasty</t>
  </si>
  <si>
    <t xml:space="preserve">el restaurante es sabroso</t>
  </si>
  <si>
    <t xml:space="preserve">the music is pretty</t>
  </si>
  <si>
    <t xml:space="preserve">la música es bastante</t>
  </si>
  <si>
    <t xml:space="preserve">the telephone is expensive</t>
  </si>
  <si>
    <t xml:space="preserve">el teléfono es caro</t>
  </si>
  <si>
    <t xml:space="preserve">i am daring</t>
  </si>
  <si>
    <t xml:space="preserve">estoy atrevida</t>
  </si>
  <si>
    <t xml:space="preserve">you are artistic</t>
  </si>
  <si>
    <t xml:space="preserve">eres artístico</t>
  </si>
  <si>
    <t xml:space="preserve">he is quiet</t>
  </si>
  <si>
    <t xml:space="preserve">él es tranquilo</t>
  </si>
  <si>
    <t xml:space="preserve">she is (plays sports)</t>
  </si>
  <si>
    <t xml:space="preserve">ella es (obras de teatro deportes)</t>
  </si>
  <si>
    <t xml:space="preserve">we are generous</t>
  </si>
  <si>
    <t xml:space="preserve">somos generosos</t>
  </si>
  <si>
    <t xml:space="preserve">you are funny i am imptient</t>
  </si>
  <si>
    <t xml:space="preserve">usted es divertido i am imptient</t>
  </si>
  <si>
    <t xml:space="preserve">i am not organized</t>
  </si>
  <si>
    <t xml:space="preserve">no soy organizado</t>
  </si>
  <si>
    <t xml:space="preserve">i am very lazy</t>
  </si>
  <si>
    <t xml:space="preserve">yo soy muy flojo</t>
  </si>
  <si>
    <t xml:space="preserve">we are cautious</t>
  </si>
  <si>
    <t xml:space="preserve">somos prudentes</t>
  </si>
  <si>
    <t xml:space="preserve">they are social</t>
  </si>
  <si>
    <t xml:space="preserve">son sociales</t>
  </si>
  <si>
    <t xml:space="preserve">she is hard working</t>
  </si>
  <si>
    <t xml:space="preserve">ella es trabajadora</t>
  </si>
  <si>
    <t xml:space="preserve">we are kind</t>
  </si>
  <si>
    <t xml:space="preserve">somos amables</t>
  </si>
  <si>
    <t xml:space="preserve">they (f) are artistic</t>
  </si>
  <si>
    <t xml:space="preserve">que (f) son artísticos</t>
  </si>
  <si>
    <t xml:space="preserve">que es barato</t>
  </si>
  <si>
    <t xml:space="preserve">they (f) are hard working</t>
  </si>
  <si>
    <t xml:space="preserve">que (f) son de trabajo duro</t>
  </si>
  <si>
    <t xml:space="preserve">ch03;personX</t>
  </si>
  <si>
    <t xml:space="preserve">you like</t>
  </si>
  <si>
    <t xml:space="preserve">he likes</t>
  </si>
  <si>
    <t xml:space="preserve">she likes</t>
  </si>
  <si>
    <t xml:space="preserve">i can</t>
  </si>
  <si>
    <t xml:space="preserve">yo puedo</t>
  </si>
  <si>
    <t xml:space="preserve">you can</t>
  </si>
  <si>
    <t xml:space="preserve">he can</t>
  </si>
  <si>
    <t xml:space="preserve">she can</t>
  </si>
  <si>
    <t xml:space="preserve">i have to</t>
  </si>
  <si>
    <t xml:space="preserve">yo tengo que</t>
  </si>
  <si>
    <t xml:space="preserve">you have to</t>
  </si>
  <si>
    <t xml:space="preserve">tú tienes que</t>
  </si>
  <si>
    <t xml:space="preserve">he has to</t>
  </si>
  <si>
    <t xml:space="preserve">el tiene</t>
  </si>
  <si>
    <t xml:space="preserve">she has to</t>
  </si>
  <si>
    <t xml:space="preserve">ella tiene</t>
  </si>
  <si>
    <t xml:space="preserve">i know</t>
  </si>
  <si>
    <t xml:space="preserve">yo sé</t>
  </si>
  <si>
    <t xml:space="preserve">you know</t>
  </si>
  <si>
    <t xml:space="preserve">tú sabes</t>
  </si>
  <si>
    <t xml:space="preserve">he knows</t>
  </si>
  <si>
    <t xml:space="preserve">el sabe</t>
  </si>
  <si>
    <t xml:space="preserve">she knows</t>
  </si>
  <si>
    <t xml:space="preserve">ella sabe</t>
  </si>
  <si>
    <t xml:space="preserve">he needs</t>
  </si>
  <si>
    <t xml:space="preserve">el necesita</t>
  </si>
  <si>
    <t xml:space="preserve">she needs</t>
  </si>
  <si>
    <t xml:space="preserve">ella necesita</t>
  </si>
  <si>
    <t xml:space="preserve">i prefer</t>
  </si>
  <si>
    <t xml:space="preserve">yo prefiero</t>
  </si>
  <si>
    <t xml:space="preserve">you prefer</t>
  </si>
  <si>
    <t xml:space="preserve">tú prefieres</t>
  </si>
  <si>
    <t xml:space="preserve">he prefers</t>
  </si>
  <si>
    <t xml:space="preserve">el prefiere</t>
  </si>
  <si>
    <t xml:space="preserve">she prefers</t>
  </si>
  <si>
    <t xml:space="preserve">ella prefiere</t>
  </si>
  <si>
    <t xml:space="preserve">i am going to</t>
  </si>
  <si>
    <t xml:space="preserve">yo voy a</t>
  </si>
  <si>
    <t xml:space="preserve">you are going to</t>
  </si>
  <si>
    <t xml:space="preserve">tú vas a</t>
  </si>
  <si>
    <t xml:space="preserve">he is going to</t>
  </si>
  <si>
    <t xml:space="preserve">el va a</t>
  </si>
  <si>
    <t xml:space="preserve">she is going to</t>
  </si>
  <si>
    <t xml:space="preserve">she likes (to) be with friends</t>
  </si>
  <si>
    <t xml:space="preserve">le gusta estar con amigos</t>
  </si>
  <si>
    <t xml:space="preserve">personXInf;generated</t>
  </si>
  <si>
    <t xml:space="preserve">you know (to) go (to) the movies</t>
  </si>
  <si>
    <t xml:space="preserve">tú sabes ir al cine</t>
  </si>
  <si>
    <t xml:space="preserve">you prefer (to) be with friends</t>
  </si>
  <si>
    <t xml:space="preserve">tú prefieres estar con amigos</t>
  </si>
  <si>
    <t xml:space="preserve">he can (to) listen (to) music</t>
  </si>
  <si>
    <t xml:space="preserve">el puede escuchar música</t>
  </si>
  <si>
    <t xml:space="preserve">she likes (to) go (to) school</t>
  </si>
  <si>
    <t xml:space="preserve">le gusta ir a la escuela</t>
  </si>
  <si>
    <t xml:space="preserve">she prefers (to) paint</t>
  </si>
  <si>
    <t xml:space="preserve">ella prefiere pintar</t>
  </si>
  <si>
    <t xml:space="preserve">she has to (to) skate</t>
  </si>
  <si>
    <t xml:space="preserve">ella tiene patinar</t>
  </si>
  <si>
    <t xml:space="preserve">i know (to) paint</t>
  </si>
  <si>
    <t xml:space="preserve">yo sé pintar</t>
  </si>
  <si>
    <t xml:space="preserve">she needs (to) skate</t>
  </si>
  <si>
    <t xml:space="preserve">ella necesita patinar</t>
  </si>
  <si>
    <t xml:space="preserve">she can (to) paint</t>
  </si>
  <si>
    <t xml:space="preserve">ella puede pintar</t>
  </si>
  <si>
    <t xml:space="preserve">she can (to) swim</t>
  </si>
  <si>
    <t xml:space="preserve">ella puede nadar</t>
  </si>
  <si>
    <t xml:space="preserve">i know (to) help around the house</t>
  </si>
  <si>
    <t xml:space="preserve">yo sé ayudar en casa</t>
  </si>
  <si>
    <t xml:space="preserve">i am going to (to) skate</t>
  </si>
  <si>
    <t xml:space="preserve">yo voy a patinar</t>
  </si>
  <si>
    <t xml:space="preserve">i want (to) swim</t>
  </si>
  <si>
    <t xml:space="preserve">yo quiero nadar</t>
  </si>
  <si>
    <t xml:space="preserve">he needs (to) help around the house</t>
  </si>
  <si>
    <t xml:space="preserve">el necesita ayudar en casa</t>
  </si>
  <si>
    <t xml:space="preserve">you are going to (to) be with friends</t>
  </si>
  <si>
    <t xml:space="preserve">tú vas a estar con amigos</t>
  </si>
  <si>
    <t xml:space="preserve">he is going to (to) go (to) school</t>
  </si>
  <si>
    <t xml:space="preserve">el va a ir a la escuela</t>
  </si>
  <si>
    <t xml:space="preserve">you need (to) skate</t>
  </si>
  <si>
    <t xml:space="preserve">tú necesitas patinar</t>
  </si>
  <si>
    <t xml:space="preserve">she likes (to) play the guitar</t>
  </si>
  <si>
    <t xml:space="preserve">le gusta tocar la guitarra</t>
  </si>
  <si>
    <t xml:space="preserve">you like (to) watch tv</t>
  </si>
  <si>
    <t xml:space="preserve">te gusta ver la televisión</t>
  </si>
  <si>
    <t xml:space="preserve">i like (to) skate</t>
  </si>
  <si>
    <t xml:space="preserve">me gusta patinar</t>
  </si>
  <si>
    <t xml:space="preserve">he has to (to) paint</t>
  </si>
  <si>
    <t xml:space="preserve">el tiene pintar</t>
  </si>
  <si>
    <t xml:space="preserve">she likes (to) swim</t>
  </si>
  <si>
    <t xml:space="preserve">le gusta nadar</t>
  </si>
  <si>
    <t xml:space="preserve">you need (to) work</t>
  </si>
  <si>
    <t xml:space="preserve">tú necesitas trabajar</t>
  </si>
  <si>
    <t xml:space="preserve">he needs (to) work</t>
  </si>
  <si>
    <t xml:space="preserve">el necesita trabajar</t>
  </si>
  <si>
    <t xml:space="preserve">he likes (to) swim</t>
  </si>
  <si>
    <t xml:space="preserve">she needs (to) play sports</t>
  </si>
  <si>
    <t xml:space="preserve">ella necesita practica deportes</t>
  </si>
  <si>
    <t xml:space="preserve">you are going to (to) read</t>
  </si>
  <si>
    <t xml:space="preserve">tú vas a leer</t>
  </si>
  <si>
    <t xml:space="preserve">you have to (to) go (to) the movies</t>
  </si>
  <si>
    <t xml:space="preserve">tú tienes que ir al cine</t>
  </si>
  <si>
    <t xml:space="preserve">i have to (to) swim</t>
  </si>
  <si>
    <t xml:space="preserve">yo tengo que nadar</t>
  </si>
  <si>
    <t xml:space="preserve">you prefer (to) draw</t>
  </si>
  <si>
    <t xml:space="preserve">tú prefieres dibujar</t>
  </si>
  <si>
    <t xml:space="preserve">she can (to) skate</t>
  </si>
  <si>
    <t xml:space="preserve">ella puede patinar</t>
  </si>
  <si>
    <t xml:space="preserve">i need (to) talk</t>
  </si>
  <si>
    <t xml:space="preserve">yo necesito hablar</t>
  </si>
  <si>
    <t xml:space="preserve">i prefer (to) listen (to) music</t>
  </si>
  <si>
    <t xml:space="preserve">yo prefiero escuchar música</t>
  </si>
  <si>
    <t xml:space="preserve">you prefer (to) talk</t>
  </si>
  <si>
    <t xml:space="preserve">tú prefieres hablar</t>
  </si>
  <si>
    <t xml:space="preserve">i want (to) play sports</t>
  </si>
  <si>
    <t xml:space="preserve">yo quiero practica deportes</t>
  </si>
  <si>
    <t xml:space="preserve">she knows (to) play the guitar</t>
  </si>
  <si>
    <t xml:space="preserve">ella sabe tocar la guitarra</t>
  </si>
  <si>
    <t xml:space="preserve">i want (to) do</t>
  </si>
  <si>
    <t xml:space="preserve">yo quiero hacer</t>
  </si>
  <si>
    <t xml:space="preserve">i need (to) study</t>
  </si>
  <si>
    <t xml:space="preserve">yo necesito estudiar</t>
  </si>
  <si>
    <t xml:space="preserve">he knows (to) skate</t>
  </si>
  <si>
    <t xml:space="preserve">el sabe patinar</t>
  </si>
  <si>
    <t xml:space="preserve">she can (to) play the guitar</t>
  </si>
  <si>
    <t xml:space="preserve">ella puede tocar la guitarra</t>
  </si>
  <si>
    <t xml:space="preserve">i prefer (to) be with friends</t>
  </si>
  <si>
    <t xml:space="preserve">yo prefiero estar con amigos</t>
  </si>
  <si>
    <t xml:space="preserve">she wants (to) read</t>
  </si>
  <si>
    <t xml:space="preserve">ella quiere leer</t>
  </si>
  <si>
    <t xml:space="preserve">you prefer (to) swim</t>
  </si>
  <si>
    <t xml:space="preserve">tú prefieres nadar</t>
  </si>
  <si>
    <t xml:space="preserve">you know (to) write</t>
  </si>
  <si>
    <t xml:space="preserve">tú sabes escribir</t>
  </si>
  <si>
    <t xml:space="preserve">she can (to) go (to) the movies</t>
  </si>
  <si>
    <t xml:space="preserve">ella puede ir al cine</t>
  </si>
  <si>
    <t xml:space="preserve">she has to (to) be with friends</t>
  </si>
  <si>
    <t xml:space="preserve">ella tiene estar con amigos</t>
  </si>
  <si>
    <t xml:space="preserve">i like (to) watch tv</t>
  </si>
  <si>
    <t xml:space="preserve">me gusta ver la televisión</t>
  </si>
  <si>
    <t xml:space="preserve">he prefers (to) draw</t>
  </si>
  <si>
    <t xml:space="preserve">el prefiere dibujar</t>
  </si>
  <si>
    <t xml:space="preserve">he prefers (to) be with friends</t>
  </si>
  <si>
    <t xml:space="preserve">el prefiere estar con amigos</t>
  </si>
  <si>
    <t xml:space="preserve">i need (to) play the guitar</t>
  </si>
  <si>
    <t xml:space="preserve">yo necesito tocar la guitarra</t>
  </si>
  <si>
    <t xml:space="preserve">you know (to) cook</t>
  </si>
  <si>
    <t xml:space="preserve">tú sabes cocinar</t>
  </si>
  <si>
    <t xml:space="preserve">i am going to (to) cook</t>
  </si>
  <si>
    <t xml:space="preserve">yo voy a cocinar</t>
  </si>
  <si>
    <t xml:space="preserve">she can (to) draw</t>
  </si>
  <si>
    <t xml:space="preserve">ella puede dibujar</t>
  </si>
  <si>
    <t xml:space="preserve">i have to (to) talk</t>
  </si>
  <si>
    <t xml:space="preserve">yo tengo que hablar</t>
  </si>
  <si>
    <t xml:space="preserve">she wants (to) write</t>
  </si>
  <si>
    <t xml:space="preserve">ella quiere escribir</t>
  </si>
  <si>
    <t xml:space="preserve">you want (to) skate</t>
  </si>
  <si>
    <t xml:space="preserve">tú quieres patinar</t>
  </si>
  <si>
    <t xml:space="preserve">you need (to) watch tv</t>
  </si>
  <si>
    <t xml:space="preserve">tú necesitas ver la televisión</t>
  </si>
  <si>
    <t xml:space="preserve">he knows (to) listen (to) music</t>
  </si>
  <si>
    <t xml:space="preserve">el sabe escuchar música</t>
  </si>
  <si>
    <t xml:space="preserve">he is going to (to) skate</t>
  </si>
  <si>
    <t xml:space="preserve">el va a patinar</t>
  </si>
  <si>
    <t xml:space="preserve">i have to (to) help around the house</t>
  </si>
  <si>
    <t xml:space="preserve">yo tengo que ayudar en casa</t>
  </si>
  <si>
    <t xml:space="preserve">he has to (to) do</t>
  </si>
  <si>
    <t xml:space="preserve">el tiene hacer</t>
  </si>
  <si>
    <t xml:space="preserve">i want (to) listen (to) music</t>
  </si>
  <si>
    <t xml:space="preserve">yo quiero escuchar música</t>
  </si>
  <si>
    <t xml:space="preserve">he likes (to) be with friends</t>
  </si>
  <si>
    <t xml:space="preserve">he wants (to) play the guitar</t>
  </si>
  <si>
    <t xml:space="preserve">el quiere tocar la guitarra</t>
  </si>
  <si>
    <t xml:space="preserve">she prefers (to) write</t>
  </si>
  <si>
    <t xml:space="preserve">ella prefiere escribir</t>
  </si>
  <si>
    <t xml:space="preserve">i like (to) be with friends</t>
  </si>
  <si>
    <t xml:space="preserve">me gusta estar con amigos</t>
  </si>
  <si>
    <t xml:space="preserve">you have to (to) listen (to) music</t>
  </si>
  <si>
    <t xml:space="preserve">tú tienes que escuchar música</t>
  </si>
  <si>
    <t xml:space="preserve">she needs (to) talk</t>
  </si>
  <si>
    <t xml:space="preserve">ella necesita hablar</t>
  </si>
  <si>
    <t xml:space="preserve">you have to (to) talk</t>
  </si>
  <si>
    <t xml:space="preserve">tú tienes que hablar</t>
  </si>
  <si>
    <t xml:space="preserve">she needs (to) listen (to) music</t>
  </si>
  <si>
    <t xml:space="preserve">ella necesita escuchar música</t>
  </si>
  <si>
    <t xml:space="preserve">she has to (to) study</t>
  </si>
  <si>
    <t xml:space="preserve">ella tiene estudiar</t>
  </si>
  <si>
    <t xml:space="preserve">you want (to) be with friends</t>
  </si>
  <si>
    <t xml:space="preserve">tú quieres estar con amigos</t>
  </si>
  <si>
    <t xml:space="preserve">you need (to) cook</t>
  </si>
  <si>
    <t xml:space="preserve">tú necesitas cocinar</t>
  </si>
  <si>
    <t xml:space="preserve">you want (to) do</t>
  </si>
  <si>
    <t xml:space="preserve">tú quieres hacer</t>
  </si>
  <si>
    <t xml:space="preserve">he has to (to) go (to) the movies</t>
  </si>
  <si>
    <t xml:space="preserve">el tiene ir al cine</t>
  </si>
  <si>
    <t xml:space="preserve">she can (to) help around the house</t>
  </si>
  <si>
    <t xml:space="preserve">ella puede ayudar en casa</t>
  </si>
  <si>
    <t xml:space="preserve">she wants (to) watch tv</t>
  </si>
  <si>
    <t xml:space="preserve">ella quiere ver la televisión</t>
  </si>
  <si>
    <t xml:space="preserve">she can (to) watch tv</t>
  </si>
  <si>
    <t xml:space="preserve">ella puede ver la televisión</t>
  </si>
  <si>
    <t xml:space="preserve">he likes (to) paint</t>
  </si>
  <si>
    <t xml:space="preserve">le gusta pintar</t>
  </si>
  <si>
    <t xml:space="preserve">you want (to) write</t>
  </si>
  <si>
    <t xml:space="preserve">tú quieres escribir</t>
  </si>
  <si>
    <t xml:space="preserve">i know (to) play sports</t>
  </si>
  <si>
    <t xml:space="preserve">yo sé practica deportes</t>
  </si>
  <si>
    <t xml:space="preserve">you are going to (to) go (to) the movies</t>
  </si>
  <si>
    <t xml:space="preserve">tú vas a ir al cine</t>
  </si>
  <si>
    <t xml:space="preserve">you can (to) paint</t>
  </si>
  <si>
    <t xml:space="preserve">tú puedes pintar</t>
  </si>
  <si>
    <t xml:space="preserve">you prefer (to) work</t>
  </si>
  <si>
    <t xml:space="preserve">tú prefieres trabajar</t>
  </si>
  <si>
    <t xml:space="preserve">he has to (to) listen (to) music</t>
  </si>
  <si>
    <t xml:space="preserve">el tiene escuchar música</t>
  </si>
  <si>
    <t xml:space="preserve">you know (to) play sports</t>
  </si>
  <si>
    <t xml:space="preserve">tú sabes practica deportes</t>
  </si>
  <si>
    <t xml:space="preserve">i have to (to) watch tv</t>
  </si>
  <si>
    <t xml:space="preserve">yo tengo que ver la televisión</t>
  </si>
  <si>
    <t xml:space="preserve">he is going to (to) help around the house</t>
  </si>
  <si>
    <t xml:space="preserve">el va a ayudar en casa</t>
  </si>
  <si>
    <t xml:space="preserve">i cook; you cook; he cooks</t>
  </si>
  <si>
    <t xml:space="preserve">yo cocino; té cocinas; el cocina</t>
  </si>
  <si>
    <t xml:space="preserve">conj;generated</t>
  </si>
  <si>
    <t xml:space="preserve">i draw; you draw; he draws</t>
  </si>
  <si>
    <t xml:space="preserve">yo dibujo; té dibujas; el dibuja</t>
  </si>
  <si>
    <t xml:space="preserve">i write; you write; he writes</t>
  </si>
  <si>
    <t xml:space="preserve">yo escribo; té escribes; el escribe</t>
  </si>
  <si>
    <t xml:space="preserve">i study; you study; he studies</t>
  </si>
  <si>
    <t xml:space="preserve">yo estudio; tu estudias; el estudia</t>
  </si>
  <si>
    <t xml:space="preserve">i talk; you talk; he talks</t>
  </si>
  <si>
    <t xml:space="preserve">yo hablo; tu hablas; el habla</t>
  </si>
  <si>
    <t xml:space="preserve">i do; you do; he dos</t>
  </si>
  <si>
    <t xml:space="preserve">yo haco; té haces; el hace</t>
  </si>
  <si>
    <t xml:space="preserve">i read; you read; he reads</t>
  </si>
  <si>
    <t xml:space="preserve">yo leo; tu lees; el lee</t>
  </si>
  <si>
    <t xml:space="preserve">i swim; you swim; he swims</t>
  </si>
  <si>
    <t xml:space="preserve">yo nado; té nadas; el nada</t>
  </si>
  <si>
    <t xml:space="preserve">i skate; you skate; he skates</t>
  </si>
  <si>
    <t xml:space="preserve">yo patino; té patinas; el patina</t>
  </si>
  <si>
    <t xml:space="preserve">i paint; you paint; he paints</t>
  </si>
  <si>
    <t xml:space="preserve">yo pinto; tu pintas; el pinta</t>
  </si>
  <si>
    <t xml:space="preserve">always</t>
  </si>
  <si>
    <t xml:space="preserve">siempre</t>
  </si>
  <si>
    <t xml:space="preserve">frequency</t>
  </si>
  <si>
    <t xml:space="preserve">never</t>
  </si>
  <si>
    <t xml:space="preserve">nunca</t>
  </si>
  <si>
    <t xml:space="preserve">almost</t>
  </si>
  <si>
    <t xml:space="preserve">casi</t>
  </si>
  <si>
    <t xml:space="preserve">aveces</t>
  </si>
  <si>
    <t xml:space="preserve">every day</t>
  </si>
  <si>
    <t xml:space="preserve">todos los días</t>
  </si>
  <si>
    <t xml:space="preserve">every week</t>
  </si>
  <si>
    <t xml:space="preserve">todos las semanas</t>
  </si>
  <si>
    <t xml:space="preserve">every year</t>
  </si>
  <si>
    <t xml:space="preserve">todos los años</t>
  </si>
  <si>
    <t xml:space="preserve">frequently</t>
  </si>
  <si>
    <t xml:space="preserve">frecuentamente</t>
  </si>
  <si>
    <t xml:space="preserve">regularly</t>
  </si>
  <si>
    <t xml:space="preserve">con mucho frecuenta</t>
  </si>
  <si>
    <t xml:space="preserve">many times</t>
  </si>
  <si>
    <t xml:space="preserve">muchas veces</t>
  </si>
  <si>
    <t xml:space="preserve">pocas veces</t>
  </si>
  <si>
    <t xml:space="preserve">the coming week</t>
  </si>
  <si>
    <t xml:space="preserve">la semana que vienes</t>
  </si>
  <si>
    <t xml:space="preserve">next week</t>
  </si>
  <si>
    <t xml:space="preserve">la semana proxima</t>
  </si>
  <si>
    <t xml:space="preserve">the table</t>
  </si>
  <si>
    <t xml:space="preserve">la mesa</t>
  </si>
  <si>
    <t xml:space="preserve">object</t>
  </si>
  <si>
    <t xml:space="preserve">those books</t>
  </si>
  <si>
    <t xml:space="preserve">esas libros</t>
  </si>
  <si>
    <t xml:space="preserve">thisEtc;generated</t>
  </si>
  <si>
    <t xml:space="preserve">this paper</t>
  </si>
  <si>
    <t xml:space="preserve">esta papel</t>
  </si>
  <si>
    <t xml:space="preserve">that table</t>
  </si>
  <si>
    <t xml:space="preserve">esa mesa</t>
  </si>
  <si>
    <t xml:space="preserve">this table</t>
  </si>
  <si>
    <t xml:space="preserve">esta mesa</t>
  </si>
  <si>
    <t xml:space="preserve">these desks</t>
  </si>
  <si>
    <t xml:space="preserve">estas escritorios</t>
  </si>
  <si>
    <t xml:space="preserve">those schools</t>
  </si>
  <si>
    <t xml:space="preserve">esas escuelas</t>
  </si>
  <si>
    <t xml:space="preserve">that computer</t>
  </si>
  <si>
    <t xml:space="preserve">esa computadora</t>
  </si>
  <si>
    <t xml:space="preserve">those weeks</t>
  </si>
  <si>
    <t xml:space="preserve">esas semanas</t>
  </si>
  <si>
    <t xml:space="preserve">that week</t>
  </si>
  <si>
    <t xml:space="preserve">esa semana</t>
  </si>
  <si>
    <t xml:space="preserve">these calendars</t>
  </si>
  <si>
    <t xml:space="preserve">estas calendarios</t>
  </si>
  <si>
    <t xml:space="preserve">this dictionary</t>
  </si>
  <si>
    <t xml:space="preserve">esto diccionario</t>
  </si>
  <si>
    <t xml:space="preserve">those cabinets</t>
  </si>
  <si>
    <t xml:space="preserve">esas archivadors</t>
  </si>
  <si>
    <t xml:space="preserve">that day</t>
  </si>
  <si>
    <t xml:space="preserve">ese día</t>
  </si>
  <si>
    <t xml:space="preserve">that calculator</t>
  </si>
  <si>
    <t xml:space="preserve">esa calculadora</t>
  </si>
  <si>
    <t xml:space="preserve">this folder</t>
  </si>
  <si>
    <t xml:space="preserve">esta capeta</t>
  </si>
  <si>
    <t xml:space="preserve">that pen</t>
  </si>
  <si>
    <t xml:space="preserve">esa bolígrafo</t>
  </si>
  <si>
    <t xml:space="preserve">this cabinet</t>
  </si>
  <si>
    <t xml:space="preserve">esta archivador</t>
  </si>
  <si>
    <t xml:space="preserve">that folder</t>
  </si>
  <si>
    <t xml:space="preserve">esa capeta</t>
  </si>
  <si>
    <t xml:space="preserve">that cabinet</t>
  </si>
  <si>
    <t xml:space="preserve">esa archivador</t>
  </si>
  <si>
    <t xml:space="preserve">these papers</t>
  </si>
  <si>
    <t xml:space="preserve">estas papels</t>
  </si>
  <si>
    <t xml:space="preserve">that marker</t>
  </si>
  <si>
    <t xml:space="preserve">esa marcador</t>
  </si>
  <si>
    <t xml:space="preserve">those planners</t>
  </si>
  <si>
    <t xml:space="preserve">esas agendas</t>
  </si>
  <si>
    <t xml:space="preserve">that planner</t>
  </si>
  <si>
    <t xml:space="preserve">esa agenda</t>
  </si>
  <si>
    <t xml:space="preserve">these folders</t>
  </si>
  <si>
    <t xml:space="preserve">estas capetas</t>
  </si>
  <si>
    <t xml:space="preserve">these ruler/rules</t>
  </si>
  <si>
    <t xml:space="preserve">estas reglas</t>
  </si>
  <si>
    <t xml:space="preserve">those notebooks</t>
  </si>
  <si>
    <t xml:space="preserve">esas cuadernos</t>
  </si>
  <si>
    <t xml:space="preserve">that paperback</t>
  </si>
  <si>
    <t xml:space="preserve">esa mochila</t>
  </si>
  <si>
    <t xml:space="preserve">esa pluma</t>
  </si>
  <si>
    <t xml:space="preserve">that paper</t>
  </si>
  <si>
    <t xml:space="preserve">esa papel</t>
  </si>
  <si>
    <t xml:space="preserve">that notebook</t>
  </si>
  <si>
    <t xml:space="preserve">esa cuaderno</t>
  </si>
  <si>
    <t xml:space="preserve">this date</t>
  </si>
  <si>
    <t xml:space="preserve">esta fecha</t>
  </si>
  <si>
    <t xml:space="preserve">those desks</t>
  </si>
  <si>
    <t xml:space="preserve">esas escritorios</t>
  </si>
  <si>
    <t xml:space="preserve">these markers</t>
  </si>
  <si>
    <t xml:space="preserve">estas marcadors</t>
  </si>
  <si>
    <t xml:space="preserve">this pencil</t>
  </si>
  <si>
    <t xml:space="preserve">esta lápiz</t>
  </si>
  <si>
    <t xml:space="preserve">this school</t>
  </si>
  <si>
    <t xml:space="preserve">esta escuela</t>
  </si>
  <si>
    <t xml:space="preserve">that pencil</t>
  </si>
  <si>
    <t xml:space="preserve">esa lápiz</t>
  </si>
  <si>
    <t xml:space="preserve">this desk</t>
  </si>
  <si>
    <t xml:space="preserve">esta escritorio</t>
  </si>
  <si>
    <t xml:space="preserve">these notebooks</t>
  </si>
  <si>
    <t xml:space="preserve">estas cuadernos</t>
  </si>
  <si>
    <t xml:space="preserve">esos libros</t>
  </si>
  <si>
    <t xml:space="preserve">this day</t>
  </si>
  <si>
    <t xml:space="preserve">esta día</t>
  </si>
  <si>
    <t xml:space="preserve">these days</t>
  </si>
  <si>
    <t xml:space="preserve">estas días</t>
  </si>
  <si>
    <t xml:space="preserve">that schedule</t>
  </si>
  <si>
    <t xml:space="preserve">esa horario</t>
  </si>
  <si>
    <t xml:space="preserve">you need this cabinet</t>
  </si>
  <si>
    <t xml:space="preserve">tú necesitas esta archivador</t>
  </si>
  <si>
    <t xml:space="preserve">personXThisEtc;generated</t>
  </si>
  <si>
    <t xml:space="preserve">i know this book</t>
  </si>
  <si>
    <t xml:space="preserve">yo sé esta libro</t>
  </si>
  <si>
    <t xml:space="preserve">he has to these tables</t>
  </si>
  <si>
    <t xml:space="preserve">el tiene estas mesas</t>
  </si>
  <si>
    <t xml:space="preserve">you have to paint this desk</t>
  </si>
  <si>
    <t xml:space="preserve">tú tienes que pintar esta escritorio</t>
  </si>
  <si>
    <t xml:space="preserve">he has to this desk</t>
  </si>
  <si>
    <t xml:space="preserve">el tiene esta escritorio</t>
  </si>
  <si>
    <t xml:space="preserve">you like that pencil</t>
  </si>
  <si>
    <t xml:space="preserve">te gusta esa lápiz</t>
  </si>
  <si>
    <t xml:space="preserve">she needs that paperback</t>
  </si>
  <si>
    <t xml:space="preserve">ella necesita esa mochila</t>
  </si>
  <si>
    <t xml:space="preserve">she is going to this date</t>
  </si>
  <si>
    <t xml:space="preserve">ella va esta fecha</t>
  </si>
  <si>
    <t xml:space="preserve">i have to this notebook</t>
  </si>
  <si>
    <t xml:space="preserve">yo tengo que esta cuaderno</t>
  </si>
  <si>
    <t xml:space="preserve">he wants that date</t>
  </si>
  <si>
    <t xml:space="preserve">el quiere esa fecha</t>
  </si>
  <si>
    <t xml:space="preserve">he has to this paper</t>
  </si>
  <si>
    <t xml:space="preserve">el tiene esta papel</t>
  </si>
  <si>
    <t xml:space="preserve">he has to those folders</t>
  </si>
  <si>
    <t xml:space="preserve">el tiene esas capetas</t>
  </si>
  <si>
    <t xml:space="preserve">he is going to these papers</t>
  </si>
  <si>
    <t xml:space="preserve">el va a estas papels</t>
  </si>
  <si>
    <t xml:space="preserve">he prefers this computer</t>
  </si>
  <si>
    <t xml:space="preserve">el prefiere esta computadora</t>
  </si>
  <si>
    <t xml:space="preserve">you need this table</t>
  </si>
  <si>
    <t xml:space="preserve">tú necesitas esta mesa</t>
  </si>
  <si>
    <t xml:space="preserve">he has to those dictionarys</t>
  </si>
  <si>
    <t xml:space="preserve">el tiene esas diccionarios</t>
  </si>
  <si>
    <t xml:space="preserve">he needs that desk</t>
  </si>
  <si>
    <t xml:space="preserve">el necesita esa escritorio</t>
  </si>
  <si>
    <t xml:space="preserve">she has to that marker</t>
  </si>
  <si>
    <t xml:space="preserve">ella tiene esa marcador</t>
  </si>
  <si>
    <t xml:space="preserve">she prefers these calendars</t>
  </si>
  <si>
    <t xml:space="preserve">ella prefiere estas calendarios</t>
  </si>
  <si>
    <t xml:space="preserve">he wants these cabinets</t>
  </si>
  <si>
    <t xml:space="preserve">el quiere estas archivadors</t>
  </si>
  <si>
    <t xml:space="preserve">she knows these computers</t>
  </si>
  <si>
    <t xml:space="preserve">ella sabe estas computadoras</t>
  </si>
  <si>
    <t xml:space="preserve">he likes this pen</t>
  </si>
  <si>
    <t xml:space="preserve">le gusta esta bolígrafo</t>
  </si>
  <si>
    <t xml:space="preserve">he knows this computer</t>
  </si>
  <si>
    <t xml:space="preserve">el sabe esta computadora</t>
  </si>
  <si>
    <t xml:space="preserve">i have to this paper</t>
  </si>
  <si>
    <t xml:space="preserve">yo tengo que esta papel</t>
  </si>
  <si>
    <t xml:space="preserve">i have to those ruler/rules</t>
  </si>
  <si>
    <t xml:space="preserve">yo tengo que esas reglas</t>
  </si>
  <si>
    <t xml:space="preserve">i want these desks</t>
  </si>
  <si>
    <t xml:space="preserve">yo quiero estas escritorios</t>
  </si>
  <si>
    <t xml:space="preserve">you have to that calculator</t>
  </si>
  <si>
    <t xml:space="preserve">tú tienes que esa calculadora</t>
  </si>
  <si>
    <t xml:space="preserve">you need those calculators</t>
  </si>
  <si>
    <t xml:space="preserve">tú necesitas esas calculadoras</t>
  </si>
  <si>
    <t xml:space="preserve">you like those markers</t>
  </si>
  <si>
    <t xml:space="preserve">te gusta esas marcadors</t>
  </si>
  <si>
    <t xml:space="preserve">i like that schedule</t>
  </si>
  <si>
    <t xml:space="preserve">me gusta esa horario</t>
  </si>
  <si>
    <t xml:space="preserve">you are going to these notebooks</t>
  </si>
  <si>
    <t xml:space="preserve">tú vas a estas cuadernos</t>
  </si>
  <si>
    <t xml:space="preserve">she has to those tables</t>
  </si>
  <si>
    <t xml:space="preserve">ella tiene esas mesas</t>
  </si>
  <si>
    <t xml:space="preserve">i like this school</t>
  </si>
  <si>
    <t xml:space="preserve">me gusta esta escuela</t>
  </si>
  <si>
    <t xml:space="preserve">you know those pens</t>
  </si>
  <si>
    <t xml:space="preserve">tú sabes esas plumas</t>
  </si>
  <si>
    <t xml:space="preserve">you can that dictionary</t>
  </si>
  <si>
    <t xml:space="preserve">tú puedes esa diccionario</t>
  </si>
  <si>
    <t xml:space="preserve">you have to this pencil</t>
  </si>
  <si>
    <t xml:space="preserve">tú tienes que esta lápiz</t>
  </si>
  <si>
    <t xml:space="preserve">i want this week</t>
  </si>
  <si>
    <t xml:space="preserve">yo quiero esta semana</t>
  </si>
  <si>
    <t xml:space="preserve">i like that pen</t>
  </si>
  <si>
    <t xml:space="preserve">me gusta esa pluma</t>
  </si>
  <si>
    <t xml:space="preserve">he can that paperback</t>
  </si>
  <si>
    <t xml:space="preserve">el puede esa mochila</t>
  </si>
  <si>
    <t xml:space="preserve">i am going to those weeks</t>
  </si>
  <si>
    <t xml:space="preserve">yo voy a esas semanas</t>
  </si>
  <si>
    <t xml:space="preserve">he likes those books</t>
  </si>
  <si>
    <t xml:space="preserve">le gusta esas libros</t>
  </si>
  <si>
    <t xml:space="preserve">she needs this pencil</t>
  </si>
  <si>
    <t xml:space="preserve">ella necesita esta lápiz</t>
  </si>
  <si>
    <t xml:space="preserve">she prefers these paperbacks</t>
  </si>
  <si>
    <t xml:space="preserve">ella prefiere estas mochilas</t>
  </si>
  <si>
    <t xml:space="preserve">you are going to these ruler/rules</t>
  </si>
  <si>
    <t xml:space="preserve">tú vas a estas reglas</t>
  </si>
  <si>
    <t xml:space="preserve">he has to that pencil</t>
  </si>
  <si>
    <t xml:space="preserve">el tiene esa lápiz</t>
  </si>
  <si>
    <t xml:space="preserve">you know those computers</t>
  </si>
  <si>
    <t xml:space="preserve">tú sabes esas computadoras</t>
  </si>
  <si>
    <t xml:space="preserve">i want those ruler/rules</t>
  </si>
  <si>
    <t xml:space="preserve">yo quiero esas reglas</t>
  </si>
  <si>
    <t xml:space="preserve">she can this paper</t>
  </si>
  <si>
    <t xml:space="preserve">ella puede esta papel</t>
  </si>
  <si>
    <t xml:space="preserve">i am going to those books</t>
  </si>
  <si>
    <t xml:space="preserve">yo voy a esos libros</t>
  </si>
  <si>
    <t xml:space="preserve">you are going to those tables</t>
  </si>
  <si>
    <t xml:space="preserve">tú vas a esas mesas</t>
  </si>
  <si>
    <t xml:space="preserve">i (m) am ill</t>
  </si>
  <si>
    <t xml:space="preserve">estoy enfermo</t>
  </si>
  <si>
    <t xml:space="preserve">ch04;toBeState</t>
  </si>
  <si>
    <t xml:space="preserve">i (female) am ill</t>
  </si>
  <si>
    <t xml:space="preserve">estoy enferma</t>
  </si>
  <si>
    <t xml:space="preserve">i (masculin) am tired</t>
  </si>
  <si>
    <t xml:space="preserve">estoy cansado</t>
  </si>
  <si>
    <t xml:space="preserve">i (female) am tired</t>
  </si>
  <si>
    <t xml:space="preserve">estoy cansada</t>
  </si>
  <si>
    <t xml:space="preserve">you (masculin) are happy</t>
  </si>
  <si>
    <t xml:space="preserve">estas contento</t>
  </si>
  <si>
    <t xml:space="preserve">you (f) are happy</t>
  </si>
  <si>
    <t xml:space="preserve">estas contenta</t>
  </si>
  <si>
    <t xml:space="preserve">he is depressed</t>
  </si>
  <si>
    <t xml:space="preserve">esta deprimido</t>
  </si>
  <si>
    <t xml:space="preserve">she is depressed</t>
  </si>
  <si>
    <t xml:space="preserve">esta deprimida</t>
  </si>
  <si>
    <t xml:space="preserve">i (m) am excited</t>
  </si>
  <si>
    <t xml:space="preserve">estoy emocionado</t>
  </si>
  <si>
    <t xml:space="preserve">i (f) am excited</t>
  </si>
  <si>
    <t xml:space="preserve">estoy emocionada</t>
  </si>
  <si>
    <t xml:space="preserve">he is frustrated</t>
  </si>
  <si>
    <t xml:space="preserve">esta frustrado</t>
  </si>
  <si>
    <t xml:space="preserve">you (f) are frustrated</t>
  </si>
  <si>
    <t xml:space="preserve">estas frustrada</t>
  </si>
  <si>
    <t xml:space="preserve">i (m) am fed up</t>
  </si>
  <si>
    <t xml:space="preserve">estoy harto</t>
  </si>
  <si>
    <t xml:space="preserve">i (f) am fed up</t>
  </si>
  <si>
    <t xml:space="preserve">estoy harta</t>
  </si>
  <si>
    <t xml:space="preserve">are you (f) ready?</t>
  </si>
  <si>
    <t xml:space="preserve">estas lista?</t>
  </si>
  <si>
    <t xml:space="preserve">i (m) am ready</t>
  </si>
  <si>
    <t xml:space="preserve">estoy listo</t>
  </si>
  <si>
    <t xml:space="preserve">i (f) am nervous</t>
  </si>
  <si>
    <t xml:space="preserve">estoy nerviosa</t>
  </si>
  <si>
    <t xml:space="preserve">are you (m) nervous?</t>
  </si>
  <si>
    <t xml:space="preserve">estas nervioso?</t>
  </si>
  <si>
    <t xml:space="preserve">are you (f) busy?</t>
  </si>
  <si>
    <t xml:space="preserve">estas ocupada?</t>
  </si>
  <si>
    <t xml:space="preserve">i (m) am busy</t>
  </si>
  <si>
    <t xml:space="preserve">estoy ocupado</t>
  </si>
  <si>
    <t xml:space="preserve">i (m) am worried</t>
  </si>
  <si>
    <t xml:space="preserve">estoy preocupado</t>
  </si>
  <si>
    <t xml:space="preserve">she is worried</t>
  </si>
  <si>
    <t xml:space="preserve">esta preocupada</t>
  </si>
  <si>
    <t xml:space="preserve">i am sad</t>
  </si>
  <si>
    <t xml:space="preserve">estoy triste</t>
  </si>
  <si>
    <t xml:space="preserve">to rent</t>
  </si>
  <si>
    <t xml:space="preserve">alguilar</t>
  </si>
  <si>
    <t xml:space="preserve">ch04;inf;verb;regVerb</t>
  </si>
  <si>
    <t xml:space="preserve">rentar</t>
  </si>
  <si>
    <t xml:space="preserve">to dance</t>
  </si>
  <si>
    <t xml:space="preserve">bailar</t>
  </si>
  <si>
    <t xml:space="preserve">to sing</t>
  </si>
  <si>
    <t xml:space="preserve">cantar</t>
  </si>
  <si>
    <t xml:space="preserve">to ski</t>
  </si>
  <si>
    <t xml:space="preserve">esquiar</t>
  </si>
  <si>
    <t xml:space="preserve">to smoke</t>
  </si>
  <si>
    <t xml:space="preserve">fumar</t>
  </si>
  <si>
    <t xml:space="preserve">to speak</t>
  </si>
  <si>
    <t xml:space="preserve">to clean the house</t>
  </si>
  <si>
    <t xml:space="preserve">limpiar la casa</t>
  </si>
  <si>
    <t xml:space="preserve">to drive a car</t>
  </si>
  <si>
    <t xml:space="preserve">manejar un carro</t>
  </si>
  <si>
    <t xml:space="preserve">mirar la tele</t>
  </si>
  <si>
    <t xml:space="preserve">to ride a bicycle</t>
  </si>
  <si>
    <t xml:space="preserve">montar en bicicleta</t>
  </si>
  <si>
    <t xml:space="preserve">platicar</t>
  </si>
  <si>
    <t xml:space="preserve">to chat</t>
  </si>
  <si>
    <t xml:space="preserve">charlar</t>
  </si>
  <si>
    <t xml:space="preserve">to prepare dinner</t>
  </si>
  <si>
    <t xml:space="preserve">preparar la cena</t>
  </si>
  <si>
    <t xml:space="preserve">to touch</t>
  </si>
  <si>
    <t xml:space="preserve">tocar</t>
  </si>
  <si>
    <t xml:space="preserve">to use the computer</t>
  </si>
  <si>
    <t xml:space="preserve">usar la computadora</t>
  </si>
  <si>
    <t xml:space="preserve">to travel</t>
  </si>
  <si>
    <t xml:space="preserve">viajar</t>
  </si>
  <si>
    <t xml:space="preserve">to learn</t>
  </si>
  <si>
    <t xml:space="preserve">aprender</t>
  </si>
  <si>
    <t xml:space="preserve">to open</t>
  </si>
  <si>
    <t xml:space="preserve">abrir</t>
  </si>
  <si>
    <t xml:space="preserve">to eat</t>
  </si>
  <si>
    <t xml:space="preserve">comer</t>
  </si>
  <si>
    <t xml:space="preserve">to run</t>
  </si>
  <si>
    <t xml:space="preserve">correr</t>
  </si>
  <si>
    <t xml:space="preserve">to attend class</t>
  </si>
  <si>
    <t xml:space="preserve">asistir a clase</t>
  </si>
  <si>
    <t xml:space="preserve">to drink</t>
  </si>
  <si>
    <t xml:space="preserve">beber</t>
  </si>
  <si>
    <t xml:space="preserve">to write a letter</t>
  </si>
  <si>
    <t xml:space="preserve">escribir una carta</t>
  </si>
  <si>
    <t xml:space="preserve">to read a book</t>
  </si>
  <si>
    <t xml:space="preserve">leer un libro</t>
  </si>
  <si>
    <t xml:space="preserve">to live in the city</t>
  </si>
  <si>
    <t xml:space="preserve">vivir en la ciudad</t>
  </si>
  <si>
    <t xml:space="preserve">to go to a party</t>
  </si>
  <si>
    <t xml:space="preserve">ir a una fiesta</t>
  </si>
  <si>
    <t xml:space="preserve">ch04;inf;verb;irregVerb</t>
  </si>
  <si>
    <t xml:space="preserve">to go shopping</t>
  </si>
  <si>
    <t xml:space="preserve">ir de compras</t>
  </si>
  <si>
    <t xml:space="preserve">to play (sports)</t>
  </si>
  <si>
    <t xml:space="preserve">jugar</t>
  </si>
  <si>
    <t xml:space="preserve">to think</t>
  </si>
  <si>
    <t xml:space="preserve">pensar</t>
  </si>
  <si>
    <t xml:space="preserve">to prefer</t>
  </si>
  <si>
    <t xml:space="preserve">preferir</t>
  </si>
  <si>
    <t xml:space="preserve">to know (information)</t>
  </si>
  <si>
    <t xml:space="preserve">saber</t>
  </si>
  <si>
    <t xml:space="preserve">to know (how)</t>
  </si>
  <si>
    <t xml:space="preserve">conocer</t>
  </si>
  <si>
    <t xml:space="preserve">to have</t>
  </si>
  <si>
    <t xml:space="preserve">tener</t>
  </si>
  <si>
    <t xml:space="preserve">to see/watch</t>
  </si>
  <si>
    <t xml:space="preserve">ver</t>
  </si>
  <si>
    <t xml:space="preserve">the countryside</t>
  </si>
  <si>
    <t xml:space="preserve">el campo</t>
  </si>
  <si>
    <t xml:space="preserve">ch04;noun</t>
  </si>
  <si>
    <t xml:space="preserve">the mall</t>
  </si>
  <si>
    <t xml:space="preserve">el centro comercial</t>
  </si>
  <si>
    <t xml:space="preserve">the gym</t>
  </si>
  <si>
    <t xml:space="preserve">el gimnasio</t>
  </si>
  <si>
    <t xml:space="preserve">the park</t>
  </si>
  <si>
    <t xml:space="preserve">el parque</t>
  </si>
  <si>
    <t xml:space="preserve">the amusement park</t>
  </si>
  <si>
    <t xml:space="preserve">el parque de diversiones</t>
  </si>
  <si>
    <t xml:space="preserve">the swimming pool</t>
  </si>
  <si>
    <t xml:space="preserve">la piscian</t>
  </si>
  <si>
    <t xml:space="preserve">la alberca</t>
  </si>
  <si>
    <t xml:space="preserve">the beach</t>
  </si>
  <si>
    <t xml:space="preserve">la playa</t>
  </si>
  <si>
    <t xml:space="preserve">to where?</t>
  </si>
  <si>
    <t xml:space="preserve">adónde?</t>
  </si>
  <si>
    <t xml:space="preserve">ch04;questions</t>
  </si>
  <si>
    <t xml:space="preserve">where are you going?</t>
  </si>
  <si>
    <t xml:space="preserve">adónde vas?</t>
  </si>
  <si>
    <t xml:space="preserve">with me</t>
  </si>
  <si>
    <t xml:space="preserve">conmigo</t>
  </si>
  <si>
    <t xml:space="preserve">ch04;words</t>
  </si>
  <si>
    <t xml:space="preserve">with you</t>
  </si>
  <si>
    <t xml:space="preserve">contigo</t>
  </si>
  <si>
    <t xml:space="preserve">with him</t>
  </si>
  <si>
    <t xml:space="preserve">con él</t>
  </si>
  <si>
    <t xml:space="preserve">with her</t>
  </si>
  <si>
    <t xml:space="preserve">con ellla</t>
  </si>
  <si>
    <t xml:space="preserve">with us (m)</t>
  </si>
  <si>
    <t xml:space="preserve">con nosotros</t>
  </si>
  <si>
    <t xml:space="preserve">you you (plural, familiar, m)</t>
  </si>
  <si>
    <t xml:space="preserve">con vosotros</t>
  </si>
  <si>
    <t xml:space="preserve">with you (plural, formal)</t>
  </si>
  <si>
    <t xml:space="preserve">con ustedes</t>
  </si>
  <si>
    <t xml:space="preserve">without me</t>
  </si>
  <si>
    <t xml:space="preserve">sin mí</t>
  </si>
  <si>
    <t xml:space="preserve">without you</t>
  </si>
  <si>
    <t xml:space="preserve">sin ti</t>
  </si>
  <si>
    <t xml:space="preserve">without him</t>
  </si>
  <si>
    <t xml:space="preserve">sin él</t>
  </si>
  <si>
    <t xml:space="preserve">without her</t>
  </si>
  <si>
    <t xml:space="preserve">sin ella</t>
  </si>
  <si>
    <t xml:space="preserve">without us</t>
  </si>
  <si>
    <t xml:space="preserve">sin nosotros</t>
  </si>
  <si>
    <t xml:space="preserve">without you (plural, familiar)</t>
  </si>
  <si>
    <t xml:space="preserve">sin vosotros</t>
  </si>
  <si>
    <t xml:space="preserve">withough you (plural, formal)</t>
  </si>
  <si>
    <t xml:space="preserve">sin ustedes</t>
  </si>
  <si>
    <t xml:space="preserve">the friend (m)</t>
  </si>
  <si>
    <t xml:space="preserve">el amigo</t>
  </si>
  <si>
    <t xml:space="preserve">the friend (f)</t>
  </si>
  <si>
    <t xml:space="preserve">la amiga</t>
  </si>
  <si>
    <t xml:space="preserve">alone</t>
  </si>
  <si>
    <t xml:space="preserve">sol@</t>
  </si>
  <si>
    <t xml:space="preserve">together</t>
  </si>
  <si>
    <t xml:space="preserve">junt@s</t>
  </si>
  <si>
    <t xml:space="preserve">perhaps</t>
  </si>
  <si>
    <t xml:space="preserve">tal vez</t>
  </si>
  <si>
    <t xml:space="preserve">possibly</t>
  </si>
  <si>
    <t xml:space="preserve">posiblemente</t>
  </si>
  <si>
    <t xml:space="preserve">of course!</t>
  </si>
  <si>
    <t xml:space="preserve">!cómo no!</t>
  </si>
  <si>
    <t xml:space="preserve">of course not!</t>
  </si>
  <si>
    <t xml:space="preserve">!claro que no!</t>
  </si>
  <si>
    <t xml:space="preserve">you're welcome</t>
  </si>
  <si>
    <t xml:space="preserve">de nada</t>
  </si>
  <si>
    <t xml:space="preserve">the season</t>
  </si>
  <si>
    <t xml:space="preserve">la estacíon</t>
  </si>
  <si>
    <t xml:space="preserve">ch04;words;seasons</t>
  </si>
  <si>
    <t xml:space="preserve">the seasons</t>
  </si>
  <si>
    <t xml:space="preserve">las estaciones</t>
  </si>
  <si>
    <t xml:space="preserve">ch04;words;seasons;time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</si>
  <si>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</si>
  <si>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</si>
  <si>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</si>
  <si>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</si>
  <si>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fall</t>
  </si>
  <si>
    <t xml:space="preserve">el otoño</t>
  </si>
  <si>
    <t xml:space="preserve">the winter</t>
  </si>
  <si>
    <t xml:space="preserve">el invierno</t>
  </si>
  <si>
    <t xml:space="preserve">on the weekend</t>
  </si>
  <si>
    <t xml:space="preserve">el fin de semana</t>
  </si>
  <si>
    <t xml:space="preserve">ch04;words;time;frequency</t>
  </si>
  <si>
    <t xml:space="preserve">on the weekends</t>
  </si>
  <si>
    <t xml:space="preserve">los fines de semana</t>
  </si>
  <si>
    <t xml:space="preserve">after ..</t>
  </si>
  <si>
    <t xml:space="preserve">después de</t>
  </si>
  <si>
    <t xml:space="preserve">en/por la mañana</t>
  </si>
  <si>
    <t xml:space="preserve">en/por la tarde</t>
  </si>
  <si>
    <t xml:space="preserve">at night</t>
  </si>
  <si>
    <t xml:space="preserve">en/por la noche</t>
  </si>
  <si>
    <t xml:space="preserve">generally</t>
  </si>
  <si>
    <t xml:space="preserve">generalmente</t>
  </si>
  <si>
    <t xml:space="preserve">not today</t>
  </si>
  <si>
    <t xml:space="preserve">hoy no</t>
  </si>
  <si>
    <t xml:space="preserve">you don't say!</t>
  </si>
  <si>
    <t xml:space="preserve">!no me digas!</t>
  </si>
  <si>
    <t xml:space="preserve">awesome</t>
  </si>
  <si>
    <t xml:space="preserve">!genial!</t>
  </si>
  <si>
    <t xml:space="preserve">what a pity!</t>
  </si>
  <si>
    <t xml:space="preserve">!qué lástima</t>
  </si>
  <si>
    <t xml:space="preserve">what a shame/how sad!</t>
  </si>
  <si>
    <t xml:space="preserve">!qué pena!</t>
  </si>
  <si>
    <t xml:space="preserve">the voice</t>
  </si>
  <si>
    <t xml:space="preserve">la voz</t>
  </si>
  <si>
    <t xml:space="preserve">the voices</t>
  </si>
  <si>
    <t xml:space="preserve">las voces</t>
  </si>
  <si>
    <t xml:space="preserve">something</t>
  </si>
  <si>
    <t xml:space="preserve">algo</t>
  </si>
  <si>
    <t xml:space="preserve">nothing</t>
  </si>
  <si>
    <t xml:space="preserve">nada</t>
  </si>
  <si>
    <t xml:space="preserve">the pastime</t>
  </si>
  <si>
    <t xml:space="preserve">el pasatiempo</t>
  </si>
  <si>
    <t xml:space="preserve">because</t>
  </si>
  <si>
    <t xml:space="preserve">porque</t>
  </si>
  <si>
    <t xml:space="preserve">in order to swim</t>
  </si>
  <si>
    <t xml:space="preserve">para nader</t>
  </si>
  <si>
    <t xml:space="preserve">ch04;words;frequency</t>
  </si>
  <si>
    <t xml:space="preserve">after running</t>
  </si>
  <si>
    <t xml:space="preserve">después de correr</t>
  </si>
  <si>
    <t xml:space="preserve">before work</t>
  </si>
  <si>
    <t xml:space="preserve">antes de trabacho</t>
  </si>
  <si>
    <t xml:space="preserve">without cooking</t>
  </si>
  <si>
    <t xml:space="preserve">sin cosinar</t>
  </si>
  <si>
    <t xml:space="preserve">the meals</t>
  </si>
  <si>
    <t xml:space="preserve">las comidas</t>
  </si>
  <si>
    <t xml:space="preserve">ch05;words;food</t>
  </si>
  <si>
    <t xml:space="preserve">ch05;verb;inf;food</t>
  </si>
  <si>
    <t xml:space="preserve">tomar</t>
  </si>
  <si>
    <t xml:space="preserve">to eat breakfast</t>
  </si>
  <si>
    <t xml:space="preserve">desayunar</t>
  </si>
  <si>
    <t xml:space="preserve">to eat lunch</t>
  </si>
  <si>
    <t xml:space="preserve">almorzar (o&gt;ue)</t>
  </si>
  <si>
    <t xml:space="preserve">to eat dinner</t>
  </si>
  <si>
    <t xml:space="preserve">cenar</t>
  </si>
  <si>
    <t xml:space="preserve">the dinner</t>
  </si>
  <si>
    <t xml:space="preserve">la cena</t>
  </si>
  <si>
    <t xml:space="preserve">the food</t>
  </si>
  <si>
    <t xml:space="preserve">la comida</t>
  </si>
  <si>
    <t xml:space="preserve">the junk food</t>
  </si>
  <si>
    <t xml:space="preserve">la comida chatarra</t>
  </si>
  <si>
    <t xml:space="preserve">breakfast</t>
  </si>
  <si>
    <t xml:space="preserve">el desayuno</t>
  </si>
  <si>
    <t xml:space="preserve">afternoon snack</t>
  </si>
  <si>
    <t xml:space="preserve">la merienda</t>
  </si>
  <si>
    <t xml:space="preserve">the snack</t>
  </si>
  <si>
    <t xml:space="preserve">la botana</t>
  </si>
  <si>
    <t xml:space="preserve">the appetizer</t>
  </si>
  <si>
    <t xml:space="preserve">el aperitivo</t>
  </si>
  <si>
    <t xml:space="preserve">the refreshments</t>
  </si>
  <si>
    <t xml:space="preserve">los refrigerios</t>
  </si>
  <si>
    <t xml:space="preserve">he teaches spanish</t>
  </si>
  <si>
    <t xml:space="preserve">el enseña espagñol</t>
  </si>
  <si>
    <t xml:space="preserve">i need to sing in order to dance</t>
  </si>
  <si>
    <t xml:space="preserve">yo necesito cantar para bailar</t>
  </si>
  <si>
    <t xml:space="preserve">i need to study</t>
  </si>
  <si>
    <t xml:space="preserve">ch04;sentenes</t>
  </si>
  <si>
    <t xml:space="preserve">i am nervous, because we have to go to spanish class on saterday</t>
  </si>
  <si>
    <t xml:space="preserve">estoy nervioso porque tenemos que ir a la clase espagñol en el sabado</t>
  </si>
  <si>
    <t xml:space="preserve">ch04;sentences;longSentences</t>
  </si>
  <si>
    <t xml:space="preserve">we work together</t>
  </si>
  <si>
    <t xml:space="preserve">nosotros trabajamos juntos</t>
  </si>
  <si>
    <t xml:space="preserve">when i travel, i am going to write you a letter</t>
  </si>
  <si>
    <t xml:space="preserve">quando viajo, voy a te escribir una carta</t>
  </si>
  <si>
    <t xml:space="preserve">i am going to sleep because i am tired</t>
  </si>
  <si>
    <t xml:space="preserve">yo voy a dormir poque, estoy cansado</t>
  </si>
  <si>
    <t xml:space="preserve">we are going to a party without you all</t>
  </si>
  <si>
    <t xml:space="preserve">nosotros vamos a una fiesta sin vosotros</t>
  </si>
  <si>
    <t xml:space="preserve">the rice</t>
  </si>
  <si>
    <t xml:space="preserve">el arroz</t>
  </si>
  <si>
    <t xml:space="preserve">the tuna</t>
  </si>
  <si>
    <t xml:space="preserve">el atún</t>
  </si>
  <si>
    <t xml:space="preserve">the steak</t>
  </si>
  <si>
    <t xml:space="preserve">el bisctec</t>
  </si>
  <si>
    <t xml:space="preserve">the meat (beef)</t>
  </si>
  <si>
    <t xml:space="preserve">la carne</t>
  </si>
  <si>
    <t xml:space="preserve">the cereal</t>
  </si>
  <si>
    <t xml:space="preserve">el cereal</t>
  </si>
  <si>
    <t xml:space="preserve">the saled</t>
  </si>
  <si>
    <t xml:space="preserve">la ensalada</t>
  </si>
  <si>
    <t xml:space="preserve">the fruits</t>
  </si>
  <si>
    <t xml:space="preserve">las frutas</t>
  </si>
  <si>
    <t xml:space="preserve">the avocado</t>
  </si>
  <si>
    <t xml:space="preserve">el aguacate</t>
  </si>
  <si>
    <t xml:space="preserve">la palta</t>
  </si>
  <si>
    <t xml:space="preserve">the blueberry or cranberry</t>
  </si>
  <si>
    <t xml:space="preserve">el arándano</t>
  </si>
  <si>
    <t xml:space="preserve">the plum</t>
  </si>
  <si>
    <t xml:space="preserve">la ciruela</t>
  </si>
  <si>
    <t xml:space="preserve">the peach</t>
  </si>
  <si>
    <t xml:space="preserve">el durazno</t>
  </si>
  <si>
    <t xml:space="preserve">el melocotón</t>
  </si>
  <si>
    <t xml:space="preserve">the melon</t>
  </si>
  <si>
    <t xml:space="preserve">el melón</t>
  </si>
  <si>
    <t xml:space="preserve">el cantaloupe</t>
  </si>
  <si>
    <t xml:space="preserve">the orange</t>
  </si>
  <si>
    <t xml:space="preserve">la naranja</t>
  </si>
  <si>
    <t xml:space="preserve">the nectarin</t>
  </si>
  <si>
    <t xml:space="preserve">la centarina</t>
  </si>
  <si>
    <t xml:space="preserve">the pear</t>
  </si>
  <si>
    <t xml:space="preserve">la pera</t>
  </si>
  <si>
    <t xml:space="preserve">the pineapple</t>
  </si>
  <si>
    <t xml:space="preserve">la piña</t>
  </si>
  <si>
    <t xml:space="preserve">the banana</t>
  </si>
  <si>
    <t xml:space="preserve">el plátano</t>
  </si>
  <si>
    <t xml:space="preserve">la banana</t>
  </si>
  <si>
    <t xml:space="preserve">the grapefruit</t>
  </si>
  <si>
    <t xml:space="preserve">la toronja</t>
  </si>
  <si>
    <t xml:space="preserve">the watermelon</t>
  </si>
  <si>
    <t xml:space="preserve">la sandía</t>
  </si>
  <si>
    <t xml:space="preserve">the tomato</t>
  </si>
  <si>
    <t xml:space="preserve">el tomato</t>
  </si>
  <si>
    <t xml:space="preserve">el jitomato</t>
  </si>
  <si>
    <t xml:space="preserve">the grape</t>
  </si>
  <si>
    <t xml:space="preserve">la uva</t>
  </si>
  <si>
    <t xml:space="preserve">the blackberry</t>
  </si>
  <si>
    <t xml:space="preserve">la zaramora</t>
  </si>
  <si>
    <t xml:space="preserve">the nuts</t>
  </si>
  <si>
    <t xml:space="preserve">los frutos secos</t>
  </si>
  <si>
    <t xml:space="preserve">las nueces</t>
  </si>
  <si>
    <t xml:space="preserve">the almond</t>
  </si>
  <si>
    <t xml:space="preserve">la almendra</t>
  </si>
  <si>
    <t xml:space="preserve">the cashew</t>
  </si>
  <si>
    <t xml:space="preserve">el anacardo</t>
  </si>
  <si>
    <t xml:space="preserve">the peanut</t>
  </si>
  <si>
    <t xml:space="preserve">el cacahuate</t>
  </si>
  <si>
    <t xml:space="preserve">el maní</t>
  </si>
  <si>
    <t xml:space="preserve">the walnut</t>
  </si>
  <si>
    <t xml:space="preserve">la nuez</t>
  </si>
  <si>
    <t xml:space="preserve">the pistachio</t>
  </si>
  <si>
    <t xml:space="preserve">el pistacho</t>
  </si>
  <si>
    <t xml:space="preserve">the stew</t>
  </si>
  <si>
    <t xml:space="preserve">el guisado</t>
  </si>
  <si>
    <t xml:space="preserve">the hamburger</t>
  </si>
  <si>
    <t xml:space="preserve">la hamburguesa</t>
  </si>
  <si>
    <t xml:space="preserve">the cheeseburger</t>
  </si>
  <si>
    <t xml:space="preserve">la hamburguesa con queso</t>
  </si>
  <si>
    <t xml:space="preserve">the egg</t>
  </si>
  <si>
    <t xml:space="preserve">el huevo</t>
  </si>
  <si>
    <t xml:space="preserve">the ham</t>
  </si>
  <si>
    <t xml:space="preserve">el jamón</t>
  </si>
  <si>
    <t xml:space="preserve">the mayonnaise</t>
  </si>
  <si>
    <t xml:space="preserve">la mayonesa</t>
  </si>
  <si>
    <t xml:space="preserve">the mustard</t>
  </si>
  <si>
    <t xml:space="preserve">la mostaza</t>
  </si>
  <si>
    <t xml:space="preserve">the bread</t>
  </si>
  <si>
    <t xml:space="preserve">el pan</t>
  </si>
  <si>
    <t xml:space="preserve">the toast</t>
  </si>
  <si>
    <t xml:space="preserve">el pan tostado</t>
  </si>
  <si>
    <t xml:space="preserve">the potato</t>
  </si>
  <si>
    <t xml:space="preserve">la papa</t>
  </si>
  <si>
    <t xml:space="preserve">the baked potatoes</t>
  </si>
  <si>
    <t xml:space="preserve">las papas al horno</t>
  </si>
  <si>
    <t xml:space="preserve">the french fries</t>
  </si>
  <si>
    <t xml:space="preserve">las papas fritas</t>
  </si>
  <si>
    <t xml:space="preserve">the fish</t>
  </si>
  <si>
    <t xml:space="preserve">el pescado</t>
  </si>
  <si>
    <t xml:space="preserve">the chicken</t>
  </si>
  <si>
    <t xml:space="preserve">el pollo</t>
  </si>
  <si>
    <t xml:space="preserve">the pork</t>
  </si>
  <si>
    <t xml:space="preserve">el puerco</t>
  </si>
  <si>
    <t xml:space="preserve">the cheese</t>
  </si>
  <si>
    <t xml:space="preserve">el queso</t>
  </si>
  <si>
    <t xml:space="preserve">salt and pepper</t>
  </si>
  <si>
    <t xml:space="preserve">la sal y la pimienta</t>
  </si>
  <si>
    <t xml:space="preserve">the sandwich</t>
  </si>
  <si>
    <t xml:space="preserve">el sándwich</t>
  </si>
  <si>
    <t xml:space="preserve">la torta</t>
  </si>
  <si>
    <t xml:space="preserve">the ham sandwich</t>
  </si>
  <si>
    <t xml:space="preserve">el sándwich de jamón</t>
  </si>
  <si>
    <t xml:space="preserve">the soup</t>
  </si>
  <si>
    <t xml:space="preserve">la sopa</t>
  </si>
  <si>
    <t xml:space="preserve">the chicken soup</t>
  </si>
  <si>
    <t xml:space="preserve">la sopa de pollo</t>
  </si>
  <si>
    <t xml:space="preserve">the tomato soup</t>
  </si>
  <si>
    <t xml:space="preserve">la sopa de tomate</t>
  </si>
  <si>
    <t xml:space="preserve">the vegetable soup</t>
  </si>
  <si>
    <t xml:space="preserve">la sopa de verduras</t>
  </si>
  <si>
    <t xml:space="preserve">the vegetables</t>
  </si>
  <si>
    <t xml:space="preserve">las verduras</t>
  </si>
  <si>
    <t xml:space="preserve">los vegetales</t>
  </si>
  <si>
    <t xml:space="preserve">the garlic</t>
  </si>
  <si>
    <t xml:space="preserve">el ajo</t>
  </si>
  <si>
    <t xml:space="preserve">celery</t>
  </si>
  <si>
    <t xml:space="preserve">el apio</t>
  </si>
  <si>
    <t xml:space="preserve">the eggplant</t>
  </si>
  <si>
    <t xml:space="preserve">la berenjena</t>
  </si>
  <si>
    <t xml:space="preserve">the broccoli</t>
  </si>
  <si>
    <t xml:space="preserve">el brócoli</t>
  </si>
  <si>
    <t xml:space="preserve">el brécol</t>
  </si>
  <si>
    <t xml:space="preserve">the zuccini</t>
  </si>
  <si>
    <t xml:space="preserve">la calabacín</t>
  </si>
  <si>
    <t xml:space="preserve">the onion</t>
  </si>
  <si>
    <t xml:space="preserve">la cebolla</t>
  </si>
  <si>
    <t xml:space="preserve">the peas</t>
  </si>
  <si>
    <t xml:space="preserve">los chícharos</t>
  </si>
  <si>
    <t xml:space="preserve">los guisantees</t>
  </si>
  <si>
    <t xml:space="preserve">chili pepper</t>
  </si>
  <si>
    <t xml:space="preserve">el chile</t>
  </si>
  <si>
    <t xml:space="preserve">the cabbage</t>
  </si>
  <si>
    <t xml:space="preserve">la col</t>
  </si>
  <si>
    <t xml:space="preserve">el repollo</t>
  </si>
  <si>
    <t xml:space="preserve">the kale</t>
  </si>
  <si>
    <t xml:space="preserve">la col rizada</t>
  </si>
  <si>
    <t xml:space="preserve">the cauliflower</t>
  </si>
  <si>
    <t xml:space="preserve">la coliflor</t>
  </si>
  <si>
    <t xml:space="preserve">the asparagus</t>
  </si>
  <si>
    <t xml:space="preserve">las espárragos</t>
  </si>
  <si>
    <t xml:space="preserve">the spinach</t>
  </si>
  <si>
    <t xml:space="preserve">las espinacas</t>
  </si>
  <si>
    <t xml:space="preserve">the green beans</t>
  </si>
  <si>
    <t xml:space="preserve">las habichuelas verder</t>
  </si>
  <si>
    <t xml:space="preserve">the lettuce</t>
  </si>
  <si>
    <t xml:space="preserve">la lechuga</t>
  </si>
  <si>
    <t xml:space="preserve">the pickle</t>
  </si>
  <si>
    <t xml:space="preserve">el pepinillo</t>
  </si>
  <si>
    <t xml:space="preserve">the cucumber</t>
  </si>
  <si>
    <t xml:space="preserve">el pepino</t>
  </si>
  <si>
    <t xml:space="preserve">the bell pepper</t>
  </si>
  <si>
    <t xml:space="preserve">el pimiento</t>
  </si>
  <si>
    <t xml:space="preserve">the brussels sprouts</t>
  </si>
  <si>
    <t xml:space="preserve">los repollitos de bruselas</t>
  </si>
  <si>
    <t xml:space="preserve">the corn</t>
  </si>
  <si>
    <t xml:space="preserve">el maíz</t>
  </si>
  <si>
    <t xml:space="preserve">the carrot</t>
  </si>
  <si>
    <t xml:space="preserve">la zanahoria</t>
  </si>
  <si>
    <t xml:space="preserve">the yogurt</t>
  </si>
  <si>
    <t xml:space="preserve">el yogur(t)</t>
  </si>
  <si>
    <t xml:space="preserve">the water</t>
  </si>
  <si>
    <t xml:space="preserve">el aqua</t>
  </si>
  <si>
    <t xml:space="preserve">the coffee</t>
  </si>
  <si>
    <t xml:space="preserve">el café</t>
  </si>
  <si>
    <t xml:space="preserve">the orange juice</t>
  </si>
  <si>
    <t xml:space="preserve">el jugo de naranja</t>
  </si>
  <si>
    <t xml:space="preserve">the apple juice</t>
  </si>
  <si>
    <t xml:space="preserve">el jugo de manzana</t>
  </si>
  <si>
    <t xml:space="preserve">the milk</t>
  </si>
  <si>
    <t xml:space="preserve">la leche</t>
  </si>
  <si>
    <t xml:space="preserve">the smoothie</t>
  </si>
  <si>
    <t xml:space="preserve">el licuado</t>
  </si>
  <si>
    <t xml:space="preserve">the lemonade</t>
  </si>
  <si>
    <t xml:space="preserve">la limonada</t>
  </si>
  <si>
    <t xml:space="preserve">the soft drink</t>
  </si>
  <si>
    <t xml:space="preserve">el refresco/la gaseosa</t>
  </si>
  <si>
    <t xml:space="preserve">the tea</t>
  </si>
  <si>
    <t xml:space="preserve">el té</t>
  </si>
  <si>
    <t xml:space="preserve">the ice tea</t>
  </si>
  <si>
    <t xml:space="preserve">el té helado</t>
  </si>
  <si>
    <t xml:space="preserve">good for the health</t>
  </si>
  <si>
    <t xml:space="preserve">buen@ para la salud</t>
  </si>
  <si>
    <t xml:space="preserve">bad for the health</t>
  </si>
  <si>
    <t xml:space="preserve">mal@ para la salud</t>
  </si>
  <si>
    <t xml:space="preserve">delicious</t>
  </si>
  <si>
    <t xml:space="preserve">delecios@</t>
  </si>
  <si>
    <t xml:space="preserve">sabros@</t>
  </si>
  <si>
    <t xml:space="preserve">disgusting</t>
  </si>
  <si>
    <t xml:space="preserve">asqueros@</t>
  </si>
  <si>
    <t xml:space="preserve">authentic</t>
  </si>
  <si>
    <t xml:space="preserve">auténtic@</t>
  </si>
  <si>
    <t xml:space="preserve">i believe so</t>
  </si>
  <si>
    <t xml:space="preserve">creo que sí</t>
  </si>
  <si>
    <t xml:space="preserve">i don't think so</t>
  </si>
  <si>
    <t xml:space="preserve">creo que no</t>
  </si>
  <si>
    <t xml:space="preserve">how disgusting!</t>
  </si>
  <si>
    <t xml:space="preserve">!qué asco!</t>
  </si>
  <si>
    <t xml:space="preserve">yuck!</t>
  </si>
  <si>
    <t xml:space="preserve">!quácala!</t>
  </si>
  <si>
    <t xml:space="preserve">from time to time</t>
  </si>
  <si>
    <t xml:space="preserve">de vez en cuando</t>
  </si>
  <si>
    <t xml:space="preserve">some</t>
  </si>
  <si>
    <t xml:space="preserve">algun(@)</t>
  </si>
  <si>
    <t xml:space="preserve">none</t>
  </si>
  <si>
    <t xml:space="preserve">ningun(@)</t>
  </si>
  <si>
    <t xml:space="preserve">the experience</t>
  </si>
  <si>
    <t xml:space="preserve">la experiencia</t>
  </si>
  <si>
    <t xml:space="preserve">both</t>
  </si>
  <si>
    <t xml:space="preserve">los dos</t>
  </si>
  <si>
    <t xml:space="preserve">to be (have) hungry</t>
  </si>
  <si>
    <t xml:space="preserve">tener hambre</t>
  </si>
  <si>
    <t xml:space="preserve">to be (have) thirsty</t>
  </si>
  <si>
    <t xml:space="preserve">tener sed</t>
  </si>
  <si>
    <t xml:space="preserve">the family</t>
  </si>
  <si>
    <t xml:space="preserve">la familia</t>
  </si>
  <si>
    <t xml:space="preserve">ch06;family</t>
  </si>
  <si>
    <t xml:space="preserve">the grand parents</t>
  </si>
  <si>
    <t xml:space="preserve">los abuelos</t>
  </si>
  <si>
    <t xml:space="preserve">the grandpa</t>
  </si>
  <si>
    <t xml:space="preserve">el abuelo</t>
  </si>
  <si>
    <t xml:space="preserve">the grandma</t>
  </si>
  <si>
    <t xml:space="preserve">la abuala</t>
  </si>
  <si>
    <t xml:space="preserve">the siblings</t>
  </si>
  <si>
    <t xml:space="preserve">los hermanos</t>
  </si>
  <si>
    <t xml:space="preserve">the brother</t>
  </si>
  <si>
    <t xml:space="preserve">el hermano</t>
  </si>
  <si>
    <t xml:space="preserve">the sister</t>
  </si>
  <si>
    <t xml:space="preserve">la hermana</t>
  </si>
  <si>
    <t xml:space="preserve">the children</t>
  </si>
  <si>
    <t xml:space="preserve">los hijos</t>
  </si>
  <si>
    <t xml:space="preserve">the son</t>
  </si>
  <si>
    <t xml:space="preserve">el hijo</t>
  </si>
  <si>
    <t xml:space="preserve">the daughter</t>
  </si>
  <si>
    <t xml:space="preserve">la hija</t>
  </si>
  <si>
    <t xml:space="preserve">the grand children</t>
  </si>
  <si>
    <t xml:space="preserve">los nietos</t>
  </si>
  <si>
    <t xml:space="preserve">the grandson</t>
  </si>
  <si>
    <t xml:space="preserve">el nieto</t>
  </si>
  <si>
    <t xml:space="preserve">the granddaughter</t>
  </si>
  <si>
    <t xml:space="preserve">la nieta</t>
  </si>
  <si>
    <t xml:space="preserve">the parents</t>
  </si>
  <si>
    <t xml:space="preserve">los padres</t>
  </si>
  <si>
    <t xml:space="preserve">the father</t>
  </si>
  <si>
    <t xml:space="preserve">el padre</t>
  </si>
  <si>
    <t xml:space="preserve">the mother</t>
  </si>
  <si>
    <t xml:space="preserve">la madre</t>
  </si>
  <si>
    <t xml:space="preserve">the cousins</t>
  </si>
  <si>
    <t xml:space="preserve">los primos</t>
  </si>
  <si>
    <t xml:space="preserve">the cousin (m)</t>
  </si>
  <si>
    <t xml:space="preserve">el primo</t>
  </si>
  <si>
    <t xml:space="preserve">the cousin (f)</t>
  </si>
  <si>
    <t xml:space="preserve">la prima</t>
  </si>
  <si>
    <t xml:space="preserve">the aunts and uncles</t>
  </si>
  <si>
    <t xml:space="preserve">los tíos</t>
  </si>
  <si>
    <t xml:space="preserve">the uncle</t>
  </si>
  <si>
    <t xml:space="preserve">el tío</t>
  </si>
  <si>
    <t xml:space="preserve">the aunt</t>
  </si>
  <si>
    <t xml:space="preserve">la tía</t>
  </si>
  <si>
    <t xml:space="preserve">the only child</t>
  </si>
  <si>
    <t xml:space="preserve">el/la hij@ únic@</t>
  </si>
  <si>
    <t xml:space="preserve">the twins</t>
  </si>
  <si>
    <t xml:space="preserve">los gemelos/las gemelas</t>
  </si>
  <si>
    <t xml:space="preserve">tall</t>
  </si>
  <si>
    <t xml:space="preserve">alt@</t>
  </si>
  <si>
    <t xml:space="preserve">ch06</t>
  </si>
  <si>
    <t xml:space="preserve">mean</t>
  </si>
  <si>
    <t xml:space="preserve">antipátic@</t>
  </si>
  <si>
    <t xml:space="preserve">short</t>
  </si>
  <si>
    <t xml:space="preserve">baj@</t>
  </si>
  <si>
    <t xml:space="preserve">pretty</t>
  </si>
  <si>
    <t xml:space="preserve">bonit@</t>
  </si>
  <si>
    <t xml:space="preserve">affectionate</t>
  </si>
  <si>
    <t xml:space="preserve">cariños@</t>
  </si>
  <si>
    <t xml:space="preserve">thin</t>
  </si>
  <si>
    <t xml:space="preserve">delgad@</t>
  </si>
  <si>
    <t xml:space="preserve">ugly</t>
  </si>
  <si>
    <t xml:space="preserve">fe@</t>
  </si>
  <si>
    <t xml:space="preserve">fat</t>
  </si>
  <si>
    <t xml:space="preserve">gord@</t>
  </si>
  <si>
    <t xml:space="preserve">big/large</t>
  </si>
  <si>
    <t xml:space="preserve">grande</t>
  </si>
  <si>
    <t xml:space="preserve">good looking</t>
  </si>
  <si>
    <t xml:space="preserve">guap@</t>
  </si>
  <si>
    <t xml:space="preserve">smart</t>
  </si>
  <si>
    <t xml:space="preserve">inteligente</t>
  </si>
  <si>
    <t xml:space="preserve">young</t>
  </si>
  <si>
    <t xml:space="preserve">joven</t>
  </si>
  <si>
    <t xml:space="preserve">older/greater</t>
  </si>
  <si>
    <t xml:space="preserve">mayor/mayores</t>
  </si>
  <si>
    <t xml:space="preserve">younger/lesser</t>
  </si>
  <si>
    <t xml:space="preserve">menor/menores</t>
  </si>
  <si>
    <t xml:space="preserve">small</t>
  </si>
  <si>
    <t xml:space="preserve">pequeñ@</t>
  </si>
  <si>
    <t xml:space="preserve">nice</t>
  </si>
  <si>
    <t xml:space="preserve">simpátic@</t>
  </si>
  <si>
    <t xml:space="preserve">old</t>
  </si>
  <si>
    <t xml:space="preserve">viej@</t>
  </si>
  <si>
    <t xml:space="preserve">the hair</t>
  </si>
  <si>
    <t xml:space="preserve">el pelo</t>
  </si>
  <si>
    <t xml:space="preserve">ch06;hair</t>
  </si>
  <si>
    <t xml:space="preserve">grey</t>
  </si>
  <si>
    <t xml:space="preserve">canoso</t>
  </si>
  <si>
    <t xml:space="preserve">ch06;hair;color</t>
  </si>
  <si>
    <t xml:space="preserve">brown</t>
  </si>
  <si>
    <t xml:space="preserve">castaño</t>
  </si>
  <si>
    <t xml:space="preserve">corto</t>
  </si>
  <si>
    <t xml:space="preserve">curly</t>
  </si>
  <si>
    <t xml:space="preserve">rizado</t>
  </si>
  <si>
    <t xml:space="preserve">black</t>
  </si>
  <si>
    <t xml:space="preserve">negro</t>
  </si>
  <si>
    <t xml:space="preserve">blond</t>
  </si>
  <si>
    <t xml:space="preserve">rubio</t>
  </si>
  <si>
    <t xml:space="preserve">long</t>
  </si>
  <si>
    <t xml:space="preserve">largo</t>
  </si>
  <si>
    <t xml:space="preserve">straight</t>
  </si>
  <si>
    <t xml:space="preserve">liso</t>
  </si>
  <si>
    <t xml:space="preserve">redhead</t>
  </si>
  <si>
    <t xml:space="preserve">pelirroj@</t>
  </si>
  <si>
    <t xml:space="preserve">ch06;body;eyes</t>
  </si>
  <si>
    <t xml:space="preserve">the eyes</t>
  </si>
  <si>
    <t xml:space="preserve">los ojos</t>
  </si>
  <si>
    <t xml:space="preserve">blue eyes</t>
  </si>
  <si>
    <t xml:space="preserve">azules</t>
  </si>
  <si>
    <t xml:space="preserve">green eyes</t>
  </si>
  <si>
    <t xml:space="preserve">verdes</t>
  </si>
  <si>
    <t xml:space="preserve">brown eyes</t>
  </si>
  <si>
    <t xml:space="preserve">marrones</t>
  </si>
  <si>
    <t xml:space="preserve">people</t>
  </si>
  <si>
    <t xml:space="preserve">la gente</t>
  </si>
  <si>
    <t xml:space="preserve">ch06;person</t>
  </si>
  <si>
    <t xml:space="preserve">the boy</t>
  </si>
  <si>
    <t xml:space="preserve">el chico/el muchacho</t>
  </si>
  <si>
    <t xml:space="preserve">the girl</t>
  </si>
  <si>
    <t xml:space="preserve">la chica/la muchacha</t>
  </si>
  <si>
    <t xml:space="preserve">the man</t>
  </si>
  <si>
    <t xml:space="preserve">el hombre</t>
  </si>
  <si>
    <t xml:space="preserve">the woman</t>
  </si>
  <si>
    <t xml:space="preserve">la mujer</t>
  </si>
  <si>
    <t xml:space="preserve">the person</t>
  </si>
  <si>
    <t xml:space="preserve">la persona</t>
  </si>
  <si>
    <t xml:space="preserve">what is she like?</t>
  </si>
  <si>
    <t xml:space="preserve">cómo es ella?</t>
  </si>
  <si>
    <t xml:space="preserve">more _x0085_ than</t>
  </si>
  <si>
    <t xml:space="preserve">más adj que</t>
  </si>
  <si>
    <t xml:space="preserve">ch06;compare</t>
  </si>
  <si>
    <t xml:space="preserve">less _x0085_ than</t>
  </si>
  <si>
    <t xml:space="preserve">menos adj que</t>
  </si>
  <si>
    <t xml:space="preserve">older then</t>
  </si>
  <si>
    <t xml:space="preserve">mayor que</t>
  </si>
  <si>
    <t xml:space="preserve">younger than</t>
  </si>
  <si>
    <t xml:space="preserve">menor que</t>
  </si>
  <si>
    <t xml:space="preserve">sixty</t>
  </si>
  <si>
    <t xml:space="preserve">sesenta</t>
  </si>
  <si>
    <t xml:space="preserve">ch06;numbers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</si>
  <si>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</si>
  <si>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</si>
  <si>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</si>
  <si>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</si>
  <si>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</si>
  <si>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</si>
  <si>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hundred</t>
  </si>
  <si>
    <t xml:space="preserve">cien</t>
  </si>
  <si>
    <t xml:space="preserve">the cat</t>
  </si>
  <si>
    <t xml:space="preserve">el gato</t>
  </si>
  <si>
    <t xml:space="preserve">ch06;animal</t>
  </si>
  <si>
    <t xml:space="preserve">the dog</t>
  </si>
  <si>
    <t xml:space="preserve">el perro</t>
  </si>
  <si>
    <t xml:space="preserve">of (possession)</t>
  </si>
  <si>
    <t xml:space="preserve">someone</t>
  </si>
  <si>
    <t xml:space="preserve">alguien</t>
  </si>
  <si>
    <t xml:space="preserve">no one</t>
  </si>
  <si>
    <t xml:space="preserve">nadie</t>
  </si>
  <si>
    <t xml:space="preserve">only</t>
  </si>
  <si>
    <t xml:space="preserve">solo</t>
  </si>
  <si>
    <t xml:space="preserve">every/all/everyone</t>
  </si>
  <si>
    <t xml:space="preserve">tod@s</t>
  </si>
  <si>
    <t xml:space="preserve">the blouse</t>
  </si>
  <si>
    <t xml:space="preserve">la blusa</t>
  </si>
  <si>
    <t xml:space="preserve">the bag</t>
  </si>
  <si>
    <t xml:space="preserve">la bolsa</t>
  </si>
  <si>
    <t xml:space="preserve">the sock</t>
  </si>
  <si>
    <t xml:space="preserve">el calcetín</t>
  </si>
  <si>
    <t xml:space="preserve">the socks</t>
  </si>
  <si>
    <t xml:space="preserve">los calcetines</t>
  </si>
  <si>
    <t xml:space="preserve">the shirt</t>
  </si>
  <si>
    <t xml:space="preserve">la camisa</t>
  </si>
  <si>
    <t xml:space="preserve">the t-shirt</t>
  </si>
  <si>
    <t xml:space="preserve">la camiseta</t>
  </si>
  <si>
    <t xml:space="preserve">the jacket</t>
  </si>
  <si>
    <t xml:space="preserve">la chaquete/la chamarra</t>
  </si>
  <si>
    <t xml:space="preserve">the skirt</t>
  </si>
  <si>
    <t xml:space="preserve">la falda</t>
  </si>
  <si>
    <t xml:space="preserve">the jeans</t>
  </si>
  <si>
    <t xml:space="preserve">los jeans</t>
  </si>
  <si>
    <t xml:space="preserve">the (short) pants</t>
  </si>
  <si>
    <t xml:space="preserve">los pantalones (cortos)</t>
  </si>
  <si>
    <t xml:space="preserve">clothes</t>
  </si>
  <si>
    <t xml:space="preserve">la ropa</t>
  </si>
  <si>
    <t xml:space="preserve">the sweatshirt</t>
  </si>
  <si>
    <t xml:space="preserve">la sudadera</t>
  </si>
  <si>
    <t xml:space="preserve">the sweather</t>
  </si>
  <si>
    <t xml:space="preserve">el suéter</t>
  </si>
  <si>
    <t xml:space="preserve">the suit</t>
  </si>
  <si>
    <t xml:space="preserve">el traje</t>
  </si>
  <si>
    <t xml:space="preserve">the tennis shoes</t>
  </si>
  <si>
    <t xml:space="preserve">los (zapatos de) tenis</t>
  </si>
  <si>
    <t xml:space="preserve">the dress</t>
  </si>
  <si>
    <t xml:space="preserve">el vestido</t>
  </si>
  <si>
    <t xml:space="preserve">the shoes</t>
  </si>
  <si>
    <t xml:space="preserve">los zapatos</t>
  </si>
  <si>
    <t xml:space="preserve">the color</t>
  </si>
  <si>
    <t xml:space="preserve">el color</t>
  </si>
  <si>
    <t xml:space="preserve">what color?</t>
  </si>
  <si>
    <t xml:space="preserve">de qué color?</t>
  </si>
  <si>
    <t xml:space="preserve">yellow</t>
  </si>
  <si>
    <t xml:space="preserve">amarill@</t>
  </si>
  <si>
    <t xml:space="preserve">orange</t>
  </si>
  <si>
    <t xml:space="preserve">anaranjad@</t>
  </si>
  <si>
    <t xml:space="preserve">blue</t>
  </si>
  <si>
    <t xml:space="preserve">azul(es)</t>
  </si>
  <si>
    <t xml:space="preserve">white</t>
  </si>
  <si>
    <t xml:space="preserve">blanc@</t>
  </si>
  <si>
    <t xml:space="preserve">gray</t>
  </si>
  <si>
    <t xml:space="preserve">gris(es)</t>
  </si>
  <si>
    <t xml:space="preserve">marrón(es)</t>
  </si>
  <si>
    <t xml:space="preserve">purple</t>
  </si>
  <si>
    <t xml:space="preserve">morad@</t>
  </si>
  <si>
    <t xml:space="preserve">negr@</t>
  </si>
  <si>
    <t xml:space="preserve">red</t>
  </si>
  <si>
    <t xml:space="preserve">roj@</t>
  </si>
  <si>
    <t xml:space="preserve">pink</t>
  </si>
  <si>
    <t xml:space="preserve">rosad@</t>
  </si>
  <si>
    <t xml:space="preserve">green</t>
  </si>
  <si>
    <t xml:space="preserve">verde</t>
  </si>
  <si>
    <t xml:space="preserve">new</t>
  </si>
  <si>
    <t xml:space="preserve">nuev@</t>
  </si>
  <si>
    <t xml:space="preserve">the suit is gray</t>
  </si>
  <si>
    <t xml:space="preserve">el traje es gris</t>
  </si>
  <si>
    <t xml:space="preserve">that</t>
  </si>
  <si>
    <t xml:space="preserve">ese/esa/eso</t>
  </si>
  <si>
    <t xml:space="preserve">those</t>
  </si>
  <si>
    <t xml:space="preserve">esos/esas</t>
  </si>
  <si>
    <t xml:space="preserve">this</t>
  </si>
  <si>
    <t xml:space="preserve">este/esta/esto</t>
  </si>
  <si>
    <t xml:space="preserve">these</t>
  </si>
  <si>
    <t xml:space="preserve">estos/estas</t>
  </si>
  <si>
    <t xml:space="preserve">other/another</t>
  </si>
  <si>
    <t xml:space="preserve">otro@</t>
  </si>
  <si>
    <t xml:space="preserve">the warehouse</t>
  </si>
  <si>
    <t xml:space="preserve">el almacén</t>
  </si>
  <si>
    <t xml:space="preserve">the discount store</t>
  </si>
  <si>
    <t xml:space="preserve">la tienda de descuentos</t>
  </si>
  <si>
    <t xml:space="preserve">the clothing store</t>
  </si>
  <si>
    <t xml:space="preserve">la tienda de ropa</t>
  </si>
  <si>
    <t xml:space="preserve">the shoe store</t>
  </si>
  <si>
    <t xml:space="preserve">la zapatería</t>
  </si>
  <si>
    <t xml:space="preserve">out shopping</t>
  </si>
  <si>
    <t xml:space="preserve">de compras</t>
  </si>
  <si>
    <t xml:space="preserve">to look for</t>
  </si>
  <si>
    <t xml:space="preserve">buscar</t>
  </si>
  <si>
    <t xml:space="preserve">the buy</t>
  </si>
  <si>
    <t xml:space="preserve">comprar</t>
  </si>
  <si>
    <t xml:space="preserve">the count</t>
  </si>
  <si>
    <t xml:space="preserve">contar(o &gt; ue)</t>
  </si>
  <si>
    <t xml:space="preserve">to cost</t>
  </si>
  <si>
    <t xml:space="preserve">constar(o &gt; ue)</t>
  </si>
  <si>
    <t xml:space="preserve">to want/to desire</t>
  </si>
  <si>
    <t xml:space="preserve">desear</t>
  </si>
  <si>
    <t xml:space="preserve">the find</t>
  </si>
  <si>
    <t xml:space="preserve">encontrar (o &gt; ue)</t>
  </si>
  <si>
    <t xml:space="preserve">free (no cost)</t>
  </si>
  <si>
    <t xml:space="preserve">gratis/gratuit@</t>
  </si>
  <si>
    <t xml:space="preserve">to wear</t>
  </si>
  <si>
    <t xml:space="preserve">llevar</t>
  </si>
  <si>
    <t xml:space="preserve">to pay</t>
  </si>
  <si>
    <t xml:space="preserve">pagar</t>
  </si>
  <si>
    <t xml:space="preserve">for me</t>
  </si>
  <si>
    <t xml:space="preserve">para mí</t>
  </si>
  <si>
    <t xml:space="preserve">for you</t>
  </si>
  <si>
    <t xml:space="preserve">para ti</t>
  </si>
  <si>
    <t xml:space="preserve">for him/her</t>
  </si>
  <si>
    <t xml:space="preserve">para él/ella</t>
  </si>
  <si>
    <t xml:space="preserve">for (in exchange for)</t>
  </si>
  <si>
    <t xml:space="preserve">por</t>
  </si>
  <si>
    <t xml:space="preserve">to come</t>
  </si>
  <si>
    <t xml:space="preserve">venir</t>
  </si>
  <si>
    <t xml:space="preserve">i come</t>
  </si>
  <si>
    <t xml:space="preserve">yo vengo</t>
  </si>
  <si>
    <t xml:space="preserve">the prices</t>
  </si>
  <si>
    <t xml:space="preserve">los precios</t>
  </si>
  <si>
    <t xml:space="preserve">the bargain</t>
  </si>
  <si>
    <t xml:space="preserve">la ganga</t>
  </si>
  <si>
    <t xml:space="preserve">what a bargain!</t>
  </si>
  <si>
    <t xml:space="preserve">!qué ganga!</t>
  </si>
  <si>
    <t xml:space="preserve">cheap/inexpensive</t>
  </si>
  <si>
    <t xml:space="preserve">barat@</t>
  </si>
  <si>
    <t xml:space="preserve">expensive</t>
  </si>
  <si>
    <t xml:space="preserve">car@</t>
  </si>
  <si>
    <t xml:space="preserve">the store clerk</t>
  </si>
  <si>
    <t xml:space="preserve">el dependiente/la dependienta</t>
  </si>
  <si>
    <t xml:space="preserve">youngster(s)</t>
  </si>
  <si>
    <t xml:space="preserve">el/la joven los jóvenes</t>
  </si>
  <si>
    <t xml:space="preserve">excuse me</t>
  </si>
  <si>
    <t xml:space="preserve">perdone</t>
  </si>
  <si>
    <t xml:space="preserve">disculpe</t>
  </si>
  <si>
    <t xml:space="preserve">this way</t>
  </si>
  <si>
    <t xml:space="preserve">por aquí</t>
  </si>
  <si>
    <t xml:space="preserve">that way</t>
  </si>
  <si>
    <t xml:space="preserve">por allí</t>
  </si>
  <si>
    <t xml:space="preserve">wow!</t>
  </si>
  <si>
    <t xml:space="preserve">!vaya! !anda!</t>
  </si>
  <si>
    <t xml:space="preserve">let's see _x0085_</t>
  </si>
  <si>
    <t xml:space="preserve">a ver _x0085_</t>
  </si>
  <si>
    <t xml:space="preserve">until</t>
  </si>
  <si>
    <t xml:space="preserve">hasta</t>
  </si>
  <si>
    <t xml:space="preserve">the half</t>
  </si>
  <si>
    <t xml:space="preserve">la mitad</t>
  </si>
  <si>
    <t xml:space="preserve">one third</t>
  </si>
  <si>
    <t xml:space="preserve">un tercio</t>
  </si>
  <si>
    <t xml:space="preserve">two thirds</t>
  </si>
  <si>
    <t xml:space="preserve">dos tercio</t>
  </si>
  <si>
    <t xml:space="preserve">a quarter</t>
  </si>
  <si>
    <t xml:space="preserve">un cuarto</t>
  </si>
  <si>
    <t xml:space="preserve">three quarters</t>
  </si>
  <si>
    <t xml:space="preserve">tres cuartos</t>
  </si>
  <si>
    <t xml:space="preserve">one fifth (1/5)</t>
  </si>
  <si>
    <t xml:space="preserve">una quinta parte</t>
  </si>
  <si>
    <t xml:space="preserve">two fifths (2/5)</t>
  </si>
  <si>
    <t xml:space="preserve">dos quintas partes</t>
  </si>
  <si>
    <t xml:space="preserve">better than</t>
  </si>
  <si>
    <t xml:space="preserve">mejor que</t>
  </si>
  <si>
    <t xml:space="preserve">worse than</t>
  </si>
  <si>
    <t xml:space="preserve">peor que</t>
  </si>
  <si>
    <t xml:space="preserve">as _x0085_ as</t>
  </si>
  <si>
    <t xml:space="preserve">tan adj como</t>
  </si>
  <si>
    <t xml:space="preserve">as much _x0085_ as</t>
  </si>
  <si>
    <t xml:space="preserve">tanto sust. como</t>
  </si>
  <si>
    <t xml:space="preserve">what do you think?</t>
  </si>
  <si>
    <t xml:space="preserve">qué te parece?</t>
  </si>
  <si>
    <t xml:space="preserve">it seems good to me</t>
  </si>
  <si>
    <t xml:space="preserve">me parece bien</t>
  </si>
  <si>
    <t xml:space="preserve">same/equal</t>
  </si>
  <si>
    <t xml:space="preserve">igual</t>
  </si>
  <si>
    <t xml:space="preserve">i know how to write</t>
  </si>
  <si>
    <t xml:space="preserve">yo conozco cómo escribir</t>
  </si>
  <si>
    <t xml:space="preserve">i know how to ride a bicycle</t>
  </si>
  <si>
    <t xml:space="preserve">yo sé cómo montar en bicicleta</t>
  </si>
  <si>
    <t xml:space="preserve">i like it when my friend plays the guitar</t>
  </si>
  <si>
    <t xml:space="preserve">me gusta cuando mi amigo toco la guitarra</t>
  </si>
  <si>
    <t xml:space="preserve">i cannot study spanish tonight because i need to paint the house</t>
  </si>
  <si>
    <t xml:space="preserve">no puedo estudiar espagñol esta noche porque necesito pintar la casa</t>
  </si>
  <si>
    <t xml:space="preserve">from time to time i like to eat eggs</t>
  </si>
  <si>
    <t xml:space="preserve">de vez en cuando me gusta comer los huevos</t>
  </si>
  <si>
    <t xml:space="preserve">ch05;food;sentences</t>
  </si>
  <si>
    <t xml:space="preserve">el abre la puerta a su madre</t>
  </si>
  <si>
    <t xml:space="preserve">i am going to eat this melon</t>
  </si>
  <si>
    <t xml:space="preserve">yo voy a comer este melón</t>
  </si>
  <si>
    <t xml:space="preserve">la comida está en el refrigerador</t>
  </si>
  <si>
    <t xml:space="preserve">ella quiere etos gatos</t>
  </si>
  <si>
    <t xml:space="preserve">ch04;toWant;sentences</t>
  </si>
  <si>
    <t xml:space="preserve">this chili is hotter than that chili</t>
  </si>
  <si>
    <t xml:space="preserve">este chile es más caliente que ese chile</t>
  </si>
  <si>
    <t xml:space="preserve">ch05;sentences</t>
  </si>
  <si>
    <t xml:space="preserve">we are going to rent that house</t>
  </si>
  <si>
    <t xml:space="preserve">nosotros vamos rentar esa casa</t>
  </si>
  <si>
    <t xml:space="preserve">these books are very interesting</t>
  </si>
  <si>
    <t xml:space="preserve">estos libros son muy interesante</t>
  </si>
  <si>
    <t xml:space="preserve">estoy harto, estudiar espagñol es muy difícil</t>
  </si>
  <si>
    <t xml:space="preserve">after studying spanish i am tired</t>
  </si>
  <si>
    <t xml:space="preserve">después de estudiar espagñol estoy cansado</t>
  </si>
  <si>
    <t xml:space="preserve">i like to travel, but this year i cannot travel much</t>
  </si>
  <si>
    <t xml:space="preserve">me gusta viajar, pero este año no puedo viajar mucho</t>
  </si>
  <si>
    <t xml:space="preserve">we can't eat without cooking</t>
  </si>
  <si>
    <t xml:space="preserve">no puedo comer sin cosinar</t>
  </si>
  <si>
    <t xml:space="preserve">she likes the tomatoes</t>
  </si>
  <si>
    <t xml:space="preserve">a ella, le gusta el jitomato</t>
  </si>
  <si>
    <t xml:space="preserve">i you want, you can rent our house</t>
  </si>
  <si>
    <t xml:space="preserve">si quere, puede rentar nuestra casa</t>
  </si>
  <si>
    <t xml:space="preserve">ch03;Possesion;sentences</t>
  </si>
  <si>
    <t xml:space="preserve">i like to eat, but i don't want to eat the vegetables</t>
  </si>
  <si>
    <t xml:space="preserve">me gusta comer, pero no quero comer los vegetales</t>
  </si>
  <si>
    <t xml:space="preserve">to be on holiday</t>
  </si>
  <si>
    <t xml:space="preserve">estar de vacaciones</t>
  </si>
  <si>
    <t xml:space="preserve">ch08</t>
  </si>
  <si>
    <t xml:space="preserve">to go on holiday</t>
  </si>
  <si>
    <t xml:space="preserve">ir de vacaciones</t>
  </si>
  <si>
    <t xml:space="preserve">waterfall</t>
  </si>
  <si>
    <t xml:space="preserve">la catarat / la cascada</t>
  </si>
  <si>
    <t xml:space="preserve">cathedral</t>
  </si>
  <si>
    <t xml:space="preserve">la catedral</t>
  </si>
  <si>
    <t xml:space="preserve">the city</t>
  </si>
  <si>
    <t xml:space="preserve">la ciudad</t>
  </si>
  <si>
    <t xml:space="preserve">the lake</t>
  </si>
  <si>
    <t xml:space="preserve">el lago</t>
  </si>
  <si>
    <t xml:space="preserve">places of interest</t>
  </si>
  <si>
    <t xml:space="preserve">los lugares de interés</t>
  </si>
  <si>
    <t xml:space="preserve">ocean/sea</t>
  </si>
  <si>
    <t xml:space="preserve">el mar</t>
  </si>
  <si>
    <t xml:space="preserve">the mountain</t>
  </si>
  <si>
    <t xml:space="preserve">la montaña</t>
  </si>
  <si>
    <t xml:space="preserve">the museum</t>
  </si>
  <si>
    <t xml:space="preserve">el museo</t>
  </si>
  <si>
    <t xml:space="preserve">the country</t>
  </si>
  <si>
    <t xml:space="preserve">el país</t>
  </si>
  <si>
    <t xml:space="preserve">the pyramid</t>
  </si>
  <si>
    <t xml:space="preserve">la pirámide</t>
  </si>
  <si>
    <t xml:space="preserve">the ruins</t>
  </si>
  <si>
    <t xml:space="preserve">las ruinas</t>
  </si>
  <si>
    <t xml:space="preserve">the river</t>
  </si>
  <si>
    <t xml:space="preserve">el río</t>
  </si>
  <si>
    <t xml:space="preserve">the rain forest</t>
  </si>
  <si>
    <t xml:space="preserve">la selva tropical</t>
  </si>
  <si>
    <t xml:space="preserve">to scuba dive</t>
  </si>
  <si>
    <t xml:space="preserve">buccear</t>
  </si>
  <si>
    <t xml:space="preserve">to go down</t>
  </si>
  <si>
    <t xml:space="preserve">bajar</t>
  </si>
  <si>
    <t xml:space="preserve">the souvinirs</t>
  </si>
  <si>
    <t xml:space="preserve">los recuerdos</t>
  </si>
  <si>
    <t xml:space="preserve">to rest</t>
  </si>
  <si>
    <t xml:space="preserve">descansar</t>
  </si>
  <si>
    <t xml:space="preserve">to explore</t>
  </si>
  <si>
    <t xml:space="preserve">explorar</t>
  </si>
  <si>
    <t xml:space="preserve">to carry / to wear</t>
  </si>
  <si>
    <t xml:space="preserve">to go around (by boat)</t>
  </si>
  <si>
    <t xml:space="preserve">pasear (en bote)</t>
  </si>
  <si>
    <t xml:space="preserve">to take photos</t>
  </si>
  <si>
    <t xml:space="preserve">sacar fotos</t>
  </si>
  <si>
    <t xml:space="preserve">the phote(graph)</t>
  </si>
  <si>
    <t xml:space="preserve">la foto(grafia)</t>
  </si>
  <si>
    <t xml:space="preserve">to go up</t>
  </si>
  <si>
    <t xml:space="preserve">subir</t>
  </si>
  <si>
    <t xml:space="preserve">to sunbathe</t>
  </si>
  <si>
    <t xml:space="preserve">tomar el sol</t>
  </si>
  <si>
    <t xml:space="preserve">to visit</t>
  </si>
  <si>
    <t xml:space="preserve">visitar</t>
  </si>
  <si>
    <t xml:space="preserve">the center</t>
  </si>
  <si>
    <t xml:space="preserve">el centro</t>
  </si>
  <si>
    <t xml:space="preserve">to plan to ?</t>
  </si>
  <si>
    <t xml:space="preserve">pensar (e &gt;&gt; ie) + inf.</t>
  </si>
  <si>
    <t xml:space="preserve">to return / to go back</t>
  </si>
  <si>
    <t xml:space="preserve">regresar</t>
  </si>
  <si>
    <t xml:space="preserve">to enter (into)</t>
  </si>
  <si>
    <t xml:space="preserve">entrar (en)</t>
  </si>
  <si>
    <t xml:space="preserve">to leave (from)</t>
  </si>
  <si>
    <t xml:space="preserve">salir (de)</t>
  </si>
  <si>
    <t xml:space="preserve">i leave</t>
  </si>
  <si>
    <t xml:space="preserve">yo salgo</t>
  </si>
  <si>
    <t xml:space="preserve">to want to ?</t>
  </si>
  <si>
    <t xml:space="preserve">querer (e &gt;&gt; ie) + inf.</t>
  </si>
  <si>
    <t xml:space="preserve">to be able to ?</t>
  </si>
  <si>
    <t xml:space="preserve">poder (o &gt;&gt; ue) + inf.</t>
  </si>
  <si>
    <t xml:space="preserve">to be going to ?</t>
  </si>
  <si>
    <t xml:space="preserve">ir + a + inf.</t>
  </si>
  <si>
    <t xml:space="preserve">to bring</t>
  </si>
  <si>
    <t xml:space="preserve">traer</t>
  </si>
  <si>
    <t xml:space="preserve">i bring</t>
  </si>
  <si>
    <t xml:space="preserve">yo triago</t>
  </si>
  <si>
    <t xml:space="preserve">to repeat</t>
  </si>
  <si>
    <t xml:space="preserve">repetir (e &gt;&gt; i)</t>
  </si>
  <si>
    <t xml:space="preserve">the coat</t>
  </si>
  <si>
    <t xml:space="preserve">el abrigo</t>
  </si>
  <si>
    <t xml:space="preserve">sunglasses</t>
  </si>
  <si>
    <t xml:space="preserve">las gafas de sol</t>
  </si>
  <si>
    <t xml:space="preserve">joke</t>
  </si>
  <si>
    <t xml:space="preserve">chiste</t>
  </si>
  <si>
    <t xml:space="preserve">the laugh</t>
  </si>
  <si>
    <t xml:space="preserve">la risa</t>
  </si>
  <si>
    <t xml:space="preserve">noun</t>
  </si>
  <si>
    <t xml:space="preserve">the bill</t>
  </si>
  <si>
    <t xml:space="preserve">la cuenta</t>
  </si>
  <si>
    <t xml:space="preserve">noun; food</t>
  </si>
  <si>
    <t xml:space="preserve">i was</t>
  </si>
  <si>
    <t xml:space="preserve">yo fui</t>
  </si>
  <si>
    <t xml:space="preserve">the ghost</t>
  </si>
  <si>
    <t xml:space="preserve">el fantasma</t>
  </si>
  <si>
    <t xml:space="preserve">the office</t>
  </si>
  <si>
    <t xml:space="preserve">la oficina</t>
  </si>
  <si>
    <t xml:space="preserve">noun; work</t>
  </si>
  <si>
    <t xml:space="preserve">a day</t>
  </si>
  <si>
    <t xml:space="preserve">un día</t>
  </si>
  <si>
    <t xml:space="preserve">noun; datetime</t>
  </si>
  <si>
    <t xml:space="preserve">bad</t>
  </si>
  <si>
    <t xml:space="preserve">the light</t>
  </si>
  <si>
    <t xml:space="preserve">la luz</t>
  </si>
  <si>
    <t xml:space="preserve">noun; house</t>
  </si>
  <si>
    <t xml:space="preserve">nuevo</t>
  </si>
  <si>
    <t xml:space="preserve">the world</t>
  </si>
  <si>
    <t xml:space="preserve">el mundo</t>
  </si>
  <si>
    <t xml:space="preserve">noun; place</t>
  </si>
  <si>
    <t xml:space="preserve">to enjoy</t>
  </si>
  <si>
    <t xml:space="preserve">disfrutar</t>
  </si>
  <si>
    <t xml:space="preserve">the people</t>
  </si>
  <si>
    <t xml:space="preserve">noun; people</t>
  </si>
  <si>
    <t xml:space="preserve">there are</t>
  </si>
  <si>
    <t xml:space="preserve">hay</t>
  </si>
  <si>
    <t xml:space="preserve">nobody</t>
  </si>
  <si>
    <t xml:space="preserve">second</t>
  </si>
  <si>
    <t xml:space="preserve">segundo</t>
  </si>
  <si>
    <t xml:space="preserve">the sun</t>
  </si>
  <si>
    <t xml:space="preserve">el sol</t>
  </si>
  <si>
    <t xml:space="preserve">weather</t>
  </si>
  <si>
    <t xml:space="preserve">to buy</t>
  </si>
  <si>
    <t xml:space="preserve">the pain</t>
  </si>
  <si>
    <t xml:space="preserve">el dolor</t>
  </si>
  <si>
    <t xml:space="preserve">useful</t>
  </si>
  <si>
    <t xml:space="preserve">util</t>
  </si>
  <si>
    <t xml:space="preserve">the friend</t>
  </si>
  <si>
    <t xml:space="preserve">the word</t>
  </si>
  <si>
    <t xml:space="preserve">la palabra</t>
  </si>
  <si>
    <t xml:space="preserve">noun; language</t>
  </si>
  <si>
    <t xml:space="preserve">without</t>
  </si>
  <si>
    <t xml:space="preserve">sin</t>
  </si>
  <si>
    <t xml:space="preserve">with</t>
  </si>
  <si>
    <t xml:space="preserve">con</t>
  </si>
  <si>
    <t xml:space="preserve">the fear</t>
  </si>
  <si>
    <t xml:space="preserve">el miedo</t>
  </si>
  <si>
    <t xml:space="preserve">big</t>
  </si>
  <si>
    <t xml:space="preserve">the kitchen</t>
  </si>
  <si>
    <t xml:space="preserve">la cosina</t>
  </si>
  <si>
    <t xml:space="preserve">the bed</t>
  </si>
  <si>
    <t xml:space="preserve">la cama</t>
  </si>
  <si>
    <t xml:space="preserve">the bathroom</t>
  </si>
  <si>
    <t xml:space="preserve">el baño</t>
  </si>
  <si>
    <t xml:space="preserve">the bedroom</t>
  </si>
  <si>
    <t xml:space="preserve">el dormitorio</t>
  </si>
  <si>
    <t xml:space="preserve">the house</t>
  </si>
  <si>
    <t xml:space="preserve">la casa</t>
  </si>
  <si>
    <t xml:space="preserve">the wall</t>
  </si>
  <si>
    <t xml:space="preserve">la pared</t>
  </si>
  <si>
    <t xml:space="preserve">the window</t>
  </si>
  <si>
    <t xml:space="preserve">la ventana</t>
  </si>
  <si>
    <t xml:space="preserve">the clothes</t>
  </si>
  <si>
    <t xml:space="preserve">noun; clothes</t>
  </si>
  <si>
    <t xml:space="preserve">noun; country</t>
  </si>
  <si>
    <t xml:space="preserve">the piano</t>
  </si>
  <si>
    <t xml:space="preserve">el piano</t>
  </si>
  <si>
    <t xml:space="preserve">the guitar</t>
  </si>
  <si>
    <t xml:space="preserve">la guitarra</t>
  </si>
  <si>
    <t xml:space="preserve">noun; house; animal</t>
  </si>
  <si>
    <t xml:space="preserve">noun; animal</t>
  </si>
  <si>
    <t xml:space="preserve">the bear</t>
  </si>
  <si>
    <t xml:space="preserve">el oso</t>
  </si>
  <si>
    <t xml:space="preserve">the monkey</t>
  </si>
  <si>
    <t xml:space="preserve">el mono</t>
  </si>
  <si>
    <t xml:space="preserve">the horse</t>
  </si>
  <si>
    <t xml:space="preserve">el caballo</t>
  </si>
  <si>
    <t xml:space="preserve">the duck</t>
  </si>
  <si>
    <t xml:space="preserve">el pato</t>
  </si>
  <si>
    <t xml:space="preserve">the penguin </t>
  </si>
  <si>
    <t xml:space="preserve">el pinqüino</t>
  </si>
  <si>
    <t xml:space="preserve">the place</t>
  </si>
  <si>
    <t xml:space="preserve">el lugar</t>
  </si>
  <si>
    <t xml:space="preserve">noun; positiondirection</t>
  </si>
  <si>
    <t xml:space="preserve">the mansion</t>
  </si>
  <si>
    <t xml:space="preserve">la mansión</t>
  </si>
  <si>
    <t xml:space="preserve">the evening</t>
  </si>
  <si>
    <t xml:space="preserve">noun; family</t>
  </si>
  <si>
    <t xml:space="preserve">the crisis</t>
  </si>
  <si>
    <t xml:space="preserve">la crisis</t>
  </si>
  <si>
    <t xml:space="preserve">the car</t>
  </si>
  <si>
    <t xml:space="preserve">el coche</t>
  </si>
  <si>
    <t xml:space="preserve">the noise</t>
  </si>
  <si>
    <t xml:space="preserve">el ruido</t>
  </si>
  <si>
    <t xml:space="preserve">the pheasant </t>
  </si>
  <si>
    <t xml:space="preserve">el faisán</t>
  </si>
  <si>
    <t xml:space="preserve">the telephone</t>
  </si>
  <si>
    <t xml:space="preserve">el teléfono</t>
  </si>
  <si>
    <t xml:space="preserve">the pastor</t>
  </si>
  <si>
    <t xml:space="preserve">el pastor</t>
  </si>
  <si>
    <t xml:space="preserve">the room</t>
  </si>
  <si>
    <t xml:space="preserve">la habitación</t>
  </si>
  <si>
    <t xml:space="preserve">the stain</t>
  </si>
  <si>
    <t xml:space="preserve">la mancha</t>
  </si>
  <si>
    <t xml:space="preserve">the floor</t>
  </si>
  <si>
    <t xml:space="preserve">el piso</t>
  </si>
  <si>
    <t xml:space="preserve">the door</t>
  </si>
  <si>
    <t xml:space="preserve">la puerta</t>
  </si>
  <si>
    <t xml:space="preserve">el pez</t>
  </si>
  <si>
    <t xml:space="preserve">the blood</t>
  </si>
  <si>
    <t xml:space="preserve">el sangre</t>
  </si>
  <si>
    <t xml:space="preserve">the hallway </t>
  </si>
  <si>
    <t xml:space="preserve">la vestíbulo</t>
  </si>
  <si>
    <t xml:space="preserve">the library</t>
  </si>
  <si>
    <t xml:space="preserve">la biblioteca</t>
  </si>
  <si>
    <t xml:space="preserve">the lounge</t>
  </si>
  <si>
    <t xml:space="preserve">el salón</t>
  </si>
  <si>
    <t xml:space="preserve">the hand</t>
  </si>
  <si>
    <t xml:space="preserve">el mano</t>
  </si>
  <si>
    <t xml:space="preserve">the foot</t>
  </si>
  <si>
    <t xml:space="preserve">el pie</t>
  </si>
  <si>
    <t xml:space="preserve">the head</t>
  </si>
  <si>
    <t xml:space="preserve">la cabeza</t>
  </si>
  <si>
    <t xml:space="preserve">the change</t>
  </si>
  <si>
    <t xml:space="preserve">el cambio</t>
  </si>
  <si>
    <t xml:space="preserve">the restaurant</t>
  </si>
  <si>
    <t xml:space="preserve">el restaurante</t>
  </si>
  <si>
    <t xml:space="preserve">the hotel</t>
  </si>
  <si>
    <t xml:space="preserve">el hotel</t>
  </si>
  <si>
    <t xml:space="preserve">the stamp</t>
  </si>
  <si>
    <t xml:space="preserve">el sello</t>
  </si>
  <si>
    <t xml:space="preserve">the pen</t>
  </si>
  <si>
    <t xml:space="preserve">the squirel</t>
  </si>
  <si>
    <t xml:space="preserve">la ardilla</t>
  </si>
  <si>
    <t xml:space="preserve">the question</t>
  </si>
  <si>
    <t xml:space="preserve">la pregunta</t>
  </si>
  <si>
    <t xml:space="preserve">the answer</t>
  </si>
  <si>
    <t xml:space="preserve">el contesto</t>
  </si>
  <si>
    <t xml:space="preserve">the presentation</t>
  </si>
  <si>
    <t xml:space="preserve">la presentación</t>
  </si>
  <si>
    <t xml:space="preserve">the conversation</t>
  </si>
  <si>
    <t xml:space="preserve">la conversación</t>
  </si>
  <si>
    <t xml:space="preserve">the problem</t>
  </si>
  <si>
    <t xml:space="preserve">el problema</t>
  </si>
  <si>
    <t xml:space="preserve">the site</t>
  </si>
  <si>
    <t xml:space="preserve">el sitio</t>
  </si>
  <si>
    <t xml:space="preserve">el jefe</t>
  </si>
  <si>
    <t xml:space="preserve">the turtle</t>
  </si>
  <si>
    <t xml:space="preserve">el tortuga</t>
  </si>
  <si>
    <t xml:space="preserve">azul</t>
  </si>
  <si>
    <t xml:space="preserve">noun; color</t>
  </si>
  <si>
    <t xml:space="preserve">roja</t>
  </si>
  <si>
    <t xml:space="preserve">blanco</t>
  </si>
  <si>
    <t xml:space="preserve">amarillo</t>
  </si>
  <si>
    <t xml:space="preserve">naranja</t>
  </si>
  <si>
    <t xml:space="preserve">gris</t>
  </si>
  <si>
    <t xml:space="preserve">the bus</t>
  </si>
  <si>
    <t xml:space="preserve">el autobús</t>
  </si>
  <si>
    <t xml:space="preserve">noun; travel</t>
  </si>
  <si>
    <t xml:space="preserve">the train</t>
  </si>
  <si>
    <t xml:space="preserve">el tren</t>
  </si>
  <si>
    <t xml:space="preserve">the ticket</t>
  </si>
  <si>
    <t xml:space="preserve">la entrada</t>
  </si>
  <si>
    <t xml:space="preserve">the plane</t>
  </si>
  <si>
    <t xml:space="preserve">el avion</t>
  </si>
  <si>
    <t xml:space="preserve">the airport</t>
  </si>
  <si>
    <t xml:space="preserve">el aeropuerto</t>
  </si>
  <si>
    <t xml:space="preserve">the passport</t>
  </si>
  <si>
    <t xml:space="preserve">el pasporte</t>
  </si>
  <si>
    <t xml:space="preserve">the taxi</t>
  </si>
  <si>
    <t xml:space="preserve">el taxi</t>
  </si>
  <si>
    <t xml:space="preserve">the money</t>
  </si>
  <si>
    <t xml:space="preserve">el dinero</t>
  </si>
  <si>
    <t xml:space="preserve">the suitcase</t>
  </si>
  <si>
    <t xml:space="preserve">la maleta</t>
  </si>
  <si>
    <t xml:space="preserve">the spider</t>
  </si>
  <si>
    <t xml:space="preserve">la araña</t>
  </si>
  <si>
    <t xml:space="preserve">the sheep</t>
  </si>
  <si>
    <t xml:space="preserve">la oveja</t>
  </si>
  <si>
    <t xml:space="preserve">positiondirection</t>
  </si>
  <si>
    <t xml:space="preserve">where</t>
  </si>
  <si>
    <t xml:space="preserve">dónde</t>
  </si>
  <si>
    <t xml:space="preserve">the right</t>
  </si>
  <si>
    <t xml:space="preserve">la derecha</t>
  </si>
  <si>
    <t xml:space="preserve">the left</t>
  </si>
  <si>
    <t xml:space="preserve">la izquierda</t>
  </si>
  <si>
    <t xml:space="preserve">far</t>
  </si>
  <si>
    <t xml:space="preserve">lejos</t>
  </si>
  <si>
    <t xml:space="preserve">close</t>
  </si>
  <si>
    <t xml:space="preserve">cerca</t>
  </si>
  <si>
    <t xml:space="preserve">the north</t>
  </si>
  <si>
    <t xml:space="preserve">el norte</t>
  </si>
  <si>
    <t xml:space="preserve">the south</t>
  </si>
  <si>
    <t xml:space="preserve">el sur</t>
  </si>
  <si>
    <t xml:space="preserve">west</t>
  </si>
  <si>
    <t xml:space="preserve">el oeste</t>
  </si>
  <si>
    <t xml:space="preserve">east</t>
  </si>
  <si>
    <t xml:space="preserve">el este</t>
  </si>
  <si>
    <t xml:space="preserve">up</t>
  </si>
  <si>
    <t xml:space="preserve">arriba</t>
  </si>
  <si>
    <t xml:space="preserve">down</t>
  </si>
  <si>
    <t xml:space="preserve">abajo</t>
  </si>
  <si>
    <t xml:space="preserve">the front</t>
  </si>
  <si>
    <t xml:space="preserve">el frente</t>
  </si>
  <si>
    <t xml:space="preserve">back</t>
  </si>
  <si>
    <t xml:space="preserve">espalda</t>
  </si>
  <si>
    <t xml:space="preserve">next to</t>
  </si>
  <si>
    <t xml:space="preserve">a lado</t>
  </si>
  <si>
    <t xml:space="preserve">above</t>
  </si>
  <si>
    <t xml:space="preserve">encima</t>
  </si>
  <si>
    <t xml:space="preserve">below</t>
  </si>
  <si>
    <t xml:space="preserve">noun; school</t>
  </si>
  <si>
    <t xml:space="preserve">the class</t>
  </si>
  <si>
    <t xml:space="preserve">la classe</t>
  </si>
  <si>
    <t xml:space="preserve">el maestro</t>
  </si>
  <si>
    <t xml:space="preserve">el studiante</t>
  </si>
  <si>
    <t xml:space="preserve">la computador</t>
  </si>
  <si>
    <t xml:space="preserve">noun; school; work</t>
  </si>
  <si>
    <t xml:space="preserve">el escritoro</t>
  </si>
  <si>
    <t xml:space="preserve">the clock</t>
  </si>
  <si>
    <t xml:space="preserve">el reloj</t>
  </si>
  <si>
    <t xml:space="preserve">the chapter</t>
  </si>
  <si>
    <t xml:space="preserve">el capítulo</t>
  </si>
  <si>
    <t xml:space="preserve">the topic</t>
  </si>
  <si>
    <t xml:space="preserve">el tema</t>
  </si>
  <si>
    <t xml:space="preserve">the achievement</t>
  </si>
  <si>
    <t xml:space="preserve">el logro</t>
  </si>
  <si>
    <t xml:space="preserve">the purse</t>
  </si>
  <si>
    <t xml:space="preserve">la chaqueta</t>
  </si>
  <si>
    <t xml:space="preserve">the hat</t>
  </si>
  <si>
    <t xml:space="preserve">el sombrero</t>
  </si>
  <si>
    <t xml:space="preserve">the apple</t>
  </si>
  <si>
    <t xml:space="preserve">la manzana</t>
  </si>
  <si>
    <t xml:space="preserve">the dessert</t>
  </si>
  <si>
    <t xml:space="preserve">el postre</t>
  </si>
  <si>
    <t xml:space="preserve">the waiter</t>
  </si>
  <si>
    <t xml:space="preserve">el camarero</t>
  </si>
  <si>
    <t xml:space="preserve">el naranja</t>
  </si>
  <si>
    <t xml:space="preserve">the pizza</t>
  </si>
  <si>
    <t xml:space="preserve">la pizza</t>
  </si>
  <si>
    <t xml:space="preserve">the salad</t>
  </si>
  <si>
    <t xml:space="preserve">the sushi</t>
  </si>
  <si>
    <t xml:space="preserve">el sushi</t>
  </si>
  <si>
    <t xml:space="preserve">el sandwich</t>
  </si>
  <si>
    <t xml:space="preserve">the bagel</t>
  </si>
  <si>
    <t xml:space="preserve">el bagel</t>
  </si>
  <si>
    <t xml:space="preserve">la tostada</t>
  </si>
  <si>
    <t xml:space="preserve">the fries</t>
  </si>
  <si>
    <t xml:space="preserve">the match</t>
  </si>
  <si>
    <t xml:space="preserve">el partido</t>
  </si>
  <si>
    <t xml:space="preserve">noun; sport</t>
  </si>
  <si>
    <t xml:space="preserve">datetime</t>
  </si>
  <si>
    <t xml:space="preserve">now</t>
  </si>
  <si>
    <t xml:space="preserve">ahora</t>
  </si>
  <si>
    <t xml:space="preserve">the time</t>
  </si>
  <si>
    <t xml:space="preserve">el tiempo</t>
  </si>
  <si>
    <t xml:space="preserve">again</t>
  </si>
  <si>
    <t xml:space="preserve">de nuevo</t>
  </si>
  <si>
    <t xml:space="preserve">the time period</t>
  </si>
  <si>
    <t xml:space="preserve">la época</t>
  </si>
  <si>
    <t xml:space="preserve">numbers</t>
  </si>
  <si>
    <t xml:space="preserve">viente</t>
  </si>
  <si>
    <t xml:space="preserve">eight hundred</t>
  </si>
  <si>
    <t xml:space="preserve">ochocientos</t>
  </si>
  <si>
    <t xml:space="preserve">the letter</t>
  </si>
  <si>
    <t xml:space="preserve">la carta</t>
  </si>
  <si>
    <t xml:space="preserve">the address</t>
  </si>
  <si>
    <t xml:space="preserve">la dirección</t>
  </si>
  <si>
    <t xml:space="preserve">the bike</t>
  </si>
  <si>
    <t xml:space="preserve">la bicicleta</t>
  </si>
  <si>
    <t xml:space="preserve">the road</t>
  </si>
  <si>
    <t xml:space="preserve">el camino</t>
  </si>
  <si>
    <t xml:space="preserve">the street</t>
  </si>
  <si>
    <t xml:space="preserve">la calle</t>
  </si>
  <si>
    <t xml:space="preserve">the speed</t>
  </si>
  <si>
    <t xml:space="preserve">la velocidad</t>
  </si>
  <si>
    <t xml:space="preserve">the street light</t>
  </si>
  <si>
    <t xml:space="preserve">la luz de la calle</t>
  </si>
  <si>
    <t xml:space="preserve">the trafic light</t>
  </si>
  <si>
    <t xml:space="preserve">el semáforo</t>
  </si>
  <si>
    <t xml:space="preserve">fast</t>
  </si>
  <si>
    <t xml:space="preserve">rápido</t>
  </si>
  <si>
    <t xml:space="preserve">slow</t>
  </si>
  <si>
    <t xml:space="preserve">lento</t>
  </si>
  <si>
    <t xml:space="preserve">the police</t>
  </si>
  <si>
    <t xml:space="preserve">la policía</t>
  </si>
  <si>
    <t xml:space="preserve">to break</t>
  </si>
  <si>
    <t xml:space="preserve">romper</t>
  </si>
  <si>
    <t xml:space="preserve">the gasoline</t>
  </si>
  <si>
    <t xml:space="preserve">la gasolina</t>
  </si>
  <si>
    <t xml:space="preserve">electric</t>
  </si>
  <si>
    <t xml:space="preserve">eléctrico</t>
  </si>
  <si>
    <t xml:space="preserve">the electric car</t>
  </si>
  <si>
    <t xml:space="preserve">el coche eléctrico</t>
  </si>
  <si>
    <t xml:space="preserve">england</t>
  </si>
  <si>
    <t xml:space="preserve">inglaterra</t>
  </si>
  <si>
    <t xml:space="preserve">inglés</t>
  </si>
  <si>
    <t xml:space="preserve">italy</t>
  </si>
  <si>
    <t xml:space="preserve">italia</t>
  </si>
  <si>
    <t xml:space="preserve">countrylanguage</t>
  </si>
  <si>
    <t xml:space="preserve">italian</t>
  </si>
  <si>
    <t xml:space="preserve">italiano</t>
  </si>
  <si>
    <t xml:space="preserve">france</t>
  </si>
  <si>
    <t xml:space="preserve">francia</t>
  </si>
  <si>
    <t xml:space="preserve">french</t>
  </si>
  <si>
    <t xml:space="preserve">francés</t>
  </si>
  <si>
    <t xml:space="preserve">the netherlands</t>
  </si>
  <si>
    <t xml:space="preserve">holanda</t>
  </si>
  <si>
    <t xml:space="preserve">dutch</t>
  </si>
  <si>
    <t xml:space="preserve">holandés</t>
  </si>
  <si>
    <t xml:space="preserve">russia</t>
  </si>
  <si>
    <t xml:space="preserve">rusia</t>
  </si>
  <si>
    <t xml:space="preserve">russian</t>
  </si>
  <si>
    <t xml:space="preserve">ruso</t>
  </si>
  <si>
    <t xml:space="preserve">germany</t>
  </si>
  <si>
    <t xml:space="preserve">alemania</t>
  </si>
  <si>
    <t xml:space="preserve">german</t>
  </si>
  <si>
    <t xml:space="preserve">alemán</t>
  </si>
  <si>
    <t xml:space="preserve">the united states</t>
  </si>
  <si>
    <t xml:space="preserve">los estados unidos</t>
  </si>
  <si>
    <t xml:space="preserve">american</t>
  </si>
  <si>
    <t xml:space="preserve">norte americano</t>
  </si>
  <si>
    <t xml:space="preserve">mexico</t>
  </si>
  <si>
    <t xml:space="preserve">méxico</t>
  </si>
  <si>
    <t xml:space="preserve">mexican</t>
  </si>
  <si>
    <t xml:space="preserve">mexicano</t>
  </si>
  <si>
    <t xml:space="preserve">alto</t>
  </si>
  <si>
    <t xml:space="preserve">the ear</t>
  </si>
  <si>
    <t xml:space="preserve">la oreja</t>
  </si>
  <si>
    <t xml:space="preserve">the message</t>
  </si>
  <si>
    <t xml:space="preserve">el mensaje</t>
  </si>
  <si>
    <t xml:space="preserve">the farm</t>
  </si>
  <si>
    <t xml:space="preserve">la granja</t>
  </si>
  <si>
    <t xml:space="preserve">the same</t>
  </si>
  <si>
    <t xml:space="preserve">el mismo</t>
  </si>
  <si>
    <t xml:space="preserve">the earth</t>
  </si>
  <si>
    <t xml:space="preserve">la tierra</t>
  </si>
  <si>
    <t xml:space="preserve">the love</t>
  </si>
  <si>
    <t xml:space="preserve">el amor</t>
  </si>
  <si>
    <t xml:space="preserve">yesterday</t>
  </si>
  <si>
    <t xml:space="preserve">ayer</t>
  </si>
  <si>
    <t xml:space="preserve">time</t>
  </si>
  <si>
    <t xml:space="preserve">the life</t>
  </si>
  <si>
    <t xml:space="preserve">la vida</t>
  </si>
  <si>
    <t xml:space="preserve">the distance</t>
  </si>
  <si>
    <t xml:space="preserve">la distancia</t>
  </si>
  <si>
    <t xml:space="preserve">noun; direction</t>
  </si>
  <si>
    <t xml:space="preserve">the language</t>
  </si>
  <si>
    <t xml:space="preserve">el idioma</t>
  </si>
  <si>
    <t xml:space="preserve">the correction</t>
  </si>
  <si>
    <t xml:space="preserve">la correccion</t>
  </si>
  <si>
    <t xml:space="preserve">busy</t>
  </si>
  <si>
    <t xml:space="preserve">ocupado</t>
  </si>
  <si>
    <t xml:space="preserve">of course</t>
  </si>
  <si>
    <t xml:space="preserve">por supuesto</t>
  </si>
  <si>
    <t xml:space="preserve">the fist</t>
  </si>
  <si>
    <t xml:space="preserve">el puño</t>
  </si>
  <si>
    <t xml:space="preserve">body</t>
  </si>
  <si>
    <t xml:space="preserve">to see</t>
  </si>
  <si>
    <t xml:space="preserve">verb</t>
  </si>
  <si>
    <t xml:space="preserve">the effort</t>
  </si>
  <si>
    <t xml:space="preserve">el esfuerzo</t>
  </si>
  <si>
    <t xml:space="preserve">to become</t>
  </si>
  <si>
    <t xml:space="preserve">convertirse</t>
  </si>
  <si>
    <t xml:space="preserve">to acquire</t>
  </si>
  <si>
    <t xml:space="preserve">adquirir</t>
  </si>
  <si>
    <t xml:space="preserve">farmer</t>
  </si>
  <si>
    <t xml:space="preserve">granjero</t>
  </si>
  <si>
    <t xml:space="preserve">the bishop</t>
  </si>
  <si>
    <t xml:space="preserve">el obispo</t>
  </si>
  <si>
    <t xml:space="preserve">noun; religion</t>
  </si>
  <si>
    <t xml:space="preserve">the home</t>
  </si>
  <si>
    <t xml:space="preserve">el hogar</t>
  </si>
  <si>
    <t xml:space="preserve">noun; home</t>
  </si>
  <si>
    <t xml:space="preserve">the sled</t>
  </si>
  <si>
    <t xml:space="preserve">el trineo</t>
  </si>
  <si>
    <t xml:space="preserve">noun; winter</t>
  </si>
  <si>
    <t xml:space="preserve">the toy</t>
  </si>
  <si>
    <t xml:space="preserve">el juguete</t>
  </si>
  <si>
    <t xml:space="preserve">to inherit</t>
  </si>
  <si>
    <t xml:space="preserve">heredar</t>
  </si>
  <si>
    <t xml:space="preserve">the men</t>
  </si>
  <si>
    <t xml:space="preserve">los varones</t>
  </si>
  <si>
    <t xml:space="preserve">restless</t>
  </si>
  <si>
    <t xml:space="preserve">inquieto</t>
  </si>
  <si>
    <t xml:space="preserve">near</t>
  </si>
  <si>
    <t xml:space="preserve">cerrano</t>
  </si>
  <si>
    <t xml:space="preserve">direction</t>
  </si>
  <si>
    <t xml:space="preserve">to keep it</t>
  </si>
  <si>
    <t xml:space="preserve">mantenerlo</t>
  </si>
  <si>
    <t xml:space="preserve">the circus</t>
  </si>
  <si>
    <t xml:space="preserve">el circo</t>
  </si>
  <si>
    <t xml:space="preserve">the parade</t>
  </si>
  <si>
    <t xml:space="preserve">el desfile</t>
  </si>
  <si>
    <t xml:space="preserve">the kite</t>
  </si>
  <si>
    <t xml:space="preserve">la cometa</t>
  </si>
  <si>
    <t xml:space="preserve">to wake up</t>
  </si>
  <si>
    <t xml:space="preserve">despertarse</t>
  </si>
  <si>
    <t xml:space="preserve">wood</t>
  </si>
  <si>
    <t xml:space="preserve">madera</t>
  </si>
  <si>
    <t xml:space="preserve">propeller</t>
  </si>
  <si>
    <t xml:space="preserve">hélice</t>
  </si>
  <si>
    <t xml:space="preserve">to glide</t>
  </si>
  <si>
    <t xml:space="preserve">planear</t>
  </si>
  <si>
    <t xml:space="preserve">the risk</t>
  </si>
  <si>
    <t xml:space="preserve">el riesgo</t>
  </si>
  <si>
    <t xml:space="preserve">the argument</t>
  </si>
  <si>
    <t xml:space="preserve">el argumento</t>
  </si>
  <si>
    <t xml:space="preserve">the situation</t>
  </si>
  <si>
    <t xml:space="preserve">la situación</t>
  </si>
  <si>
    <t xml:space="preserve">the citizen</t>
  </si>
  <si>
    <t xml:space="preserve">el ciudadano</t>
  </si>
  <si>
    <t xml:space="preserve">the safety</t>
  </si>
  <si>
    <t xml:space="preserve">el seguridad</t>
  </si>
  <si>
    <t xml:space="preserve">the capture</t>
  </si>
  <si>
    <t xml:space="preserve">la captura</t>
  </si>
  <si>
    <t xml:space="preserve">the violence</t>
  </si>
  <si>
    <t xml:space="preserve">la violencia</t>
  </si>
  <si>
    <t xml:space="preserve">the fire</t>
  </si>
  <si>
    <t xml:space="preserve">el fuego</t>
  </si>
  <si>
    <t xml:space="preserve">the pleasure</t>
  </si>
  <si>
    <t xml:space="preserve">el placer</t>
  </si>
  <si>
    <t xml:space="preserve">the newspaper</t>
  </si>
  <si>
    <t xml:space="preserve">el diario</t>
  </si>
  <si>
    <t xml:space="preserve">el periódico</t>
  </si>
  <si>
    <t xml:space="preserve">the painting</t>
  </si>
  <si>
    <t xml:space="preserve">la pintura</t>
  </si>
  <si>
    <t xml:space="preserve">the painter</t>
  </si>
  <si>
    <t xml:space="preserve">el pintor</t>
  </si>
  <si>
    <t xml:space="preserve">noun; profession</t>
  </si>
  <si>
    <t xml:space="preserve">the way</t>
  </si>
  <si>
    <t xml:space="preserve">la manera</t>
  </si>
  <si>
    <t xml:space="preserve">the television</t>
  </si>
  <si>
    <t xml:space="preserve">la televisión</t>
  </si>
  <si>
    <t xml:space="preserve">the hundreds</t>
  </si>
  <si>
    <t xml:space="preserve">los cientos</t>
  </si>
  <si>
    <t xml:space="preserve">the victim</t>
  </si>
  <si>
    <t xml:space="preserve">la víctima</t>
  </si>
  <si>
    <t xml:space="preserve">noun; story</t>
  </si>
  <si>
    <t xml:space="preserve">noun; nature</t>
  </si>
  <si>
    <t xml:space="preserve">the vampire</t>
  </si>
  <si>
    <t xml:space="preserve">el vampiro</t>
  </si>
  <si>
    <t xml:space="preserve">the bat</t>
  </si>
  <si>
    <t xml:space="preserve">el murciélago</t>
  </si>
  <si>
    <t xml:space="preserve">the legend</t>
  </si>
  <si>
    <t xml:space="preserve">la leyenda</t>
  </si>
  <si>
    <t xml:space="preserve">after</t>
  </si>
  <si>
    <t xml:space="preserve">tras</t>
  </si>
  <si>
    <t xml:space="preserve">to find out</t>
  </si>
  <si>
    <t xml:space="preserve">averiguar</t>
  </si>
  <si>
    <t xml:space="preserve">the rule</t>
  </si>
  <si>
    <t xml:space="preserve">drones</t>
  </si>
  <si>
    <t xml:space="preserve">aviones no tripulados</t>
  </si>
  <si>
    <t xml:space="preserve">behind</t>
  </si>
  <si>
    <t xml:space="preserve">detrás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</si>
</sst>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ourier New"/>
      <family val="3"/>
      <charset val="1"/>
    </font>
    <font>
      <sz val="11"/>
      <name val="Cambria"/>
      <family val="1"/>
      <charset val="1"/>
    </font>
    <font>
      <sz val="11"/>
      <name val="Courier New"/>
      <family val="3"/>
      <charset val="1"/>
    </font>
    <font>
      <sz val="11"/>
      <color rgb="FF000000"/>
      <name val="Courier New"/>
      <family val="3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65"/>
  <sheetViews>
    <sheetView windowProtection="false"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8.8877551020408"/>
    <col collapsed="false" hidden="false" max="2" min="2" style="0" width="39.4183673469388"/>
    <col collapsed="false" hidden="false" max="3" min="3" style="0" width="19.3061224489796"/>
    <col collapsed="false" hidden="false" max="1025" min="4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.75" hidden="false" customHeight="false" outlineLevel="0" collapsed="false">
      <c r="A2" s="4" t="s">
        <v>8</v>
      </c>
      <c r="B2" s="5" t="s">
        <v>9</v>
      </c>
      <c r="C2" s="5" t="s">
        <v>10</v>
      </c>
      <c r="D2" s="6"/>
      <c r="E2" s="7" t="str">
        <f aca="false">IFERROR(__xludf.dummyfunction("lower(GOOGLETRANSLATE(B2,""es"",""en""))"),"hello")</f>
        <v>hello</v>
      </c>
      <c r="F2" s="7" t="str">
        <f aca="false">IFERROR(__xludf.dummyfunction("lower(GOOGLETRANSLATE(A2,""en"",""es""))"),"hola")</f>
        <v>hola</v>
      </c>
      <c r="H2" s="0" t="str">
        <f aca="false">A2&amp;"|"&amp;B2</f>
        <v>hello|hola</v>
      </c>
    </row>
    <row r="3" customFormat="false" ht="15.75" hidden="false" customHeight="false" outlineLevel="0" collapsed="false">
      <c r="A3" s="4" t="s">
        <v>11</v>
      </c>
      <c r="B3" s="5" t="s">
        <v>12</v>
      </c>
      <c r="C3" s="5" t="s">
        <v>10</v>
      </c>
      <c r="D3" s="6"/>
      <c r="E3" s="7" t="str">
        <f aca="false">IFERROR(__xludf.dummyfunction("lower(GOOGLETRANSLATE(B3,""es"",""en""))"),"good morning")</f>
        <v>good morning</v>
      </c>
      <c r="F3" s="7" t="str">
        <f aca="false">IFERROR(__xludf.dummyfunction("lower(GOOGLETRANSLATE(A3,""en"",""es""))"),"buenos días")</f>
        <v>buenos días</v>
      </c>
      <c r="H3" s="0" t="str">
        <f aca="false">A3&amp;"|"&amp;B3</f>
        <v>good morning|buenos días</v>
      </c>
    </row>
    <row r="4" customFormat="false" ht="15.75" hidden="false" customHeight="false" outlineLevel="0" collapsed="false">
      <c r="A4" s="4" t="s">
        <v>13</v>
      </c>
      <c r="B4" s="5" t="s">
        <v>14</v>
      </c>
      <c r="C4" s="5" t="s">
        <v>10</v>
      </c>
      <c r="D4" s="6"/>
      <c r="E4" s="7" t="str">
        <f aca="false">IFERROR(__xludf.dummyfunction("lower(GOOGLETRANSLATE(B4,""es"",""en""))"),"good afternoon")</f>
        <v>good afternoon</v>
      </c>
      <c r="F4" s="7" t="str">
        <f aca="false">IFERROR(__xludf.dummyfunction("lower(GOOGLETRANSLATE(A4,""en"",""es""))"),"buenas tardes")</f>
        <v>buenas tardes</v>
      </c>
      <c r="H4" s="0" t="str">
        <f aca="false">A4&amp;"|"&amp;B4</f>
        <v>good afternoon|buenas tardes</v>
      </c>
    </row>
    <row r="5" customFormat="false" ht="15.75" hidden="false" customHeight="false" outlineLevel="0" collapsed="false">
      <c r="A5" s="4" t="s">
        <v>15</v>
      </c>
      <c r="B5" s="5" t="s">
        <v>16</v>
      </c>
      <c r="C5" s="5" t="s">
        <v>10</v>
      </c>
      <c r="D5" s="5" t="s">
        <v>17</v>
      </c>
      <c r="E5" s="7" t="str">
        <f aca="false">IFERROR(__xludf.dummyfunction("lower(GOOGLETRANSLATE(B5,""es"",""en""))"),"how are you)?")</f>
        <v>how are you)?</v>
      </c>
      <c r="F5" s="7" t="str">
        <f aca="false">IFERROR(__xludf.dummyfunction("lower(GOOGLETRANSLATE(A5,""en"",""es""))"),"¿cómo estás? (familiar)")</f>
        <v>¿cómo estás? (familiar)</v>
      </c>
      <c r="H5" s="0" t="str">
        <f aca="false">A5&amp;"|"&amp;B5</f>
        <v>how are you? (familiar)|cómo estás (tú)?</v>
      </c>
    </row>
    <row r="6" customFormat="false" ht="15.75" hidden="false" customHeight="false" outlineLevel="0" collapsed="false">
      <c r="A6" s="4" t="s">
        <v>18</v>
      </c>
      <c r="B6" s="5" t="s">
        <v>19</v>
      </c>
      <c r="C6" s="5" t="s">
        <v>20</v>
      </c>
      <c r="D6" s="6"/>
      <c r="E6" s="7" t="str">
        <f aca="false">IFERROR(__xludf.dummyfunction("lower(GOOGLETRANSLATE(B6,""es"",""en""))"),"and you?")</f>
        <v>and you?</v>
      </c>
      <c r="F6" s="7" t="str">
        <f aca="false">IFERROR(__xludf.dummyfunction("lower(GOOGLETRANSLATE(A6,""en"",""es""))"),"y usted? (familiar)")</f>
        <v>y usted? (familiar)</v>
      </c>
      <c r="H6" s="0" t="str">
        <f aca="false">A6&amp;"|"&amp;B6</f>
        <v>and you? (familiar)|y tú?</v>
      </c>
    </row>
    <row r="7" customFormat="false" ht="15.75" hidden="false" customHeight="false" outlineLevel="0" collapsed="false">
      <c r="A7" s="4" t="s">
        <v>21</v>
      </c>
      <c r="B7" s="5" t="s">
        <v>22</v>
      </c>
      <c r="C7" s="5" t="s">
        <v>10</v>
      </c>
      <c r="D7" s="6"/>
      <c r="E7" s="7" t="str">
        <f aca="false">IFERROR(__xludf.dummyfunction("lower(GOOGLETRANSLATE(B7,""es"",""en""))"),"goodbye")</f>
        <v>goodbye</v>
      </c>
      <c r="F7" s="7" t="str">
        <f aca="false">IFERROR(__xludf.dummyfunction("lower(GOOGLETRANSLATE(A7,""en"",""es""))"),"adiós")</f>
        <v>adiós</v>
      </c>
      <c r="H7" s="0" t="str">
        <f aca="false">A7&amp;"|"&amp;B7</f>
        <v>bye|adiós</v>
      </c>
    </row>
    <row r="8" customFormat="false" ht="15.75" hidden="false" customHeight="false" outlineLevel="0" collapsed="false">
      <c r="A8" s="4" t="s">
        <v>23</v>
      </c>
      <c r="B8" s="5" t="s">
        <v>24</v>
      </c>
      <c r="C8" s="5" t="s">
        <v>10</v>
      </c>
      <c r="D8" s="6"/>
      <c r="E8" s="7" t="str">
        <f aca="false">IFERROR(__xludf.dummyfunction("lower(GOOGLETRANSLATE(B8,""es"",""en""))"),"all right")</f>
        <v>all right</v>
      </c>
      <c r="F8" s="7" t="str">
        <f aca="false">IFERROR(__xludf.dummyfunction("lower(GOOGLETRANSLATE(A8,""en"",""es""))"),"bien")</f>
        <v>bien</v>
      </c>
      <c r="H8" s="0" t="str">
        <f aca="false">A8&amp;"|"&amp;B8</f>
        <v>well|bien</v>
      </c>
    </row>
    <row r="9" customFormat="false" ht="15.75" hidden="false" customHeight="false" outlineLevel="0" collapsed="false">
      <c r="A9" s="4" t="s">
        <v>25</v>
      </c>
      <c r="B9" s="5" t="s">
        <v>26</v>
      </c>
      <c r="C9" s="5" t="s">
        <v>10</v>
      </c>
      <c r="D9" s="6"/>
      <c r="E9" s="7" t="str">
        <f aca="false">IFERROR(__xludf.dummyfunction("lower(GOOGLETRANSLATE(B9,""es"",""en""))"),"very good")</f>
        <v>very good</v>
      </c>
      <c r="F9" s="7" t="str">
        <f aca="false">IFERROR(__xludf.dummyfunction("lower(GOOGLETRANSLATE(A9,""en"",""es""))"),"muy bien")</f>
        <v>muy bien</v>
      </c>
      <c r="H9" s="0" t="str">
        <f aca="false">A9&amp;"|"&amp;B9</f>
        <v>very well|muy bien</v>
      </c>
    </row>
    <row r="10" customFormat="false" ht="15.75" hidden="false" customHeight="false" outlineLevel="0" collapsed="false">
      <c r="A10" s="4" t="s">
        <v>27</v>
      </c>
      <c r="B10" s="5" t="s">
        <v>28</v>
      </c>
      <c r="C10" s="5" t="s">
        <v>10</v>
      </c>
      <c r="D10" s="6"/>
      <c r="E10" s="7" t="str">
        <f aca="false">IFERROR(__xludf.dummyfunction("lower(GOOGLETRANSLATE(B10,""es"",""en""))"),"evil")</f>
        <v>evil</v>
      </c>
      <c r="F10" s="7" t="str">
        <f aca="false">IFERROR(__xludf.dummyfunction("lower(GOOGLETRANSLATE(A10,""en"",""es""))"),"mal")</f>
        <v>mal</v>
      </c>
      <c r="H10" s="0" t="str">
        <f aca="false">A10&amp;"|"&amp;B10</f>
        <v>badly|mal</v>
      </c>
    </row>
    <row r="11" customFormat="false" ht="15.75" hidden="false" customHeight="false" outlineLevel="0" collapsed="false">
      <c r="A11" s="4" t="s">
        <v>29</v>
      </c>
      <c r="B11" s="5" t="s">
        <v>30</v>
      </c>
      <c r="C11" s="5" t="s">
        <v>10</v>
      </c>
      <c r="D11" s="6"/>
      <c r="E11" s="7" t="str">
        <f aca="false">IFERROR(__xludf.dummyfunction("lower(GOOGLETRANSLATE(B11,""es"",""en""))"),"very bad")</f>
        <v>very bad</v>
      </c>
      <c r="F11" s="7" t="str">
        <f aca="false">IFERROR(__xludf.dummyfunction("lower(GOOGLETRANSLATE(A11,""en"",""es""))"),"muy mal")</f>
        <v>muy mal</v>
      </c>
      <c r="H11" s="0" t="str">
        <f aca="false">A11&amp;"|"&amp;B11</f>
        <v>very badly|muy mal</v>
      </c>
    </row>
    <row r="12" customFormat="false" ht="15.75" hidden="false" customHeight="false" outlineLevel="0" collapsed="false">
      <c r="A12" s="4" t="s">
        <v>31</v>
      </c>
      <c r="B12" s="5" t="s">
        <v>32</v>
      </c>
      <c r="C12" s="5" t="s">
        <v>33</v>
      </c>
      <c r="D12" s="6"/>
      <c r="E12" s="7" t="str">
        <f aca="false">IFERROR(__xludf.dummyfunction("lower(GOOGLETRANSLATE(B12,""es"",""en""))"),"zero")</f>
        <v>zero</v>
      </c>
      <c r="F12" s="7" t="str">
        <f aca="false">IFERROR(__xludf.dummyfunction("lower(GOOGLETRANSLATE(A12,""en"",""es""))"),"cero")</f>
        <v>cero</v>
      </c>
      <c r="H12" s="0" t="str">
        <f aca="false">A12&amp;"|"&amp;B12</f>
        <v>zero|cero</v>
      </c>
    </row>
    <row r="13" customFormat="false" ht="15.75" hidden="false" customHeight="false" outlineLevel="0" collapsed="false">
      <c r="A13" s="4" t="s">
        <v>34</v>
      </c>
      <c r="B13" s="5" t="s">
        <v>35</v>
      </c>
      <c r="C13" s="5" t="s">
        <v>33</v>
      </c>
      <c r="D13" s="6"/>
      <c r="E13" s="7" t="str">
        <f aca="false">IFERROR(__xludf.dummyfunction("lower(GOOGLETRANSLATE(B13,""es"",""en""))"),"one")</f>
        <v>one</v>
      </c>
      <c r="F13" s="7" t="str">
        <f aca="false">IFERROR(__xludf.dummyfunction("lower(GOOGLETRANSLATE(A13,""en"",""es""))"),"uno")</f>
        <v>uno</v>
      </c>
      <c r="H13" s="0" t="str">
        <f aca="false">A13&amp;"|"&amp;B13</f>
        <v>one|uno</v>
      </c>
    </row>
    <row r="14" customFormat="false" ht="15.75" hidden="false" customHeight="false" outlineLevel="0" collapsed="false">
      <c r="A14" s="4" t="s">
        <v>36</v>
      </c>
      <c r="B14" s="5" t="s">
        <v>37</v>
      </c>
      <c r="C14" s="5" t="s">
        <v>33</v>
      </c>
      <c r="D14" s="6"/>
      <c r="E14" s="7" t="str">
        <f aca="false">IFERROR(__xludf.dummyfunction("lower(GOOGLETRANSLATE(B14,""es"",""en""))"),"two")</f>
        <v>two</v>
      </c>
      <c r="F14" s="7" t="str">
        <f aca="false">IFERROR(__xludf.dummyfunction("lower(GOOGLETRANSLATE(A14,""en"",""es""))"),"dos")</f>
        <v>dos</v>
      </c>
      <c r="H14" s="0" t="str">
        <f aca="false">A14&amp;"|"&amp;B14</f>
        <v>two|dos</v>
      </c>
    </row>
    <row r="15" customFormat="false" ht="15.75" hidden="false" customHeight="false" outlineLevel="0" collapsed="false">
      <c r="A15" s="4" t="s">
        <v>38</v>
      </c>
      <c r="B15" s="5" t="s">
        <v>39</v>
      </c>
      <c r="C15" s="5" t="s">
        <v>33</v>
      </c>
      <c r="D15" s="6"/>
      <c r="E15" s="7" t="str">
        <f aca="false">IFERROR(__xludf.dummyfunction("lower(GOOGLETRANSLATE(B15,""es"",""en""))"),"three")</f>
        <v>three</v>
      </c>
      <c r="F15" s="7" t="str">
        <f aca="false">IFERROR(__xludf.dummyfunction("lower(GOOGLETRANSLATE(A15,""en"",""es""))"),"tres")</f>
        <v>tres</v>
      </c>
      <c r="H15" s="0" t="str">
        <f aca="false">A15&amp;"|"&amp;B15</f>
        <v>three|tres</v>
      </c>
    </row>
    <row r="16" customFormat="false" ht="15.75" hidden="false" customHeight="false" outlineLevel="0" collapsed="false">
      <c r="A16" s="4" t="s">
        <v>40</v>
      </c>
      <c r="B16" s="5" t="s">
        <v>41</v>
      </c>
      <c r="C16" s="5" t="s">
        <v>20</v>
      </c>
      <c r="D16" s="6"/>
      <c r="E16" s="7" t="str">
        <f aca="false">IFERROR(__xludf.dummyfunction("lower(GOOGLETRANSLATE(B16,""es"",""en""))"),"what is your name?")</f>
        <v>what is your name?</v>
      </c>
      <c r="F16" s="7" t="str">
        <f aca="false">IFERROR(__xludf.dummyfunction("lower(GOOGLETRANSLATE(A16,""en"",""es""))"),"cuál es tu nombre? (familiar)")</f>
        <v>cuál es tu nombre? (familiar)</v>
      </c>
      <c r="H16" s="0" t="str">
        <f aca="false">A16&amp;"|"&amp;B16</f>
        <v>what is your name? (familiar)|cómo te llama?</v>
      </c>
    </row>
    <row r="17" customFormat="false" ht="15.75" hidden="false" customHeight="false" outlineLevel="0" collapsed="false">
      <c r="A17" s="4" t="s">
        <v>42</v>
      </c>
      <c r="B17" s="5" t="s">
        <v>43</v>
      </c>
      <c r="C17" s="5" t="s">
        <v>20</v>
      </c>
      <c r="D17" s="6" t="s">
        <v>44</v>
      </c>
      <c r="E17" s="7" t="str">
        <f aca="false">IFERROR(__xludf.dummyfunction("lower(GOOGLETRANSLATE(B17,""es"",""en""))"),"my name is")</f>
        <v>my name is</v>
      </c>
      <c r="F17" s="7" t="str">
        <f aca="false">IFERROR(__xludf.dummyfunction("lower(GOOGLETRANSLATE(A17,""en"",""es""))"),"me llamo")</f>
        <v>me llamo</v>
      </c>
      <c r="H17" s="0" t="str">
        <f aca="false">A17&amp;"|"&amp;B17</f>
        <v>my name is|me llamo</v>
      </c>
    </row>
    <row r="18" customFormat="false" ht="15.75" hidden="false" customHeight="false" outlineLevel="0" collapsed="false">
      <c r="A18" s="4" t="s">
        <v>45</v>
      </c>
      <c r="B18" s="5" t="s">
        <v>46</v>
      </c>
      <c r="C18" s="5" t="s">
        <v>20</v>
      </c>
      <c r="D18" s="6"/>
      <c r="E18" s="7" t="str">
        <f aca="false">IFERROR(__xludf.dummyfunction("lower(GOOGLETRANSLATE(B18,""es"",""en""))"),"name")</f>
        <v>name</v>
      </c>
      <c r="F18" s="7" t="str">
        <f aca="false">IFERROR(__xludf.dummyfunction("lower(GOOGLETRANSLATE(A18,""en"",""es""))"),"el nombre")</f>
        <v>el nombre</v>
      </c>
      <c r="H18" s="0" t="str">
        <f aca="false">A18&amp;"|"&amp;B18</f>
        <v>the name|el nombre</v>
      </c>
    </row>
    <row r="19" customFormat="false" ht="15.75" hidden="false" customHeight="false" outlineLevel="0" collapsed="false">
      <c r="A19" s="4" t="s">
        <v>47</v>
      </c>
      <c r="B19" s="5" t="s">
        <v>48</v>
      </c>
      <c r="C19" s="5" t="s">
        <v>10</v>
      </c>
      <c r="D19" s="5" t="s">
        <v>49</v>
      </c>
      <c r="E19" s="7" t="str">
        <f aca="false">IFERROR(__xludf.dummyfunction("lower(GOOGLETRANSLATE(B19,""es"",""en""))"),"how are you?")</f>
        <v>how are you?</v>
      </c>
      <c r="F19" s="7" t="str">
        <f aca="false">IFERROR(__xludf.dummyfunction("lower(GOOGLETRANSLATE(A19,""en"",""es""))"),"¿cómo estás? (formal)")</f>
        <v>¿cómo estás? (formal)</v>
      </c>
      <c r="H19" s="0" t="str">
        <f aca="false">A19&amp;"|"&amp;B19</f>
        <v>how are you? (formal)|cómo está usted?</v>
      </c>
    </row>
    <row r="20" customFormat="false" ht="15.75" hidden="false" customHeight="false" outlineLevel="0" collapsed="false">
      <c r="A20" s="4" t="s">
        <v>50</v>
      </c>
      <c r="B20" s="5" t="s">
        <v>51</v>
      </c>
      <c r="C20" s="5" t="s">
        <v>10</v>
      </c>
      <c r="D20" s="6"/>
      <c r="E20" s="7" t="str">
        <f aca="false">IFERROR(__xludf.dummyfunction("lower(GOOGLETRANSLATE(B20,""es"",""en""))"),"how are you?")</f>
        <v>how are you?</v>
      </c>
      <c r="F20" s="7" t="str">
        <f aca="false">IFERROR(__xludf.dummyfunction("lower(GOOGLETRANSLATE(A20,""en"",""es""))"),"¿cómo están las cosas?")</f>
        <v>¿cómo están las cosas?</v>
      </c>
      <c r="H20" s="0" t="str">
        <f aca="false">A20&amp;"|"&amp;B20</f>
        <v>how are things?|qué tal?</v>
      </c>
    </row>
    <row r="21" customFormat="false" ht="15.75" hidden="false" customHeight="false" outlineLevel="0" collapsed="false">
      <c r="A21" s="4" t="s">
        <v>52</v>
      </c>
      <c r="B21" s="5" t="s">
        <v>53</v>
      </c>
      <c r="C21" s="5" t="s">
        <v>10</v>
      </c>
      <c r="D21" s="6"/>
      <c r="E21" s="7" t="str">
        <f aca="false">IFERROR(__xludf.dummyfunction("lower(GOOGLETRANSLATE(B21,""es"",""en""))"),"regular")</f>
        <v>regular</v>
      </c>
      <c r="F21" s="7" t="str">
        <f aca="false">IFERROR(__xludf.dummyfunction("lower(GOOGLETRANSLATE(A21,""en"",""es""))"),"bueno")</f>
        <v>bueno</v>
      </c>
      <c r="H21" s="0" t="str">
        <f aca="false">A21&amp;"|"&amp;B21</f>
        <v>okay|regular</v>
      </c>
    </row>
    <row r="22" customFormat="false" ht="15.75" hidden="false" customHeight="false" outlineLevel="0" collapsed="false">
      <c r="A22" s="4" t="s">
        <v>54</v>
      </c>
      <c r="B22" s="5" t="s">
        <v>55</v>
      </c>
      <c r="C22" s="5" t="s">
        <v>10</v>
      </c>
      <c r="D22" s="6"/>
      <c r="E22" s="7" t="str">
        <f aca="false">IFERROR(__xludf.dummyfunction("lower(GOOGLETRANSLATE(B22,""es"",""en""))"),"more or less")</f>
        <v>more or less</v>
      </c>
      <c r="F22" s="7" t="str">
        <f aca="false">IFERROR(__xludf.dummyfunction("lower(GOOGLETRANSLATE(A22,""en"",""es""))"),"más o menos fina")</f>
        <v>más o menos fina</v>
      </c>
      <c r="H22" s="0" t="str">
        <f aca="false">A22&amp;"|"&amp;B22</f>
        <v>more or less fine|más o menos</v>
      </c>
    </row>
    <row r="23" customFormat="false" ht="15.75" hidden="false" customHeight="false" outlineLevel="0" collapsed="false">
      <c r="A23" s="4" t="s">
        <v>56</v>
      </c>
      <c r="B23" s="5" t="s">
        <v>57</v>
      </c>
      <c r="C23" s="5" t="s">
        <v>20</v>
      </c>
      <c r="D23" s="6"/>
      <c r="E23" s="7" t="str">
        <f aca="false">IFERROR(__xludf.dummyfunction("lower(GOOGLETRANSLATE(B23,""es"",""en""))"),"and you?")</f>
        <v>and you?</v>
      </c>
      <c r="F23" s="7" t="str">
        <f aca="false">IFERROR(__xludf.dummyfunction("lower(GOOGLETRANSLATE(A23,""en"",""es""))"),"y usted? (formal)")</f>
        <v>y usted? (formal)</v>
      </c>
      <c r="H23" s="0" t="str">
        <f aca="false">A23&amp;"|"&amp;B23</f>
        <v>and you? (formal)|y usted?</v>
      </c>
    </row>
    <row r="24" customFormat="false" ht="15.75" hidden="false" customHeight="false" outlineLevel="0" collapsed="false">
      <c r="A24" s="4" t="s">
        <v>58</v>
      </c>
      <c r="B24" s="5" t="s">
        <v>59</v>
      </c>
      <c r="C24" s="5" t="s">
        <v>10</v>
      </c>
      <c r="D24" s="6"/>
      <c r="E24" s="7" t="str">
        <f aca="false">IFERROR(__xludf.dummyfunction("lower(GOOGLETRANSLATE(B24,""es"",""en""))"),"thank you")</f>
        <v>thank you</v>
      </c>
      <c r="F24" s="7" t="str">
        <f aca="false">IFERROR(__xludf.dummyfunction("lower(GOOGLETRANSLATE(A24,""en"",""es""))"),"gracias")</f>
        <v>gracias</v>
      </c>
      <c r="H24" s="0" t="str">
        <f aca="false">A24&amp;"|"&amp;B24</f>
        <v>thank you|gracias</v>
      </c>
    </row>
    <row r="25" customFormat="false" ht="15.75" hidden="false" customHeight="false" outlineLevel="0" collapsed="false">
      <c r="A25" s="4" t="s">
        <v>60</v>
      </c>
      <c r="B25" s="5" t="s">
        <v>61</v>
      </c>
      <c r="C25" s="5" t="s">
        <v>10</v>
      </c>
      <c r="D25" s="6"/>
      <c r="E25" s="7" t="str">
        <f aca="false">IFERROR(__xludf.dummyfunction("lower(GOOGLETRANSLATE(B25,""es"",""en""))"),"please")</f>
        <v>please</v>
      </c>
      <c r="F25" s="7" t="str">
        <f aca="false">IFERROR(__xludf.dummyfunction("lower(GOOGLETRANSLATE(A25,""en"",""es""))"),"por favor")</f>
        <v>por favor</v>
      </c>
      <c r="H25" s="0" t="str">
        <f aca="false">A25&amp;"|"&amp;B25</f>
        <v>please|por favor</v>
      </c>
    </row>
    <row r="26" customFormat="false" ht="15.75" hidden="false" customHeight="false" outlineLevel="0" collapsed="false">
      <c r="A26" s="4" t="s">
        <v>62</v>
      </c>
      <c r="B26" s="5" t="s">
        <v>63</v>
      </c>
      <c r="C26" s="5" t="s">
        <v>10</v>
      </c>
      <c r="D26" s="6"/>
      <c r="E26" s="7" t="str">
        <f aca="false">IFERROR(__xludf.dummyfunction("lower(GOOGLETRANSLATE(B26,""es"",""en""))"),"bye")</f>
        <v>bye</v>
      </c>
      <c r="F26" s="7" t="str">
        <f aca="false">IFERROR(__xludf.dummyfunction("lower(GOOGLETRANSLATE(A26,""en"",""es""))"),"nos vemos más tarde")</f>
        <v>nos vemos más tarde</v>
      </c>
      <c r="H26" s="0" t="str">
        <f aca="false">A26&amp;"|"&amp;B26</f>
        <v>see you later|hasta luego</v>
      </c>
    </row>
    <row r="27" customFormat="false" ht="15.75" hidden="false" customHeight="false" outlineLevel="0" collapsed="false">
      <c r="A27" s="4" t="s">
        <v>64</v>
      </c>
      <c r="B27" s="5" t="s">
        <v>65</v>
      </c>
      <c r="C27" s="5" t="s">
        <v>10</v>
      </c>
      <c r="D27" s="6"/>
      <c r="E27" s="7" t="str">
        <f aca="false">IFERROR(__xludf.dummyfunction("lower(GOOGLETRANSLATE(B27,""es"",""en""))"),"good night")</f>
        <v>good night</v>
      </c>
      <c r="F27" s="7" t="str">
        <f aca="false">IFERROR(__xludf.dummyfunction("lower(GOOGLETRANSLATE(A27,""en"",""es""))"),"buenas noches")</f>
        <v>buenas noches</v>
      </c>
      <c r="H27" s="0" t="str">
        <f aca="false">A27&amp;"|"&amp;B27</f>
        <v>goodnight|buenos noches</v>
      </c>
    </row>
    <row r="28" customFormat="false" ht="15.75" hidden="false" customHeight="false" outlineLevel="0" collapsed="false">
      <c r="A28" s="4" t="s">
        <v>66</v>
      </c>
      <c r="B28" s="5" t="s">
        <v>67</v>
      </c>
      <c r="C28" s="5" t="s">
        <v>20</v>
      </c>
      <c r="D28" s="6"/>
      <c r="E28" s="7" t="str">
        <f aca="false">IFERROR(__xludf.dummyfunction("lower(GOOGLETRANSLATE(B28,""es"",""en""))"),"what is your name?")</f>
        <v>what is your name?</v>
      </c>
      <c r="F28" s="7" t="str">
        <f aca="false">IFERROR(__xludf.dummyfunction("lower(GOOGLETRANSLATE(A28,""en"",""es""))"),"cuál es tu nombre? (formal)")</f>
        <v>cuál es tu nombre? (formal)</v>
      </c>
      <c r="H28" s="0" t="str">
        <f aca="false">A28&amp;"|"&amp;B28</f>
        <v>what is your name? (formal)|cómo se llama?</v>
      </c>
    </row>
    <row r="29" customFormat="false" ht="15.75" hidden="false" customHeight="false" outlineLevel="0" collapsed="false">
      <c r="A29" s="4" t="s">
        <v>68</v>
      </c>
      <c r="B29" s="5" t="s">
        <v>69</v>
      </c>
      <c r="C29" s="5" t="s">
        <v>20</v>
      </c>
      <c r="D29" s="6"/>
      <c r="E29" s="7" t="str">
        <f aca="false">IFERROR(__xludf.dummyfunction("lower(GOOGLETRANSLATE(B29,""es"",""en""))"),"i introduce you to")</f>
        <v>i introduce you to</v>
      </c>
      <c r="F29" s="7" t="str">
        <f aca="false">IFERROR(__xludf.dummyfunction("lower(GOOGLETRANSLATE(A29,""en"",""es""))"),"te presento a")</f>
        <v>te presento a</v>
      </c>
      <c r="H29" s="0" t="str">
        <f aca="false">A29&amp;"|"&amp;B29</f>
        <v>let me introduce you to|te presento a</v>
      </c>
    </row>
    <row r="30" customFormat="false" ht="15.75" hidden="false" customHeight="false" outlineLevel="0" collapsed="false">
      <c r="A30" s="4" t="s">
        <v>70</v>
      </c>
      <c r="B30" s="5" t="s">
        <v>71</v>
      </c>
      <c r="C30" s="5" t="s">
        <v>20</v>
      </c>
      <c r="D30" s="6"/>
      <c r="E30" s="7" t="str">
        <f aca="false">IFERROR(__xludf.dummyfunction("lower(GOOGLETRANSLATE(B30,""es"",""en""))"),"sir")</f>
        <v>sir</v>
      </c>
      <c r="F30" s="7" t="str">
        <f aca="false">IFERROR(__xludf.dummyfunction("lower(GOOGLETRANSLATE(A30,""en"",""es""))"),"señor")</f>
        <v>señor</v>
      </c>
      <c r="H30" s="0" t="str">
        <f aca="false">A30&amp;"|"&amp;B30</f>
        <v>sir|señor</v>
      </c>
    </row>
    <row r="31" customFormat="false" ht="15.75" hidden="false" customHeight="false" outlineLevel="0" collapsed="false">
      <c r="A31" s="4" t="s">
        <v>72</v>
      </c>
      <c r="B31" s="5" t="s">
        <v>73</v>
      </c>
      <c r="C31" s="5" t="s">
        <v>20</v>
      </c>
      <c r="D31" s="6"/>
      <c r="E31" s="7" t="str">
        <f aca="false">IFERROR(__xludf.dummyfunction("lower(GOOGLETRANSLATE(B31,""es"",""en""))"),"ms")</f>
        <v>ms</v>
      </c>
      <c r="F31" s="7" t="str">
        <f aca="false">IFERROR(__xludf.dummyfunction("lower(GOOGLETRANSLATE(A31,""en"",""es""))"),"señora.")</f>
        <v>señora.</v>
      </c>
      <c r="H31" s="0" t="str">
        <f aca="false">A31&amp;"|"&amp;B31</f>
        <v>mrs.|señora</v>
      </c>
    </row>
    <row r="32" customFormat="false" ht="15.75" hidden="false" customHeight="false" outlineLevel="0" collapsed="false">
      <c r="A32" s="4" t="s">
        <v>74</v>
      </c>
      <c r="B32" s="5" t="s">
        <v>75</v>
      </c>
      <c r="C32" s="5" t="s">
        <v>20</v>
      </c>
      <c r="D32" s="6"/>
      <c r="E32" s="7" t="str">
        <f aca="false">IFERROR(__xludf.dummyfunction("lower(GOOGLETRANSLATE(B32,""es"",""en""))"),"miss")</f>
        <v>miss</v>
      </c>
      <c r="F32" s="7" t="str">
        <f aca="false">IFERROR(__xludf.dummyfunction("lower(GOOGLETRANSLATE(A32,""en"",""es""))"),"pierda")</f>
        <v>pierda</v>
      </c>
      <c r="H32" s="0" t="str">
        <f aca="false">A32&amp;"|"&amp;B32</f>
        <v>miss|señorita</v>
      </c>
    </row>
    <row r="33" customFormat="false" ht="15.75" hidden="false" customHeight="false" outlineLevel="0" collapsed="false">
      <c r="A33" s="4" t="s">
        <v>76</v>
      </c>
      <c r="B33" s="5" t="s">
        <v>77</v>
      </c>
      <c r="C33" s="5" t="s">
        <v>20</v>
      </c>
      <c r="D33" s="6"/>
      <c r="E33" s="7" t="str">
        <f aca="false">IFERROR(__xludf.dummyfunction("lower(GOOGLETRANSLATE(B33,""es"",""en""))"),"pleasure!")</f>
        <v>pleasure!</v>
      </c>
      <c r="F33" s="7" t="str">
        <f aca="false">IFERROR(__xludf.dummyfunction("lower(GOOGLETRANSLATE(A33,""en"",""es""))"),"es un placer")</f>
        <v>es un placer</v>
      </c>
      <c r="H33" s="0" t="str">
        <f aca="false">A33&amp;"|"&amp;B33</f>
        <v>it's a pleasure|mucho gusto!</v>
      </c>
    </row>
    <row r="34" customFormat="false" ht="15.75" hidden="false" customHeight="false" outlineLevel="0" collapsed="false">
      <c r="A34" s="4" t="s">
        <v>78</v>
      </c>
      <c r="B34" s="5" t="s">
        <v>79</v>
      </c>
      <c r="C34" s="5" t="s">
        <v>20</v>
      </c>
      <c r="D34" s="6"/>
      <c r="E34" s="7" t="str">
        <f aca="false">IFERROR(__xludf.dummyfunction("lower(GOOGLETRANSLATE(B34,""es"",""en""))"),"my pleasure!")</f>
        <v>my pleasure!</v>
      </c>
      <c r="F34" s="7" t="str">
        <f aca="false">IFERROR(__xludf.dummyfunction("lower(GOOGLETRANSLATE(A34,""en"",""es""))"),"¡el placer es mío!")</f>
        <v>¡el placer es mío!</v>
      </c>
      <c r="H34" s="0" t="str">
        <f aca="false">A34&amp;"|"&amp;B34</f>
        <v>the pleasure is mine!|el gusto es mío!</v>
      </c>
    </row>
    <row r="35" customFormat="false" ht="15.75" hidden="false" customHeight="false" outlineLevel="0" collapsed="false">
      <c r="A35" s="4" t="s">
        <v>80</v>
      </c>
      <c r="B35" s="5" t="s">
        <v>81</v>
      </c>
      <c r="C35" s="5" t="s">
        <v>20</v>
      </c>
      <c r="D35" s="5"/>
      <c r="E35" s="7" t="str">
        <f aca="false">IFERROR(__xludf.dummyfunction("lower(GOOGLETRANSLATE(B35,""es"",""en""))"),"encantad @!")</f>
        <v>encantad @!</v>
      </c>
      <c r="F35" s="7" t="str">
        <f aca="false">IFERROR(__xludf.dummyfunction("lower(GOOGLETRANSLATE(A35,""en"",""es""))"),"¡encantado!")</f>
        <v>¡encantado!</v>
      </c>
      <c r="H35" s="0" t="str">
        <f aca="false">A35&amp;"|"&amp;B35</f>
        <v>delighted!|encantad@!</v>
      </c>
    </row>
    <row r="36" customFormat="false" ht="15.75" hidden="false" customHeight="false" outlineLevel="0" collapsed="false">
      <c r="A36" s="4" t="s">
        <v>82</v>
      </c>
      <c r="B36" s="5" t="s">
        <v>83</v>
      </c>
      <c r="C36" s="5" t="s">
        <v>20</v>
      </c>
      <c r="D36" s="6"/>
      <c r="E36" s="7" t="str">
        <f aca="false">IFERROR(__xludf.dummyfunction("lower(GOOGLETRANSLATE(B36,""es"",""en""))"),"equally!")</f>
        <v>equally!</v>
      </c>
      <c r="F36" s="7" t="str">
        <f aca="false">IFERROR(__xludf.dummyfunction("lower(GOOGLETRANSLATE(A36,""en"",""es""))"),"¡igualmente!")</f>
        <v>¡igualmente!</v>
      </c>
      <c r="H36" s="0" t="str">
        <f aca="false">A36&amp;"|"&amp;B36</f>
        <v>likewise!|igualmente!</v>
      </c>
    </row>
    <row r="37" customFormat="false" ht="15.75" hidden="false" customHeight="false" outlineLevel="0" collapsed="false">
      <c r="A37" s="4" t="s">
        <v>84</v>
      </c>
      <c r="B37" s="5" t="s">
        <v>85</v>
      </c>
      <c r="C37" s="5" t="s">
        <v>10</v>
      </c>
      <c r="D37" s="6"/>
      <c r="E37" s="7" t="str">
        <f aca="false">IFERROR(__xludf.dummyfunction("lower(GOOGLETRANSLATE(B37,""es"",""en""))"),"very friendly")</f>
        <v>very friendly</v>
      </c>
      <c r="F37" s="7" t="str">
        <f aca="false">IFERROR(__xludf.dummyfunction("lower(GOOGLETRANSLATE(A37,""en"",""es""))"),"muy amable")</f>
        <v>muy amable</v>
      </c>
      <c r="H37" s="0" t="str">
        <f aca="false">A37&amp;"|"&amp;B37</f>
        <v>very kind|muy amable</v>
      </c>
    </row>
    <row r="38" customFormat="false" ht="15.75" hidden="false" customHeight="false" outlineLevel="0" collapsed="false">
      <c r="A38" s="4" t="s">
        <v>86</v>
      </c>
      <c r="B38" s="5" t="s">
        <v>87</v>
      </c>
      <c r="C38" s="5" t="s">
        <v>88</v>
      </c>
      <c r="D38" s="6"/>
      <c r="E38" s="7" t="str">
        <f aca="false">IFERROR(__xludf.dummyfunction("lower(GOOGLETRANSLATE(B38,""es"",""en""))"),"i am")</f>
        <v>i am</v>
      </c>
      <c r="F38" s="7" t="str">
        <f aca="false">IFERROR(__xludf.dummyfunction("lower(GOOGLETRANSLATE(A38,""en"",""es""))"),"i am (rasgo)")</f>
        <v>i am (rasgo)</v>
      </c>
      <c r="H38" s="0" t="str">
        <f aca="false">A38&amp;"|"&amp;B38</f>
        <v>i am (trait)|yo soy</v>
      </c>
    </row>
    <row r="39" customFormat="false" ht="15.75" hidden="false" customHeight="false" outlineLevel="0" collapsed="false">
      <c r="A39" s="4" t="s">
        <v>89</v>
      </c>
      <c r="B39" s="5" t="s">
        <v>90</v>
      </c>
      <c r="C39" s="5" t="s">
        <v>88</v>
      </c>
      <c r="D39" s="6"/>
      <c r="E39" s="7" t="str">
        <f aca="false">IFERROR(__xludf.dummyfunction("lower(GOOGLETRANSLATE(B39,""es"",""en""))"),"you are")</f>
        <v>you are</v>
      </c>
      <c r="F39" s="7" t="str">
        <f aca="false">IFERROR(__xludf.dummyfunction("lower(GOOGLETRANSLATE(A39,""en"",""es""))"),"usted es (singular, rasgo)")</f>
        <v>usted es (singular, rasgo)</v>
      </c>
      <c r="H39" s="0" t="str">
        <f aca="false">A39&amp;"|"&amp;B39</f>
        <v>you are (singular, trait)|tú eres</v>
      </c>
    </row>
    <row r="40" customFormat="false" ht="15.75" hidden="false" customHeight="false" outlineLevel="0" collapsed="false">
      <c r="A40" s="4" t="s">
        <v>91</v>
      </c>
      <c r="B40" s="5" t="s">
        <v>92</v>
      </c>
      <c r="C40" s="5" t="s">
        <v>88</v>
      </c>
      <c r="D40" s="6"/>
      <c r="E40" s="7" t="str">
        <f aca="false">IFERROR(__xludf.dummyfunction("lower(GOOGLETRANSLATE(B40,""es"",""en""))"),"he is")</f>
        <v>he is</v>
      </c>
      <c r="F40" s="7" t="str">
        <f aca="false">IFERROR(__xludf.dummyfunction("lower(GOOGLETRANSLATE(A40,""en"",""es""))"),"él es (rasgo)")</f>
        <v>él es (rasgo)</v>
      </c>
      <c r="H40" s="0" t="str">
        <f aca="false">A40&amp;"|"&amp;B40</f>
        <v>he is (trait)|el es</v>
      </c>
    </row>
    <row r="41" customFormat="false" ht="15.75" hidden="false" customHeight="false" outlineLevel="0" collapsed="false">
      <c r="A41" s="4" t="s">
        <v>93</v>
      </c>
      <c r="B41" s="5" t="s">
        <v>94</v>
      </c>
      <c r="C41" s="5" t="s">
        <v>88</v>
      </c>
      <c r="D41" s="6"/>
      <c r="E41" s="7" t="str">
        <f aca="false">IFERROR(__xludf.dummyfunction("lower(GOOGLETRANSLATE(B41,""es"",""en""))"),"she is")</f>
        <v>she is</v>
      </c>
      <c r="F41" s="7" t="str">
        <f aca="false">IFERROR(__xludf.dummyfunction("lower(GOOGLETRANSLATE(A41,""en"",""es""))"),"ella es (rasgo)")</f>
        <v>ella es (rasgo)</v>
      </c>
      <c r="H41" s="0" t="str">
        <f aca="false">A41&amp;"|"&amp;B41</f>
        <v>she is (trait)|ella es</v>
      </c>
    </row>
    <row r="42" customFormat="false" ht="15.75" hidden="false" customHeight="false" outlineLevel="0" collapsed="false">
      <c r="A42" s="4" t="s">
        <v>95</v>
      </c>
      <c r="B42" s="5" t="s">
        <v>96</v>
      </c>
      <c r="C42" s="5" t="s">
        <v>97</v>
      </c>
      <c r="D42" s="6"/>
      <c r="E42" s="7" t="str">
        <f aca="false">IFERROR(__xludf.dummyfunction("lower(GOOGLETRANSLATE(B42,""es"",""en""))"),"than?")</f>
        <v>than?</v>
      </c>
      <c r="F42" s="7" t="str">
        <f aca="false">IFERROR(__xludf.dummyfunction("lower(GOOGLETRANSLATE(A42,""en"",""es""))"),"¿qué?")</f>
        <v>¿qué?</v>
      </c>
      <c r="H42" s="0" t="str">
        <f aca="false">A42&amp;"|"&amp;B42</f>
        <v>what?|qué?</v>
      </c>
    </row>
    <row r="43" customFormat="false" ht="15.75" hidden="false" customHeight="false" outlineLevel="0" collapsed="false">
      <c r="A43" s="4" t="s">
        <v>98</v>
      </c>
      <c r="B43" s="5" t="s">
        <v>99</v>
      </c>
      <c r="C43" s="5" t="s">
        <v>97</v>
      </c>
      <c r="D43" s="6"/>
      <c r="E43" s="7" t="str">
        <f aca="false">IFERROR(__xludf.dummyfunction("lower(GOOGLETRANSLATE(B43,""es"",""en""))"),"where?")</f>
        <v>where?</v>
      </c>
      <c r="F43" s="7" t="str">
        <f aca="false">IFERROR(__xludf.dummyfunction("lower(GOOGLETRANSLATE(A43,""en"",""es""))"),"¿dónde?")</f>
        <v>¿dónde?</v>
      </c>
      <c r="H43" s="0" t="str">
        <f aca="false">A43&amp;"|"&amp;B43</f>
        <v>where?|dónde?</v>
      </c>
    </row>
    <row r="44" customFormat="false" ht="15.75" hidden="false" customHeight="false" outlineLevel="0" collapsed="false">
      <c r="A44" s="4" t="s">
        <v>100</v>
      </c>
      <c r="B44" s="5" t="s">
        <v>101</v>
      </c>
      <c r="C44" s="5" t="s">
        <v>97</v>
      </c>
      <c r="D44" s="6"/>
      <c r="E44" s="7" t="str">
        <f aca="false">IFERROR(__xludf.dummyfunction("lower(GOOGLETRANSLATE(B44,""es"",""en""))"),"which?")</f>
        <v>which?</v>
      </c>
      <c r="F44" s="7" t="str">
        <f aca="false">IFERROR(__xludf.dummyfunction("lower(GOOGLETRANSLATE(A44,""en"",""es""))"),"¿cuales? (singular)")</f>
        <v>¿cuales? (singular)</v>
      </c>
      <c r="H44" s="0" t="str">
        <f aca="false">A44&amp;"|"&amp;B44</f>
        <v>which? (singular)|cuál?</v>
      </c>
    </row>
    <row r="45" customFormat="false" ht="15.75" hidden="false" customHeight="false" outlineLevel="0" collapsed="false">
      <c r="A45" s="4" t="s">
        <v>102</v>
      </c>
      <c r="B45" s="5" t="s">
        <v>103</v>
      </c>
      <c r="C45" s="5" t="s">
        <v>97</v>
      </c>
      <c r="D45" s="6"/>
      <c r="E45" s="7" t="str">
        <f aca="false">IFERROR(__xludf.dummyfunction("lower(GOOGLETRANSLATE(B45,""es"",""en""))"),"which?")</f>
        <v>which?</v>
      </c>
      <c r="F45" s="7" t="str">
        <f aca="false">IFERROR(__xludf.dummyfunction("lower(GOOGLETRANSLATE(A45,""en"",""es""))"),"¿cuales? (plural)")</f>
        <v>¿cuales? (plural)</v>
      </c>
      <c r="H45" s="0" t="str">
        <f aca="false">A45&amp;"|"&amp;B45</f>
        <v>which? (plural)|cuáles?</v>
      </c>
    </row>
    <row r="46" customFormat="false" ht="15.75" hidden="false" customHeight="false" outlineLevel="0" collapsed="false">
      <c r="A46" s="4" t="s">
        <v>104</v>
      </c>
      <c r="B46" s="5" t="s">
        <v>105</v>
      </c>
      <c r="C46" s="5" t="s">
        <v>33</v>
      </c>
      <c r="D46" s="6"/>
      <c r="E46" s="7" t="str">
        <f aca="false">IFERROR(__xludf.dummyfunction("lower(GOOGLETRANSLATE(B46,""es"",""en""))"),"four")</f>
        <v>four</v>
      </c>
      <c r="F46" s="7" t="str">
        <f aca="false">IFERROR(__xludf.dummyfunction("lower(GOOGLETRANSLATE(A46,""en"",""es""))"),"cuatro")</f>
        <v>cuatro</v>
      </c>
      <c r="H46" s="0" t="str">
        <f aca="false">A46&amp;"|"&amp;B46</f>
        <v>four|cuatro</v>
      </c>
    </row>
    <row r="47" customFormat="false" ht="15.75" hidden="false" customHeight="false" outlineLevel="0" collapsed="false">
      <c r="A47" s="4" t="s">
        <v>106</v>
      </c>
      <c r="B47" s="5" t="s">
        <v>107</v>
      </c>
      <c r="C47" s="5" t="s">
        <v>33</v>
      </c>
      <c r="D47" s="6"/>
      <c r="E47" s="7" t="str">
        <f aca="false">IFERROR(__xludf.dummyfunction("lower(GOOGLETRANSLATE(B47,""es"",""en""))"),"five")</f>
        <v>five</v>
      </c>
      <c r="F47" s="7" t="str">
        <f aca="false">IFERROR(__xludf.dummyfunction("lower(GOOGLETRANSLATE(A47,""en"",""es""))"),"cinco")</f>
        <v>cinco</v>
      </c>
      <c r="H47" s="0" t="str">
        <f aca="false">A47&amp;"|"&amp;B47</f>
        <v>five|cinco</v>
      </c>
    </row>
    <row r="48" customFormat="false" ht="15.75" hidden="false" customHeight="false" outlineLevel="0" collapsed="false">
      <c r="A48" s="4" t="s">
        <v>108</v>
      </c>
      <c r="B48" s="5" t="s">
        <v>109</v>
      </c>
      <c r="C48" s="5" t="s">
        <v>33</v>
      </c>
      <c r="D48" s="6"/>
      <c r="E48" s="7" t="str">
        <f aca="false">IFERROR(__xludf.dummyfunction("lower(GOOGLETRANSLATE(B48,""es"",""en""))"),"six")</f>
        <v>six</v>
      </c>
      <c r="F48" s="7" t="str">
        <f aca="false">IFERROR(__xludf.dummyfunction("lower(GOOGLETRANSLATE(A48,""en"",""es""))"),"seis")</f>
        <v>seis</v>
      </c>
      <c r="H48" s="0" t="str">
        <f aca="false">A48&amp;"|"&amp;B48</f>
        <v>six|seis</v>
      </c>
    </row>
    <row r="49" customFormat="false" ht="15.75" hidden="false" customHeight="false" outlineLevel="0" collapsed="false">
      <c r="A49" s="4" t="s">
        <v>110</v>
      </c>
      <c r="B49" s="5" t="s">
        <v>111</v>
      </c>
      <c r="C49" s="5" t="s">
        <v>112</v>
      </c>
      <c r="D49" s="6"/>
      <c r="E49" s="7" t="str">
        <f aca="false">IFERROR(__xludf.dummyfunction("lower(GOOGLETRANSLATE(B49,""es"",""en""))"),"the day")</f>
        <v>the day</v>
      </c>
      <c r="F49" s="7" t="str">
        <f aca="false">IFERROR(__xludf.dummyfunction("lower(GOOGLETRANSLATE(A49,""en"",""es""))"),"el dia")</f>
        <v>el dia</v>
      </c>
      <c r="H49" s="0" t="str">
        <f aca="false">A49&amp;"|"&amp;B49</f>
        <v>the day|el día</v>
      </c>
    </row>
    <row r="50" customFormat="false" ht="15.75" hidden="false" customHeight="false" outlineLevel="0" collapsed="false">
      <c r="A50" s="4" t="s">
        <v>113</v>
      </c>
      <c r="B50" s="5" t="s">
        <v>114</v>
      </c>
      <c r="C50" s="5" t="s">
        <v>112</v>
      </c>
      <c r="D50" s="6"/>
      <c r="E50" s="7" t="str">
        <f aca="false">IFERROR(__xludf.dummyfunction("lower(GOOGLETRANSLATE(B50,""es"",""en""))"),"week")</f>
        <v>week</v>
      </c>
      <c r="F50" s="7" t="str">
        <f aca="false">IFERROR(__xludf.dummyfunction("lower(GOOGLETRANSLATE(A50,""en"",""es""))"),"la semana")</f>
        <v>la semana</v>
      </c>
      <c r="H50" s="0" t="str">
        <f aca="false">A50&amp;"|"&amp;B50</f>
        <v>the week|la semana</v>
      </c>
    </row>
    <row r="51" customFormat="false" ht="15.75" hidden="false" customHeight="false" outlineLevel="0" collapsed="false">
      <c r="A51" s="4" t="s">
        <v>115</v>
      </c>
      <c r="B51" s="5" t="s">
        <v>116</v>
      </c>
      <c r="C51" s="5" t="s">
        <v>117</v>
      </c>
      <c r="D51" s="6"/>
      <c r="E51" s="7" t="str">
        <f aca="false">IFERROR(__xludf.dummyfunction("lower(GOOGLETRANSLATE(B51,""es"",""en""))"),"the month")</f>
        <v>the month</v>
      </c>
      <c r="F51" s="7" t="str">
        <f aca="false">IFERROR(__xludf.dummyfunction("lower(GOOGLETRANSLATE(A51,""en"",""es""))"),"el mes")</f>
        <v>el mes</v>
      </c>
      <c r="H51" s="0" t="str">
        <f aca="false">A51&amp;"|"&amp;B51</f>
        <v>the month|el mes</v>
      </c>
    </row>
    <row r="52" customFormat="false" ht="15.75" hidden="false" customHeight="false" outlineLevel="0" collapsed="false">
      <c r="A52" s="4" t="s">
        <v>118</v>
      </c>
      <c r="B52" s="5" t="s">
        <v>119</v>
      </c>
      <c r="C52" s="5" t="s">
        <v>117</v>
      </c>
      <c r="D52" s="6"/>
      <c r="E52" s="7" t="str">
        <f aca="false">IFERROR(__xludf.dummyfunction("lower(GOOGLETRANSLATE(B52,""es"",""en""))"),"year")</f>
        <v>year</v>
      </c>
      <c r="F52" s="7" t="str">
        <f aca="false">IFERROR(__xludf.dummyfunction("lower(GOOGLETRANSLATE(A52,""en"",""es""))"),"el año")</f>
        <v>el año</v>
      </c>
      <c r="H52" s="0" t="str">
        <f aca="false">A52&amp;"|"&amp;B52</f>
        <v>the year|el año</v>
      </c>
    </row>
    <row r="53" customFormat="false" ht="15.75" hidden="false" customHeight="false" outlineLevel="0" collapsed="false">
      <c r="A53" s="4" t="s">
        <v>120</v>
      </c>
      <c r="B53" s="5" t="s">
        <v>121</v>
      </c>
      <c r="C53" s="5" t="s">
        <v>117</v>
      </c>
      <c r="D53" s="6"/>
      <c r="E53" s="7" t="str">
        <f aca="false">IFERROR(__xludf.dummyfunction("lower(GOOGLETRANSLATE(B53,""es"",""en""))"),"today")</f>
        <v>today</v>
      </c>
      <c r="F53" s="7" t="str">
        <f aca="false">IFERROR(__xludf.dummyfunction("lower(GOOGLETRANSLATE(A53,""en"",""es""))"),"hoy")</f>
        <v>hoy</v>
      </c>
      <c r="H53" s="0" t="str">
        <f aca="false">A53&amp;"|"&amp;B53</f>
        <v>today|hoy</v>
      </c>
    </row>
    <row r="54" customFormat="false" ht="15.75" hidden="false" customHeight="false" outlineLevel="0" collapsed="false">
      <c r="A54" s="4" t="s">
        <v>122</v>
      </c>
      <c r="B54" s="5" t="s">
        <v>123</v>
      </c>
      <c r="C54" s="5" t="s">
        <v>117</v>
      </c>
      <c r="D54" s="6"/>
      <c r="E54" s="7" t="str">
        <f aca="false">IFERROR(__xludf.dummyfunction("lower(GOOGLETRANSLATE(B54,""es"",""en""))"),"morning")</f>
        <v>morning</v>
      </c>
      <c r="F54" s="7" t="str">
        <f aca="false">IFERROR(__xludf.dummyfunction("lower(GOOGLETRANSLATE(A54,""en"",""es""))"),"mañana")</f>
        <v>mañana</v>
      </c>
      <c r="H54" s="0" t="str">
        <f aca="false">A54&amp;"|"&amp;B54</f>
        <v>tomorrow|mañana</v>
      </c>
    </row>
    <row r="55" customFormat="false" ht="15.75" hidden="false" customHeight="false" outlineLevel="0" collapsed="false">
      <c r="A55" s="4" t="s">
        <v>124</v>
      </c>
      <c r="B55" s="5" t="s">
        <v>125</v>
      </c>
      <c r="C55" s="5" t="s">
        <v>126</v>
      </c>
      <c r="D55" s="6"/>
      <c r="E55" s="7" t="str">
        <f aca="false">IFERROR(__xludf.dummyfunction("lower(GOOGLETRANSLATE(B55,""es"",""en""))"),"what day is today?")</f>
        <v>what day is today?</v>
      </c>
      <c r="F55" s="7" t="str">
        <f aca="false">IFERROR(__xludf.dummyfunction("lower(GOOGLETRANSLATE(A55,""en"",""es""))"),"¿qué día es?")</f>
        <v>¿qué día es?</v>
      </c>
      <c r="H55" s="0" t="str">
        <f aca="false">A55&amp;"|"&amp;B55</f>
        <v>what day is it?|que dia es hoy?</v>
      </c>
    </row>
    <row r="56" customFormat="false" ht="15.75" hidden="false" customHeight="false" outlineLevel="0" collapsed="false">
      <c r="A56" s="4" t="s">
        <v>127</v>
      </c>
      <c r="B56" s="5" t="s">
        <v>128</v>
      </c>
      <c r="C56" s="5" t="s">
        <v>117</v>
      </c>
      <c r="D56" s="6"/>
      <c r="E56" s="7" t="str">
        <f aca="false">IFERROR(__xludf.dummyfunction("lower(GOOGLETRANSLATE(B56,""es"",""en""))"),"monday")</f>
        <v>monday</v>
      </c>
      <c r="F56" s="7" t="str">
        <f aca="false">IFERROR(__xludf.dummyfunction("lower(GOOGLETRANSLATE(A56,""en"",""es""))"),"el lunes")</f>
        <v>el lunes</v>
      </c>
      <c r="H56" s="0" t="str">
        <f aca="false">A56&amp;"|"&amp;B56</f>
        <v>the monday|el lunes</v>
      </c>
    </row>
    <row r="57" customFormat="false" ht="15.75" hidden="false" customHeight="false" outlineLevel="0" collapsed="false">
      <c r="A57" s="4" t="s">
        <v>129</v>
      </c>
      <c r="B57" s="5" t="s">
        <v>130</v>
      </c>
      <c r="C57" s="5" t="s">
        <v>117</v>
      </c>
      <c r="D57" s="6"/>
      <c r="E57" s="7" t="str">
        <f aca="false">IFERROR(__xludf.dummyfunction("lower(GOOGLETRANSLATE(B57,""es"",""en""))"),"on tuesday")</f>
        <v>on tuesday</v>
      </c>
      <c r="F57" s="7" t="str">
        <f aca="false">IFERROR(__xludf.dummyfunction("lower(GOOGLETRANSLATE(A57,""en"",""es""))"),"el martes")</f>
        <v>el martes</v>
      </c>
      <c r="H57" s="0" t="str">
        <f aca="false">A57&amp;"|"&amp;B57</f>
        <v>the tuesday|el martes</v>
      </c>
    </row>
    <row r="58" customFormat="false" ht="15.75" hidden="false" customHeight="false" outlineLevel="0" collapsed="false">
      <c r="A58" s="4" t="s">
        <v>131</v>
      </c>
      <c r="B58" s="5" t="s">
        <v>132</v>
      </c>
      <c r="C58" s="5" t="s">
        <v>117</v>
      </c>
      <c r="D58" s="6"/>
      <c r="E58" s="7" t="str">
        <f aca="false">IFERROR(__xludf.dummyfunction("lower(GOOGLETRANSLATE(B58,""es"",""en""))"),"on wednesday")</f>
        <v>on wednesday</v>
      </c>
      <c r="F58" s="7" t="str">
        <f aca="false">IFERROR(__xludf.dummyfunction("lower(GOOGLETRANSLATE(A58,""en"",""es""))"),"el miércoles")</f>
        <v>el miércoles</v>
      </c>
      <c r="H58" s="0" t="str">
        <f aca="false">A58&amp;"|"&amp;B58</f>
        <v>the wednesday|el miércoles</v>
      </c>
    </row>
    <row r="59" customFormat="false" ht="15.75" hidden="false" customHeight="false" outlineLevel="0" collapsed="false">
      <c r="A59" s="4" t="s">
        <v>133</v>
      </c>
      <c r="B59" s="5" t="s">
        <v>134</v>
      </c>
      <c r="C59" s="5" t="s">
        <v>117</v>
      </c>
      <c r="D59" s="6"/>
      <c r="E59" s="7" t="str">
        <f aca="false">IFERROR(__xludf.dummyfunction("lower(GOOGLETRANSLATE(B59,""es"",""en""))"),"in")</f>
        <v>in</v>
      </c>
      <c r="F59" s="7" t="str">
        <f aca="false">IFERROR(__xludf.dummyfunction("lower(GOOGLETRANSLATE(A59,""en"",""es""))"),"en")</f>
        <v>en</v>
      </c>
      <c r="H59" s="0" t="str">
        <f aca="false">A59&amp;"|"&amp;B59</f>
        <v>in|en</v>
      </c>
    </row>
    <row r="60" customFormat="false" ht="15.75" hidden="false" customHeight="false" outlineLevel="0" collapsed="false">
      <c r="A60" s="4" t="s">
        <v>135</v>
      </c>
      <c r="B60" s="5" t="s">
        <v>136</v>
      </c>
      <c r="C60" s="5" t="s">
        <v>117</v>
      </c>
      <c r="D60" s="6"/>
      <c r="E60" s="7" t="str">
        <f aca="false">IFERROR(__xludf.dummyfunction("lower(GOOGLETRANSLATE(B60,""es"",""en""))"),"próxim @")</f>
        <v>próxim @</v>
      </c>
      <c r="F60" s="7" t="str">
        <f aca="false">IFERROR(__xludf.dummyfunction("lower(GOOGLETRANSLATE(A60,""en"",""es""))"),"siguiente")</f>
        <v>siguiente</v>
      </c>
      <c r="H60" s="0" t="str">
        <f aca="false">A60&amp;"|"&amp;B60</f>
        <v>next|próxim@</v>
      </c>
    </row>
    <row r="61" customFormat="false" ht="15.75" hidden="false" customHeight="false" outlineLevel="0" collapsed="false">
      <c r="A61" s="4" t="s">
        <v>137</v>
      </c>
      <c r="B61" s="5" t="s">
        <v>138</v>
      </c>
      <c r="C61" s="5" t="s">
        <v>117</v>
      </c>
      <c r="D61" s="6"/>
      <c r="E61" s="7" t="str">
        <f aca="false">IFERROR(__xludf.dummyfunction("lower(GOOGLETRANSLATE(B61,""es"",""en""))"),"the morning")</f>
        <v>the morning</v>
      </c>
      <c r="F61" s="7" t="str">
        <f aca="false">IFERROR(__xludf.dummyfunction("lower(GOOGLETRANSLATE(A61,""en"",""es""))"),"la mañana")</f>
        <v>la mañana</v>
      </c>
      <c r="H61" s="0" t="str">
        <f aca="false">A61&amp;"|"&amp;B61</f>
        <v>the morning|la mañana</v>
      </c>
    </row>
    <row r="62" customFormat="false" ht="15.75" hidden="false" customHeight="false" outlineLevel="0" collapsed="false">
      <c r="A62" s="4" t="s">
        <v>139</v>
      </c>
      <c r="B62" s="5" t="s">
        <v>140</v>
      </c>
      <c r="C62" s="5" t="s">
        <v>117</v>
      </c>
      <c r="D62" s="6"/>
      <c r="E62" s="7" t="str">
        <f aca="false">IFERROR(__xludf.dummyfunction("lower(GOOGLETRANSLATE(B62,""es"",""en""))"),"the afternoon")</f>
        <v>the afternoon</v>
      </c>
      <c r="F62" s="7" t="str">
        <f aca="false">IFERROR(__xludf.dummyfunction("lower(GOOGLETRANSLATE(A62,""en"",""es""))"),"la tarde")</f>
        <v>la tarde</v>
      </c>
      <c r="H62" s="0" t="str">
        <f aca="false">A62&amp;"|"&amp;B62</f>
        <v>the afternoon|la tarde</v>
      </c>
    </row>
    <row r="63" customFormat="false" ht="15.75" hidden="false" customHeight="false" outlineLevel="0" collapsed="false">
      <c r="A63" s="4" t="s">
        <v>141</v>
      </c>
      <c r="B63" s="5" t="s">
        <v>142</v>
      </c>
      <c r="C63" s="5" t="s">
        <v>117</v>
      </c>
      <c r="D63" s="6"/>
      <c r="E63" s="7" t="str">
        <f aca="false">IFERROR(__xludf.dummyfunction("lower(GOOGLETRANSLATE(B63,""es"",""en""))"),"the night")</f>
        <v>the night</v>
      </c>
      <c r="F63" s="7" t="str">
        <f aca="false">IFERROR(__xludf.dummyfunction("lower(GOOGLETRANSLATE(A63,""en"",""es""))"),"la noche")</f>
        <v>la noche</v>
      </c>
      <c r="H63" s="0" t="str">
        <f aca="false">A63&amp;"|"&amp;B63</f>
        <v>the night|la noche</v>
      </c>
    </row>
    <row r="64" customFormat="false" ht="15.75" hidden="false" customHeight="false" outlineLevel="0" collapsed="false">
      <c r="A64" s="4" t="s">
        <v>143</v>
      </c>
      <c r="B64" s="5" t="s">
        <v>144</v>
      </c>
      <c r="C64" s="5" t="s">
        <v>117</v>
      </c>
      <c r="D64" s="6"/>
      <c r="E64" s="7" t="str">
        <f aca="false">IFERROR(__xludf.dummyfunction("lower(GOOGLETRANSLATE(B64,""es"",""en""))"),"thursday")</f>
        <v>thursday</v>
      </c>
      <c r="F64" s="7" t="str">
        <f aca="false">IFERROR(__xludf.dummyfunction("lower(GOOGLETRANSLATE(A64,""en"",""es""))"),"el jueves")</f>
        <v>el jueves</v>
      </c>
      <c r="H64" s="0" t="str">
        <f aca="false">A64&amp;"|"&amp;B64</f>
        <v>the thursday|el jueves</v>
      </c>
    </row>
    <row r="65" customFormat="false" ht="15.75" hidden="false" customHeight="false" outlineLevel="0" collapsed="false">
      <c r="A65" s="4" t="s">
        <v>145</v>
      </c>
      <c r="B65" s="5" t="s">
        <v>146</v>
      </c>
      <c r="C65" s="5" t="s">
        <v>117</v>
      </c>
      <c r="D65" s="6"/>
      <c r="E65" s="7" t="str">
        <f aca="false">IFERROR(__xludf.dummyfunction("lower(GOOGLETRANSLATE(B65,""es"",""en""))"),"on friday")</f>
        <v>on friday</v>
      </c>
      <c r="F65" s="7" t="str">
        <f aca="false">IFERROR(__xludf.dummyfunction("lower(GOOGLETRANSLATE(A65,""en"",""es""))"),"el viernes")</f>
        <v>el viernes</v>
      </c>
      <c r="H65" s="0" t="str">
        <f aca="false">A65&amp;"|"&amp;B65</f>
        <v>the friday|el viernes</v>
      </c>
    </row>
    <row r="66" customFormat="false" ht="15.75" hidden="false" customHeight="false" outlineLevel="0" collapsed="false">
      <c r="A66" s="4" t="s">
        <v>147</v>
      </c>
      <c r="B66" s="5" t="s">
        <v>148</v>
      </c>
      <c r="C66" s="5" t="s">
        <v>117</v>
      </c>
      <c r="D66" s="6"/>
      <c r="E66" s="7" t="str">
        <f aca="false">IFERROR(__xludf.dummyfunction("lower(GOOGLETRANSLATE(B66,""es"",""en""))"),"saturday")</f>
        <v>saturday</v>
      </c>
      <c r="F66" s="7" t="str">
        <f aca="false">IFERROR(__xludf.dummyfunction("lower(GOOGLETRANSLATE(A66,""en"",""es""))"),"el sábado")</f>
        <v>el sábado</v>
      </c>
      <c r="H66" s="0" t="str">
        <f aca="false">A66&amp;"|"&amp;B66</f>
        <v>the saturday|el sábado</v>
      </c>
    </row>
    <row r="67" customFormat="false" ht="15.75" hidden="false" customHeight="false" outlineLevel="0" collapsed="false">
      <c r="A67" s="4" t="s">
        <v>149</v>
      </c>
      <c r="B67" s="5" t="s">
        <v>150</v>
      </c>
      <c r="C67" s="5" t="s">
        <v>117</v>
      </c>
      <c r="D67" s="6"/>
      <c r="E67" s="7" t="str">
        <f aca="false">IFERROR(__xludf.dummyfunction("lower(GOOGLETRANSLATE(B67,""es"",""en""))"),"on sunday")</f>
        <v>on sunday</v>
      </c>
      <c r="F67" s="7" t="str">
        <f aca="false">IFERROR(__xludf.dummyfunction("lower(GOOGLETRANSLATE(A67,""en"",""es""))"),"el domingo")</f>
        <v>el domingo</v>
      </c>
      <c r="H67" s="0" t="str">
        <f aca="false">A67&amp;"|"&amp;B67</f>
        <v>the sunday|el domingo</v>
      </c>
    </row>
    <row r="68" customFormat="false" ht="15.75" hidden="false" customHeight="false" outlineLevel="0" collapsed="false">
      <c r="A68" s="4" t="s">
        <v>151</v>
      </c>
      <c r="B68" s="5" t="s">
        <v>152</v>
      </c>
      <c r="C68" s="5" t="s">
        <v>33</v>
      </c>
      <c r="D68" s="6"/>
      <c r="E68" s="7" t="str">
        <f aca="false">IFERROR(__xludf.dummyfunction("lower(GOOGLETRANSLATE(B68,""es"",""en""))"),"seven")</f>
        <v>seven</v>
      </c>
      <c r="F68" s="7" t="str">
        <f aca="false">IFERROR(__xludf.dummyfunction("lower(GOOGLETRANSLATE(A68,""en"",""es""))"),"siete")</f>
        <v>siete</v>
      </c>
      <c r="H68" s="0" t="str">
        <f aca="false">A68&amp;"|"&amp;B68</f>
        <v>seven|siete</v>
      </c>
    </row>
    <row r="69" customFormat="false" ht="15.75" hidden="false" customHeight="false" outlineLevel="0" collapsed="false">
      <c r="A69" s="4" t="s">
        <v>153</v>
      </c>
      <c r="B69" s="5" t="s">
        <v>154</v>
      </c>
      <c r="C69" s="5" t="s">
        <v>33</v>
      </c>
      <c r="D69" s="6"/>
      <c r="E69" s="7" t="str">
        <f aca="false">IFERROR(__xludf.dummyfunction("lower(GOOGLETRANSLATE(B69,""es"",""en""))"),"eight")</f>
        <v>eight</v>
      </c>
      <c r="F69" s="7" t="str">
        <f aca="false">IFERROR(__xludf.dummyfunction("lower(GOOGLETRANSLATE(A69,""en"",""es""))"),"ocho")</f>
        <v>ocho</v>
      </c>
      <c r="H69" s="0" t="str">
        <f aca="false">A69&amp;"|"&amp;B69</f>
        <v>eight|ocho</v>
      </c>
    </row>
    <row r="70" customFormat="false" ht="15.75" hidden="false" customHeight="false" outlineLevel="0" collapsed="false">
      <c r="A70" s="4" t="s">
        <v>155</v>
      </c>
      <c r="B70" s="5" t="s">
        <v>156</v>
      </c>
      <c r="C70" s="5" t="s">
        <v>33</v>
      </c>
      <c r="D70" s="6"/>
      <c r="E70" s="7" t="str">
        <f aca="false">IFERROR(__xludf.dummyfunction("lower(GOOGLETRANSLATE(B70,""es"",""en""))"),"nine")</f>
        <v>nine</v>
      </c>
      <c r="F70" s="7" t="str">
        <f aca="false">IFERROR(__xludf.dummyfunction("lower(GOOGLETRANSLATE(A70,""en"",""es""))"),"nueve")</f>
        <v>nueve</v>
      </c>
      <c r="H70" s="0" t="str">
        <f aca="false">A70&amp;"|"&amp;B70</f>
        <v>nine|nueve</v>
      </c>
    </row>
    <row r="71" customFormat="false" ht="15.75" hidden="false" customHeight="false" outlineLevel="0" collapsed="false">
      <c r="A71" s="4" t="s">
        <v>157</v>
      </c>
      <c r="B71" s="5" t="s">
        <v>158</v>
      </c>
      <c r="C71" s="5" t="s">
        <v>33</v>
      </c>
      <c r="D71" s="6"/>
      <c r="E71" s="7" t="str">
        <f aca="false">IFERROR(__xludf.dummyfunction("lower(GOOGLETRANSLATE(B71,""es"",""en""))"),"ten")</f>
        <v>ten</v>
      </c>
      <c r="F71" s="7" t="str">
        <f aca="false">IFERROR(__xludf.dummyfunction("lower(GOOGLETRANSLATE(A71,""en"",""es""))"),"diez")</f>
        <v>diez</v>
      </c>
      <c r="H71" s="0" t="str">
        <f aca="false">A71&amp;"|"&amp;B71</f>
        <v>ten|diez</v>
      </c>
    </row>
    <row r="72" customFormat="false" ht="15.75" hidden="false" customHeight="false" outlineLevel="0" collapsed="false">
      <c r="A72" s="4" t="s">
        <v>159</v>
      </c>
      <c r="B72" s="5" t="s">
        <v>160</v>
      </c>
      <c r="C72" s="5" t="s">
        <v>97</v>
      </c>
      <c r="D72" s="6"/>
      <c r="E72" s="7" t="str">
        <f aca="false">IFERROR(__xludf.dummyfunction("lower(GOOGLETRANSLATE(B72,""es"",""en""))"),"when?")</f>
        <v>when?</v>
      </c>
      <c r="F72" s="7" t="str">
        <f aca="false">IFERROR(__xludf.dummyfunction("lower(GOOGLETRANSLATE(A72,""en"",""es""))"),"cuando?")</f>
        <v>cuando?</v>
      </c>
      <c r="H72" s="0" t="str">
        <f aca="false">A72&amp;"|"&amp;B72</f>
        <v>when?|cuándo?</v>
      </c>
    </row>
    <row r="73" customFormat="false" ht="15.75" hidden="false" customHeight="false" outlineLevel="0" collapsed="false">
      <c r="A73" s="4" t="s">
        <v>161</v>
      </c>
      <c r="B73" s="5" t="s">
        <v>162</v>
      </c>
      <c r="C73" s="5" t="s">
        <v>97</v>
      </c>
      <c r="D73" s="6"/>
      <c r="E73" s="7" t="str">
        <f aca="false">IFERROR(__xludf.dummyfunction("lower(GOOGLETRANSLATE(B73,""es"",""en""))"),"why?")</f>
        <v>why?</v>
      </c>
      <c r="F73" s="7" t="str">
        <f aca="false">IFERROR(__xludf.dummyfunction("lower(GOOGLETRANSLATE(A73,""en"",""es""))"),"¿por qué?")</f>
        <v>¿por qué?</v>
      </c>
      <c r="H73" s="0" t="str">
        <f aca="false">A73&amp;"|"&amp;B73</f>
        <v>why?|por qué?</v>
      </c>
    </row>
    <row r="74" customFormat="false" ht="15.75" hidden="false" customHeight="false" outlineLevel="0" collapsed="false">
      <c r="A74" s="4" t="s">
        <v>163</v>
      </c>
      <c r="B74" s="5" t="s">
        <v>164</v>
      </c>
      <c r="C74" s="5" t="s">
        <v>97</v>
      </c>
      <c r="D74" s="6"/>
      <c r="E74" s="7" t="str">
        <f aca="false">IFERROR(__xludf.dummyfunction("lower(GOOGLETRANSLATE(B74,""es"",""en""))"),"who?")</f>
        <v>who?</v>
      </c>
      <c r="F74" s="7" t="str">
        <f aca="false">IFERROR(__xludf.dummyfunction("lower(GOOGLETRANSLATE(A74,""en"",""es""))"),"¿oms?")</f>
        <v>¿oms?</v>
      </c>
      <c r="H74" s="0" t="str">
        <f aca="false">A74&amp;"|"&amp;B74</f>
        <v>who?|quién?</v>
      </c>
    </row>
    <row r="75" customFormat="false" ht="15.75" hidden="false" customHeight="false" outlineLevel="0" collapsed="false">
      <c r="A75" s="4" t="s">
        <v>165</v>
      </c>
      <c r="B75" s="5" t="s">
        <v>166</v>
      </c>
      <c r="C75" s="5" t="s">
        <v>97</v>
      </c>
      <c r="D75" s="6"/>
      <c r="E75" s="7" t="str">
        <f aca="false">IFERROR(__xludf.dummyfunction("lower(GOOGLETRANSLATE(B75,""es"",""en""))"),"as?")</f>
        <v>as?</v>
      </c>
      <c r="F75" s="7" t="str">
        <f aca="false">IFERROR(__xludf.dummyfunction("lower(GOOGLETRANSLATE(A75,""en"",""es""))"),"¿cómo?")</f>
        <v>¿cómo?</v>
      </c>
      <c r="H75" s="0" t="str">
        <f aca="false">A75&amp;"|"&amp;B75</f>
        <v>how?|como?</v>
      </c>
    </row>
    <row r="76" customFormat="false" ht="15.75" hidden="false" customHeight="false" outlineLevel="0" collapsed="false">
      <c r="A76" s="4" t="s">
        <v>167</v>
      </c>
      <c r="B76" s="5" t="s">
        <v>168</v>
      </c>
      <c r="C76" s="5" t="s">
        <v>97</v>
      </c>
      <c r="D76" s="6"/>
      <c r="E76" s="7" t="str">
        <f aca="false">IFERROR(__xludf.dummyfunction("lower(GOOGLETRANSLATE(B76,""es"",""en""))"),"@ quant?")</f>
        <v>@ quant?</v>
      </c>
      <c r="F76" s="7" t="str">
        <f aca="false">IFERROR(__xludf.dummyfunction("lower(GOOGLETRANSLATE(A76,""en"",""es""))"),"¿cuánto cuesta?")</f>
        <v>¿cuánto cuesta?</v>
      </c>
      <c r="H76" s="0" t="str">
        <f aca="false">A76&amp;"|"&amp;B76</f>
        <v>how much?|cuánt@?</v>
      </c>
    </row>
    <row r="77" customFormat="false" ht="15.75" hidden="false" customHeight="false" outlineLevel="0" collapsed="false">
      <c r="A77" s="4" t="s">
        <v>169</v>
      </c>
      <c r="B77" s="5" t="s">
        <v>170</v>
      </c>
      <c r="C77" s="5" t="s">
        <v>97</v>
      </c>
      <c r="D77" s="6"/>
      <c r="E77" s="7" t="str">
        <f aca="false">IFERROR(__xludf.dummyfunction("lower(GOOGLETRANSLATE(B77,""es"",""en""))"),"quant @ s?")</f>
        <v>quant @ s?</v>
      </c>
      <c r="F77" s="7" t="str">
        <f aca="false">IFERROR(__xludf.dummyfunction("lower(GOOGLETRANSLATE(A77,""en"",""es""))"),"¿cuántos?")</f>
        <v>¿cuántos?</v>
      </c>
      <c r="H77" s="0" t="str">
        <f aca="false">A77&amp;"|"&amp;B77</f>
        <v>how many?|cuánt@s?</v>
      </c>
    </row>
    <row r="78" customFormat="false" ht="15.75" hidden="false" customHeight="false" outlineLevel="0" collapsed="false">
      <c r="A78" s="4" t="s">
        <v>171</v>
      </c>
      <c r="B78" s="5" t="s">
        <v>172</v>
      </c>
      <c r="C78" s="5" t="s">
        <v>117</v>
      </c>
      <c r="D78" s="6"/>
      <c r="E78" s="7" t="str">
        <f aca="false">IFERROR(__xludf.dummyfunction("lower(GOOGLETRANSLATE(B78,""es"",""en""))"),"january")</f>
        <v>january</v>
      </c>
      <c r="F78" s="7" t="str">
        <f aca="false">IFERROR(__xludf.dummyfunction("lower(GOOGLETRANSLATE(A78,""en"",""es""))"),"enero")</f>
        <v>enero</v>
      </c>
      <c r="H78" s="0" t="str">
        <f aca="false">A78&amp;"|"&amp;B78</f>
        <v>january|enero</v>
      </c>
    </row>
    <row r="79" customFormat="false" ht="15.75" hidden="false" customHeight="false" outlineLevel="0" collapsed="false">
      <c r="A79" s="4" t="s">
        <v>173</v>
      </c>
      <c r="B79" s="5" t="s">
        <v>174</v>
      </c>
      <c r="C79" s="5" t="s">
        <v>117</v>
      </c>
      <c r="D79" s="6"/>
      <c r="E79" s="7" t="str">
        <f aca="false">IFERROR(__xludf.dummyfunction("lower(GOOGLETRANSLATE(B79,""es"",""en""))"),"february")</f>
        <v>february</v>
      </c>
      <c r="F79" s="7" t="str">
        <f aca="false">IFERROR(__xludf.dummyfunction("lower(GOOGLETRANSLATE(A79,""en"",""es""))"),"febrero")</f>
        <v>febrero</v>
      </c>
      <c r="H79" s="0" t="str">
        <f aca="false">A79&amp;"|"&amp;B79</f>
        <v>february|febrero</v>
      </c>
    </row>
    <row r="80" customFormat="false" ht="15.75" hidden="false" customHeight="false" outlineLevel="0" collapsed="false">
      <c r="A80" s="4" t="s">
        <v>175</v>
      </c>
      <c r="B80" s="5" t="s">
        <v>176</v>
      </c>
      <c r="C80" s="5" t="s">
        <v>117</v>
      </c>
      <c r="D80" s="6"/>
      <c r="E80" s="7" t="str">
        <f aca="false">IFERROR(__xludf.dummyfunction("lower(GOOGLETRANSLATE(B80,""es"",""en""))"),"march")</f>
        <v>march</v>
      </c>
      <c r="F80" s="7" t="str">
        <f aca="false">IFERROR(__xludf.dummyfunction("lower(GOOGLETRANSLATE(A80,""en"",""es""))"),"marzo")</f>
        <v>marzo</v>
      </c>
      <c r="H80" s="0" t="str">
        <f aca="false">A80&amp;"|"&amp;B80</f>
        <v>march|marzo</v>
      </c>
    </row>
    <row r="81" customFormat="false" ht="15.75" hidden="false" customHeight="false" outlineLevel="0" collapsed="false">
      <c r="A81" s="4" t="s">
        <v>177</v>
      </c>
      <c r="B81" s="5" t="s">
        <v>178</v>
      </c>
      <c r="C81" s="5" t="s">
        <v>117</v>
      </c>
      <c r="D81" s="6"/>
      <c r="E81" s="7" t="str">
        <f aca="false">IFERROR(__xludf.dummyfunction("lower(GOOGLETRANSLATE(B81,""es"",""en""))"),"april")</f>
        <v>april</v>
      </c>
      <c r="F81" s="7" t="str">
        <f aca="false">IFERROR(__xludf.dummyfunction("lower(GOOGLETRANSLATE(A81,""en"",""es""))"),"abril")</f>
        <v>abril</v>
      </c>
      <c r="H81" s="0" t="str">
        <f aca="false">A81&amp;"|"&amp;B81</f>
        <v>april|abril</v>
      </c>
    </row>
    <row r="82" customFormat="false" ht="15.75" hidden="false" customHeight="false" outlineLevel="0" collapsed="false">
      <c r="A82" s="4" t="s">
        <v>179</v>
      </c>
      <c r="B82" s="5" t="s">
        <v>180</v>
      </c>
      <c r="C82" s="5" t="s">
        <v>117</v>
      </c>
      <c r="D82" s="6"/>
      <c r="E82" s="7" t="str">
        <f aca="false">IFERROR(__xludf.dummyfunction("lower(GOOGLETRANSLATE(B82,""es"",""en""))"),"may")</f>
        <v>may</v>
      </c>
      <c r="F82" s="7" t="str">
        <f aca="false">IFERROR(__xludf.dummyfunction("lower(GOOGLETRANSLATE(A82,""en"",""es""))"),"mayo")</f>
        <v>mayo</v>
      </c>
      <c r="H82" s="0" t="str">
        <f aca="false">A82&amp;"|"&amp;B82</f>
        <v>may|mayo</v>
      </c>
    </row>
    <row r="83" customFormat="false" ht="15.75" hidden="false" customHeight="false" outlineLevel="0" collapsed="false">
      <c r="A83" s="4" t="s">
        <v>181</v>
      </c>
      <c r="B83" s="5" t="s">
        <v>182</v>
      </c>
      <c r="C83" s="5" t="s">
        <v>117</v>
      </c>
      <c r="D83" s="6"/>
      <c r="E83" s="7" t="str">
        <f aca="false">IFERROR(__xludf.dummyfunction("lower(GOOGLETRANSLATE(B83,""es"",""en""))"),"june")</f>
        <v>june</v>
      </c>
      <c r="F83" s="7" t="str">
        <f aca="false">IFERROR(__xludf.dummyfunction("lower(GOOGLETRANSLATE(A83,""en"",""es""))"),"junio")</f>
        <v>junio</v>
      </c>
      <c r="H83" s="0" t="str">
        <f aca="false">A83&amp;"|"&amp;B83</f>
        <v>june|junio</v>
      </c>
    </row>
    <row r="84" customFormat="false" ht="15.75" hidden="false" customHeight="false" outlineLevel="0" collapsed="false">
      <c r="A84" s="4" t="s">
        <v>183</v>
      </c>
      <c r="B84" s="5" t="s">
        <v>184</v>
      </c>
      <c r="C84" s="5" t="s">
        <v>185</v>
      </c>
      <c r="D84" s="6"/>
      <c r="E84" s="7" t="str">
        <f aca="false">IFERROR(__xludf.dummyfunction("lower(GOOGLETRANSLATE(B84,""es"",""en""))"),"talk")</f>
        <v>talk</v>
      </c>
      <c r="F84" s="7" t="str">
        <f aca="false">IFERROR(__xludf.dummyfunction("lower(GOOGLETRANSLATE(A84,""en"",""es""))"),"hablar")</f>
        <v>hablar</v>
      </c>
      <c r="H84" s="0" t="str">
        <f aca="false">A84&amp;"|"&amp;B84</f>
        <v>to talk|hablar</v>
      </c>
    </row>
    <row r="85" customFormat="false" ht="15.75" hidden="false" customHeight="false" outlineLevel="0" collapsed="false">
      <c r="A85" s="4" t="s">
        <v>186</v>
      </c>
      <c r="B85" s="5" t="s">
        <v>187</v>
      </c>
      <c r="C85" s="5" t="s">
        <v>185</v>
      </c>
      <c r="D85" s="6"/>
      <c r="E85" s="7" t="str">
        <f aca="false">IFERROR(__xludf.dummyfunction("lower(GOOGLETRANSLATE(B85,""es"",""en""))"),"read")</f>
        <v>read</v>
      </c>
      <c r="F85" s="7" t="str">
        <f aca="false">IFERROR(__xludf.dummyfunction("lower(GOOGLETRANSLATE(A85,""en"",""es""))"),"leer")</f>
        <v>leer</v>
      </c>
      <c r="H85" s="0" t="str">
        <f aca="false">A85&amp;"|"&amp;B85</f>
        <v>to read|leer</v>
      </c>
    </row>
    <row r="86" customFormat="false" ht="15.75" hidden="false" customHeight="false" outlineLevel="0" collapsed="false">
      <c r="A86" s="4" t="s">
        <v>188</v>
      </c>
      <c r="B86" s="5" t="s">
        <v>189</v>
      </c>
      <c r="C86" s="5" t="s">
        <v>185</v>
      </c>
      <c r="D86" s="6"/>
      <c r="E86" s="7" t="str">
        <f aca="false">IFERROR(__xludf.dummyfunction("lower(GOOGLETRANSLATE(B86,""es"",""en""))"),"study")</f>
        <v>study</v>
      </c>
      <c r="F86" s="7" t="str">
        <f aca="false">IFERROR(__xludf.dummyfunction("lower(GOOGLETRANSLATE(A86,""en"",""es""))"),"para estudiar")</f>
        <v>para estudiar</v>
      </c>
      <c r="H86" s="0" t="str">
        <f aca="false">A86&amp;"|"&amp;B86</f>
        <v>to study|estudiar</v>
      </c>
    </row>
    <row r="87" customFormat="false" ht="15.75" hidden="false" customHeight="false" outlineLevel="0" collapsed="false">
      <c r="A87" s="4" t="s">
        <v>190</v>
      </c>
      <c r="B87" s="5" t="s">
        <v>191</v>
      </c>
      <c r="C87" s="5" t="s">
        <v>192</v>
      </c>
      <c r="D87" s="6"/>
      <c r="E87" s="7" t="str">
        <f aca="false">IFERROR(__xludf.dummyfunction("lower(GOOGLETRANSLATE(B87,""es"",""en""))"),"listen to music")</f>
        <v>listen to music</v>
      </c>
      <c r="F87" s="7" t="str">
        <f aca="false">IFERROR(__xludf.dummyfunction("lower(GOOGLETRANSLATE(A87,""en"",""es""))"),"escuchar música")</f>
        <v>escuchar música</v>
      </c>
      <c r="H87" s="0" t="str">
        <f aca="false">A87&amp;"|"&amp;B87</f>
        <v>to listen to music|escuchar música</v>
      </c>
    </row>
    <row r="88" customFormat="false" ht="15.75" hidden="false" customHeight="false" outlineLevel="0" collapsed="false">
      <c r="A88" s="4" t="s">
        <v>193</v>
      </c>
      <c r="B88" s="5" t="s">
        <v>194</v>
      </c>
      <c r="C88" s="5" t="s">
        <v>192</v>
      </c>
      <c r="D88" s="6"/>
      <c r="E88" s="7" t="str">
        <f aca="false">IFERROR(__xludf.dummyfunction("lower(GOOGLETRANSLATE(B88,""es"",""en""))"),"to work")</f>
        <v>to work</v>
      </c>
      <c r="F88" s="7" t="str">
        <f aca="false">IFERROR(__xludf.dummyfunction("lower(GOOGLETRANSLATE(A88,""en"",""es""))"),"trabajar")</f>
        <v>trabajar</v>
      </c>
      <c r="H88" s="0" t="str">
        <f aca="false">A88&amp;"|"&amp;B88</f>
        <v>to work|trabajar</v>
      </c>
    </row>
    <row r="89" customFormat="false" ht="15.75" hidden="false" customHeight="false" outlineLevel="0" collapsed="false">
      <c r="A89" s="4" t="s">
        <v>195</v>
      </c>
      <c r="B89" s="5" t="s">
        <v>196</v>
      </c>
      <c r="C89" s="5" t="s">
        <v>185</v>
      </c>
      <c r="D89" s="6"/>
      <c r="E89" s="7" t="str">
        <f aca="false">IFERROR(__xludf.dummyfunction("lower(GOOGLETRANSLATE(B89,""es"",""en""))"),"do")</f>
        <v>do</v>
      </c>
      <c r="F89" s="7" t="str">
        <f aca="false">IFERROR(__xludf.dummyfunction("lower(GOOGLETRANSLATE(A89,""en"",""es""))"),"que hacer")</f>
        <v>que hacer</v>
      </c>
      <c r="H89" s="0" t="str">
        <f aca="false">A89&amp;"|"&amp;B89</f>
        <v>to do|hacer</v>
      </c>
    </row>
    <row r="90" customFormat="false" ht="15.75" hidden="false" customHeight="false" outlineLevel="0" collapsed="false">
      <c r="A90" s="4" t="s">
        <v>197</v>
      </c>
      <c r="B90" s="5" t="s">
        <v>198</v>
      </c>
      <c r="C90" s="5" t="s">
        <v>199</v>
      </c>
      <c r="D90" s="6" t="s">
        <v>200</v>
      </c>
      <c r="E90" s="7" t="str">
        <f aca="false">IFERROR(__xludf.dummyfunction("lower(GOOGLETRANSLATE(B90,""es"",""en""))"),"(i like it")</f>
        <v>(i like it</v>
      </c>
      <c r="F90" s="7" t="str">
        <f aca="false">IFERROR(__xludf.dummyfunction("lower(GOOGLETRANSLATE(A90,""en"",""es""))"),"me gusta")</f>
        <v>me gusta</v>
      </c>
      <c r="H90" s="0" t="str">
        <f aca="false">A90&amp;"|"&amp;B90</f>
        <v>i like|(a mí) me gusta</v>
      </c>
    </row>
    <row r="91" customFormat="false" ht="15.75" hidden="false" customHeight="false" outlineLevel="0" collapsed="false">
      <c r="A91" s="4" t="s">
        <v>201</v>
      </c>
      <c r="B91" s="5" t="s">
        <v>202</v>
      </c>
      <c r="C91" s="5" t="s">
        <v>199</v>
      </c>
      <c r="D91" s="5" t="s">
        <v>203</v>
      </c>
      <c r="E91" s="7" t="str">
        <f aca="false">IFERROR(__xludf.dummyfunction("lower(GOOGLETRANSLATE(B91,""es"",""en""))"),"(i like a lot")</f>
        <v>(i like a lot</v>
      </c>
      <c r="F91" s="7" t="str">
        <f aca="false">IFERROR(__xludf.dummyfunction("lower(GOOGLETRANSLATE(A91,""en"",""es""))"),"me gusta mucho")</f>
        <v>me gusta mucho</v>
      </c>
      <c r="H91" s="0" t="str">
        <f aca="false">A91&amp;"|"&amp;B91</f>
        <v>i like a lot|(a mí) me gusta mucho</v>
      </c>
    </row>
    <row r="92" customFormat="false" ht="15.75" hidden="false" customHeight="false" outlineLevel="0" collapsed="false">
      <c r="A92" s="4" t="s">
        <v>204</v>
      </c>
      <c r="B92" s="5" t="s">
        <v>205</v>
      </c>
      <c r="C92" s="5" t="s">
        <v>199</v>
      </c>
      <c r="D92" s="5" t="s">
        <v>206</v>
      </c>
      <c r="E92" s="7" t="str">
        <f aca="false">IFERROR(__xludf.dummyfunction("lower(GOOGLETRANSLATE(B92,""es"",""en""))"),"i like it more")</f>
        <v>i like it more</v>
      </c>
      <c r="F92" s="7" t="str">
        <f aca="false">IFERROR(__xludf.dummyfunction("lower(GOOGLETRANSLATE(A92,""en"",""es""))"),"me gusta más")</f>
        <v>me gusta más</v>
      </c>
      <c r="H92" s="0" t="str">
        <f aca="false">A92&amp;"|"&amp;B92</f>
        <v>i like more|me gusta más</v>
      </c>
    </row>
    <row r="93" customFormat="false" ht="15.75" hidden="false" customHeight="false" outlineLevel="0" collapsed="false">
      <c r="A93" s="4" t="s">
        <v>207</v>
      </c>
      <c r="B93" s="5" t="s">
        <v>208</v>
      </c>
      <c r="C93" s="5" t="s">
        <v>199</v>
      </c>
      <c r="D93" s="5" t="s">
        <v>209</v>
      </c>
      <c r="E93" s="7" t="str">
        <f aca="false">IFERROR(__xludf.dummyfunction("lower(GOOGLETRANSLATE(B93,""es"",""en""))"),"i do not like it very much")</f>
        <v>i do not like it very much</v>
      </c>
      <c r="F93" s="7" t="str">
        <f aca="false">IFERROR(__xludf.dummyfunction("lower(GOOGLETRANSLATE(A93,""en"",""es""))"),"no me gusta mucho")</f>
        <v>no me gusta mucho</v>
      </c>
      <c r="H93" s="0" t="str">
        <f aca="false">A93&amp;"|"&amp;B93</f>
        <v>i don't like very much|no me gusta mucho</v>
      </c>
    </row>
    <row r="94" customFormat="false" ht="15.75" hidden="false" customHeight="false" outlineLevel="0" collapsed="false">
      <c r="A94" s="4" t="s">
        <v>210</v>
      </c>
      <c r="B94" s="5" t="s">
        <v>211</v>
      </c>
      <c r="C94" s="5" t="s">
        <v>199</v>
      </c>
      <c r="D94" s="5" t="s">
        <v>212</v>
      </c>
      <c r="E94" s="7" t="str">
        <f aca="false">IFERROR(__xludf.dummyfunction("lower(GOOGLETRANSLATE(B94,""es"",""en""))"),"i do not like")</f>
        <v>i do not like</v>
      </c>
      <c r="F94" s="7" t="str">
        <f aca="false">IFERROR(__xludf.dummyfunction("lower(GOOGLETRANSLATE(A94,""en"",""es""))"),"no me gusta en absoluto")</f>
        <v>no me gusta en absoluto</v>
      </c>
      <c r="H94" s="0" t="str">
        <f aca="false">A94&amp;"|"&amp;B94</f>
        <v>i don't like at all|no me gusta nada</v>
      </c>
    </row>
    <row r="95" customFormat="false" ht="15.75" hidden="false" customHeight="false" outlineLevel="0" collapsed="false">
      <c r="A95" s="4" t="s">
        <v>213</v>
      </c>
      <c r="B95" s="5" t="s">
        <v>214</v>
      </c>
      <c r="C95" s="5" t="s">
        <v>215</v>
      </c>
      <c r="D95" s="6"/>
      <c r="E95" s="7" t="str">
        <f aca="false">IFERROR(__xludf.dummyfunction("lower(GOOGLETRANSLATE(B95,""es"",""en""))"),"what do you like to do?")</f>
        <v>what do you like to do?</v>
      </c>
      <c r="F95" s="7" t="str">
        <f aca="false">IFERROR(__xludf.dummyfunction("lower(GOOGLETRANSLATE(A95,""en"",""es""))"),"¿qué te gusta hacer?")</f>
        <v>¿qué te gusta hacer?</v>
      </c>
      <c r="H95" s="0" t="str">
        <f aca="false">A95&amp;"|"&amp;B95</f>
        <v>what do you like to do?|qué te gusta hacer?</v>
      </c>
    </row>
    <row r="96" customFormat="false" ht="15.75" hidden="false" customHeight="false" outlineLevel="0" collapsed="false">
      <c r="A96" s="4" t="s">
        <v>216</v>
      </c>
      <c r="B96" s="5" t="s">
        <v>217</v>
      </c>
      <c r="C96" s="5" t="s">
        <v>117</v>
      </c>
      <c r="D96" s="6"/>
      <c r="E96" s="7" t="str">
        <f aca="false">IFERROR(__xludf.dummyfunction("lower(GOOGLETRANSLATE(B96,""es"",""en""))"),"july")</f>
        <v>july</v>
      </c>
      <c r="F96" s="7" t="str">
        <f aca="false">IFERROR(__xludf.dummyfunction("lower(GOOGLETRANSLATE(A96,""en"",""es""))"),"julio")</f>
        <v>julio</v>
      </c>
      <c r="H96" s="0" t="str">
        <f aca="false">A96&amp;"|"&amp;B96</f>
        <v>july|julio</v>
      </c>
    </row>
    <row r="97" customFormat="false" ht="15.75" hidden="false" customHeight="false" outlineLevel="0" collapsed="false">
      <c r="A97" s="4" t="s">
        <v>218</v>
      </c>
      <c r="B97" s="5" t="s">
        <v>219</v>
      </c>
      <c r="C97" s="5" t="s">
        <v>117</v>
      </c>
      <c r="D97" s="6"/>
      <c r="E97" s="7" t="str">
        <f aca="false">IFERROR(__xludf.dummyfunction("lower(GOOGLETRANSLATE(B97,""es"",""en""))"),"august")</f>
        <v>august</v>
      </c>
      <c r="F97" s="7" t="str">
        <f aca="false">IFERROR(__xludf.dummyfunction("lower(GOOGLETRANSLATE(A97,""en"",""es""))"),"agosto")</f>
        <v>agosto</v>
      </c>
      <c r="H97" s="0" t="str">
        <f aca="false">A97&amp;"|"&amp;B97</f>
        <v>august|agosto</v>
      </c>
    </row>
    <row r="98" customFormat="false" ht="15.75" hidden="false" customHeight="false" outlineLevel="0" collapsed="false">
      <c r="A98" s="4" t="s">
        <v>220</v>
      </c>
      <c r="B98" s="5" t="s">
        <v>221</v>
      </c>
      <c r="C98" s="5" t="s">
        <v>117</v>
      </c>
      <c r="D98" s="6"/>
      <c r="E98" s="7" t="str">
        <f aca="false">IFERROR(__xludf.dummyfunction("lower(GOOGLETRANSLATE(B98,""es"",""en""))"),"september")</f>
        <v>september</v>
      </c>
      <c r="F98" s="7" t="str">
        <f aca="false">IFERROR(__xludf.dummyfunction("lower(GOOGLETRANSLATE(A98,""en"",""es""))"),"septiembre")</f>
        <v>septiembre</v>
      </c>
      <c r="H98" s="0" t="str">
        <f aca="false">A98&amp;"|"&amp;B98</f>
        <v>september|septiembre</v>
      </c>
    </row>
    <row r="99" customFormat="false" ht="15.75" hidden="false" customHeight="false" outlineLevel="0" collapsed="false">
      <c r="A99" s="4" t="s">
        <v>222</v>
      </c>
      <c r="B99" s="5" t="s">
        <v>223</v>
      </c>
      <c r="C99" s="5" t="s">
        <v>117</v>
      </c>
      <c r="D99" s="6"/>
      <c r="E99" s="7" t="str">
        <f aca="false">IFERROR(__xludf.dummyfunction("lower(GOOGLETRANSLATE(B99,""es"",""en""))"),"october")</f>
        <v>october</v>
      </c>
      <c r="F99" s="7" t="str">
        <f aca="false">IFERROR(__xludf.dummyfunction("lower(GOOGLETRANSLATE(A99,""en"",""es""))"),"octubre")</f>
        <v>octubre</v>
      </c>
      <c r="H99" s="0" t="str">
        <f aca="false">A99&amp;"|"&amp;B99</f>
        <v>october|octubre</v>
      </c>
    </row>
    <row r="100" customFormat="false" ht="15.75" hidden="false" customHeight="false" outlineLevel="0" collapsed="false">
      <c r="A100" s="4" t="s">
        <v>224</v>
      </c>
      <c r="B100" s="5" t="s">
        <v>225</v>
      </c>
      <c r="C100" s="5" t="s">
        <v>117</v>
      </c>
      <c r="D100" s="6"/>
      <c r="E100" s="7" t="str">
        <f aca="false">IFERROR(__xludf.dummyfunction("lower(GOOGLETRANSLATE(B100,""es"",""en""))"),"november")</f>
        <v>november</v>
      </c>
      <c r="F100" s="7" t="str">
        <f aca="false">IFERROR(__xludf.dummyfunction("lower(GOOGLETRANSLATE(A100,""en"",""es""))"),"noviembre")</f>
        <v>noviembre</v>
      </c>
      <c r="H100" s="0" t="str">
        <f aca="false">A100&amp;"|"&amp;B100</f>
        <v>november|noviembre</v>
      </c>
    </row>
    <row r="101" customFormat="false" ht="15.75" hidden="false" customHeight="false" outlineLevel="0" collapsed="false">
      <c r="A101" s="4" t="s">
        <v>226</v>
      </c>
      <c r="B101" s="5" t="s">
        <v>227</v>
      </c>
      <c r="C101" s="5" t="s">
        <v>117</v>
      </c>
      <c r="D101" s="6"/>
      <c r="E101" s="7" t="str">
        <f aca="false">IFERROR(__xludf.dummyfunction("lower(GOOGLETRANSLATE(B101,""es"",""en""))"),"december")</f>
        <v>december</v>
      </c>
      <c r="F101" s="7" t="str">
        <f aca="false">IFERROR(__xludf.dummyfunction("lower(GOOGLETRANSLATE(A101,""en"",""es""))"),"diciembre")</f>
        <v>diciembre</v>
      </c>
      <c r="H101" s="0" t="str">
        <f aca="false">A101&amp;"|"&amp;B101</f>
        <v>december|diciembre</v>
      </c>
    </row>
    <row r="102" customFormat="false" ht="15.75" hidden="false" customHeight="false" outlineLevel="0" collapsed="false">
      <c r="A102" s="4" t="s">
        <v>228</v>
      </c>
      <c r="B102" s="5" t="s">
        <v>229</v>
      </c>
      <c r="C102" s="5" t="s">
        <v>230</v>
      </c>
      <c r="D102" s="6"/>
      <c r="E102" s="7" t="str">
        <f aca="false">IFERROR(__xludf.dummyfunction("lower(GOOGLETRANSLATE(B102,""es"",""en""))"),"the date")</f>
        <v>the date</v>
      </c>
      <c r="F102" s="7" t="str">
        <f aca="false">IFERROR(__xludf.dummyfunction("lower(GOOGLETRANSLATE(A102,""en"",""es""))"),"la fecha")</f>
        <v>la fecha</v>
      </c>
      <c r="H102" s="0" t="str">
        <f aca="false">A102&amp;"|"&amp;B102</f>
        <v>the date|la fecha</v>
      </c>
    </row>
    <row r="103" customFormat="false" ht="15.75" hidden="false" customHeight="false" outlineLevel="0" collapsed="false">
      <c r="A103" s="4" t="s">
        <v>231</v>
      </c>
      <c r="B103" s="5" t="s">
        <v>232</v>
      </c>
      <c r="C103" s="5" t="s">
        <v>126</v>
      </c>
      <c r="D103" s="6"/>
      <c r="E103" s="7" t="str">
        <f aca="false">IFERROR(__xludf.dummyfunction("lower(GOOGLETRANSLATE(B103,""es"",""en""))"),"what is today's date?")</f>
        <v>what is today's date?</v>
      </c>
      <c r="F103" s="7" t="str">
        <f aca="false">IFERROR(__xludf.dummyfunction("lower(GOOGLETRANSLATE(A103,""en"",""es""))"),"¿cuál es la fecha de hoy?")</f>
        <v>¿cuál es la fecha de hoy?</v>
      </c>
      <c r="H103" s="0" t="str">
        <f aca="false">A103&amp;"|"&amp;B103</f>
        <v>what is today's date?|cuál es la fecha de hoy?</v>
      </c>
    </row>
    <row r="104" customFormat="false" ht="15.75" hidden="false" customHeight="false" outlineLevel="0" collapsed="false">
      <c r="A104" s="4" t="s">
        <v>233</v>
      </c>
      <c r="B104" s="5" t="s">
        <v>234</v>
      </c>
      <c r="C104" s="5" t="s">
        <v>235</v>
      </c>
      <c r="D104" s="6"/>
      <c r="E104" s="7" t="str">
        <f aca="false">IFERROR(__xludf.dummyfunction("lower(GOOGLETRANSLATE(B104,""es"",""en""))"),"birthday")</f>
        <v>birthday</v>
      </c>
      <c r="F104" s="7" t="str">
        <f aca="false">IFERROR(__xludf.dummyfunction("lower(GOOGLETRANSLATE(A104,""en"",""es""))"),"cumpleaños")</f>
        <v>cumpleaños</v>
      </c>
      <c r="H104" s="0" t="str">
        <f aca="false">A104&amp;"|"&amp;B104</f>
        <v>birthday|cumpleaños</v>
      </c>
    </row>
    <row r="105" customFormat="false" ht="15.75" hidden="false" customHeight="false" outlineLevel="0" collapsed="false">
      <c r="A105" s="4" t="s">
        <v>236</v>
      </c>
      <c r="B105" s="5" t="s">
        <v>237</v>
      </c>
      <c r="C105" s="5" t="s">
        <v>126</v>
      </c>
      <c r="D105" s="6"/>
      <c r="E105" s="7" t="str">
        <f aca="false">IFERROR(__xludf.dummyfunction("lower(GOOGLETRANSLATE(B105,""es"",""en""))"),"when is your birthday?")</f>
        <v>when is your birthday?</v>
      </c>
      <c r="F105" s="7" t="str">
        <f aca="false">IFERROR(__xludf.dummyfunction("lower(GOOGLETRANSLATE(A105,""en"",""es""))"),"¿cuando es tu cumpleaños?")</f>
        <v>¿cuando es tu cumpleaños?</v>
      </c>
      <c r="H105" s="0" t="str">
        <f aca="false">A105&amp;"|"&amp;B105</f>
        <v>when is your birthday?|cuando es tu cumpleaños?</v>
      </c>
    </row>
    <row r="106" customFormat="false" ht="15.75" hidden="false" customHeight="false" outlineLevel="0" collapsed="false">
      <c r="A106" s="4" t="s">
        <v>238</v>
      </c>
      <c r="B106" s="5" t="s">
        <v>239</v>
      </c>
      <c r="C106" s="5" t="s">
        <v>126</v>
      </c>
      <c r="D106" s="6"/>
      <c r="E106" s="7" t="str">
        <f aca="false">IFERROR(__xludf.dummyfunction("lower(GOOGLETRANSLATE(B106,""es"",""en""))"),"how old are you?")</f>
        <v>how old are you?</v>
      </c>
      <c r="F106" s="7" t="str">
        <f aca="false">IFERROR(__xludf.dummyfunction("lower(GOOGLETRANSLATE(A106,""en"",""es""))"),"¿cuantos años tienes?")</f>
        <v>¿cuantos años tienes?</v>
      </c>
      <c r="H106" s="0" t="str">
        <f aca="false">A106&amp;"|"&amp;B106</f>
        <v>how old are you?|cuántos años tienes?</v>
      </c>
    </row>
    <row r="107" customFormat="false" ht="15.75" hidden="false" customHeight="false" outlineLevel="0" collapsed="false">
      <c r="A107" s="4" t="s">
        <v>240</v>
      </c>
      <c r="B107" s="5" t="s">
        <v>241</v>
      </c>
      <c r="C107" s="5" t="s">
        <v>242</v>
      </c>
      <c r="D107" s="6"/>
      <c r="E107" s="7" t="str">
        <f aca="false">IFERROR(__xludf.dummyfunction("lower(GOOGLETRANSLATE(B107,""es"",""en""))"),"yes")</f>
        <v>yes</v>
      </c>
      <c r="F107" s="7" t="str">
        <f aca="false">IFERROR(__xludf.dummyfunction("lower(GOOGLETRANSLATE(A107,""en"",""es""))"),"si")</f>
        <v>si</v>
      </c>
      <c r="H107" s="0" t="str">
        <f aca="false">A107&amp;"|"&amp;B107</f>
        <v>yes|sí</v>
      </c>
    </row>
    <row r="108" customFormat="false" ht="15.75" hidden="false" customHeight="false" outlineLevel="0" collapsed="false">
      <c r="A108" s="4" t="s">
        <v>243</v>
      </c>
      <c r="B108" s="5" t="s">
        <v>243</v>
      </c>
      <c r="C108" s="5" t="s">
        <v>242</v>
      </c>
      <c r="D108" s="6"/>
      <c r="E108" s="7" t="str">
        <f aca="false">IFERROR(__xludf.dummyfunction("lower(GOOGLETRANSLATE(B108,""es"",""en""))"),"not")</f>
        <v>not</v>
      </c>
      <c r="F108" s="7" t="str">
        <f aca="false">IFERROR(__xludf.dummyfunction("lower(GOOGLETRANSLATE(A108,""en"",""es""))"),"no")</f>
        <v>no</v>
      </c>
      <c r="H108" s="0" t="str">
        <f aca="false">A108&amp;"|"&amp;B108</f>
        <v>no|no</v>
      </c>
    </row>
    <row r="109" customFormat="false" ht="15.75" hidden="false" customHeight="false" outlineLevel="0" collapsed="false">
      <c r="A109" s="4" t="s">
        <v>244</v>
      </c>
      <c r="B109" s="5" t="s">
        <v>245</v>
      </c>
      <c r="C109" s="5" t="s">
        <v>242</v>
      </c>
      <c r="D109" s="6"/>
      <c r="E109" s="7" t="str">
        <f aca="false">IFERROR(__xludf.dummyfunction("lower(GOOGLETRANSLATE(B109,""es"",""en""))"),"maybe")</f>
        <v>maybe</v>
      </c>
      <c r="F109" s="7" t="str">
        <f aca="false">IFERROR(__xludf.dummyfunction("lower(GOOGLETRANSLATE(A109,""en"",""es""))"),"tal vez")</f>
        <v>tal vez</v>
      </c>
      <c r="H109" s="0" t="str">
        <f aca="false">A109&amp;"|"&amp;B109</f>
        <v>maybe|quizás</v>
      </c>
    </row>
    <row r="110" customFormat="false" ht="15.75" hidden="false" customHeight="false" outlineLevel="0" collapsed="false">
      <c r="A110" s="4" t="s">
        <v>246</v>
      </c>
      <c r="B110" s="5" t="s">
        <v>247</v>
      </c>
      <c r="C110" s="5" t="s">
        <v>242</v>
      </c>
      <c r="D110" s="6"/>
      <c r="E110" s="7" t="str">
        <f aca="false">IFERROR(__xludf.dummyfunction("lower(GOOGLETRANSLATE(B110,""es"",""en""))"),"and")</f>
        <v>and</v>
      </c>
      <c r="F110" s="7" t="str">
        <f aca="false">IFERROR(__xludf.dummyfunction("lower(GOOGLETRANSLATE(A110,""en"",""es""))"),"y")</f>
        <v>y</v>
      </c>
      <c r="H110" s="0" t="str">
        <f aca="false">A110&amp;"|"&amp;B110</f>
        <v>and|y</v>
      </c>
    </row>
    <row r="111" customFormat="false" ht="15.75" hidden="false" customHeight="false" outlineLevel="0" collapsed="false">
      <c r="A111" s="4" t="s">
        <v>248</v>
      </c>
      <c r="B111" s="5" t="s">
        <v>249</v>
      </c>
      <c r="C111" s="5" t="s">
        <v>242</v>
      </c>
      <c r="D111" s="6"/>
      <c r="E111" s="7" t="str">
        <f aca="false">IFERROR(__xludf.dummyfunction("lower(GOOGLETRANSLATE(B111,""es"",""en""))"),"or")</f>
        <v>or</v>
      </c>
      <c r="F111" s="7" t="str">
        <f aca="false">IFERROR(__xludf.dummyfunction("lower(GOOGLETRANSLATE(A111,""en"",""es""))"),"o")</f>
        <v>o</v>
      </c>
      <c r="H111" s="0" t="str">
        <f aca="false">A111&amp;"|"&amp;B111</f>
        <v>or|o</v>
      </c>
    </row>
    <row r="112" customFormat="false" ht="15.75" hidden="false" customHeight="false" outlineLevel="0" collapsed="false">
      <c r="A112" s="4" t="s">
        <v>250</v>
      </c>
      <c r="B112" s="5" t="s">
        <v>251</v>
      </c>
      <c r="C112" s="5" t="s">
        <v>242</v>
      </c>
      <c r="D112" s="6"/>
      <c r="E112" s="7" t="str">
        <f aca="false">IFERROR(__xludf.dummyfunction("lower(GOOGLETRANSLATE(B112,""es"",""en""))"),"sometimes")</f>
        <v>sometimes</v>
      </c>
      <c r="F112" s="7" t="str">
        <f aca="false">IFERROR(__xludf.dummyfunction("lower(GOOGLETRANSLATE(A112,""en"",""es""))"),"algunas veces")</f>
        <v>algunas veces</v>
      </c>
      <c r="H112" s="0" t="str">
        <f aca="false">A112&amp;"|"&amp;B112</f>
        <v>sometimes|a veces</v>
      </c>
    </row>
    <row r="113" customFormat="false" ht="15.75" hidden="false" customHeight="false" outlineLevel="0" collapsed="false">
      <c r="A113" s="4" t="s">
        <v>252</v>
      </c>
      <c r="B113" s="5" t="s">
        <v>253</v>
      </c>
      <c r="C113" s="5" t="s">
        <v>242</v>
      </c>
      <c r="D113" s="6"/>
      <c r="E113" s="7" t="str">
        <f aca="false">IFERROR(__xludf.dummyfunction("lower(GOOGLETRANSLATE(B113,""es"",""en""))"),"very")</f>
        <v>very</v>
      </c>
      <c r="F113" s="7" t="str">
        <f aca="false">IFERROR(__xludf.dummyfunction("lower(GOOGLETRANSLATE(A113,""en"",""es""))"),"muy")</f>
        <v>muy</v>
      </c>
      <c r="H113" s="0" t="str">
        <f aca="false">A113&amp;"|"&amp;B113</f>
        <v>very|muy</v>
      </c>
    </row>
    <row r="114" customFormat="false" ht="15.75" hidden="false" customHeight="false" outlineLevel="0" collapsed="false">
      <c r="A114" s="4" t="s">
        <v>254</v>
      </c>
      <c r="B114" s="5" t="s">
        <v>255</v>
      </c>
      <c r="C114" s="5" t="s">
        <v>242</v>
      </c>
      <c r="D114" s="6"/>
      <c r="E114" s="7" t="str">
        <f aca="false">IFERROR(__xludf.dummyfunction("lower(GOOGLETRANSLATE(B114,""es"",""en""))"),"but")</f>
        <v>but</v>
      </c>
      <c r="F114" s="7" t="str">
        <f aca="false">IFERROR(__xludf.dummyfunction("lower(GOOGLETRANSLATE(A114,""en"",""es""))"),"pero")</f>
        <v>pero</v>
      </c>
      <c r="H114" s="0" t="str">
        <f aca="false">A114&amp;"|"&amp;B114</f>
        <v>but|pero</v>
      </c>
    </row>
    <row r="115" customFormat="false" ht="15.75" hidden="false" customHeight="false" outlineLevel="0" collapsed="false">
      <c r="A115" s="4" t="s">
        <v>256</v>
      </c>
      <c r="B115" s="5" t="s">
        <v>257</v>
      </c>
      <c r="C115" s="5" t="s">
        <v>242</v>
      </c>
      <c r="D115" s="6"/>
      <c r="E115" s="7" t="str">
        <f aca="false">IFERROR(__xludf.dummyfunction("lower(GOOGLETRANSLATE(B115,""es"",""en""))"),"so")</f>
        <v>so</v>
      </c>
      <c r="F115" s="7" t="str">
        <f aca="false">IFERROR(__xludf.dummyfunction("lower(GOOGLETRANSLATE(A115,""en"",""es""))"),"es por eso / por eso")</f>
        <v>es por eso / por eso</v>
      </c>
      <c r="H115" s="0" t="str">
        <f aca="false">A115&amp;"|"&amp;B115</f>
        <v>that's why/for that|por eso</v>
      </c>
    </row>
    <row r="116" customFormat="false" ht="15.75" hidden="false" customHeight="false" outlineLevel="0" collapsed="false">
      <c r="A116" s="4" t="s">
        <v>258</v>
      </c>
      <c r="B116" s="5" t="s">
        <v>259</v>
      </c>
      <c r="C116" s="5" t="s">
        <v>242</v>
      </c>
      <c r="D116" s="6"/>
      <c r="E116" s="7" t="str">
        <f aca="false">IFERROR(__xludf.dummyfunction("lower(GOOGLETRANSLATE(B116,""es"",""en""))"),"well")</f>
        <v>well</v>
      </c>
      <c r="F116" s="7" t="str">
        <f aca="false">IFERROR(__xludf.dummyfunction("lower(GOOGLETRANSLATE(A116,""en"",""es""))"),"bien entonces")</f>
        <v>bien entonces</v>
      </c>
      <c r="H116" s="0" t="str">
        <f aca="false">A116&amp;"|"&amp;B116</f>
        <v>well/then|pues</v>
      </c>
    </row>
    <row r="117" customFormat="false" ht="15.75" hidden="false" customHeight="false" outlineLevel="0" collapsed="false">
      <c r="A117" s="4" t="s">
        <v>260</v>
      </c>
      <c r="B117" s="5" t="s">
        <v>261</v>
      </c>
      <c r="C117" s="5" t="s">
        <v>242</v>
      </c>
      <c r="D117" s="6"/>
      <c r="E117" s="7" t="str">
        <f aca="false">IFERROR(__xludf.dummyfunction("lower(GOOGLETRANSLATE(B117,""es"",""en""))"),"too")</f>
        <v>too</v>
      </c>
      <c r="F117" s="7" t="str">
        <f aca="false">IFERROR(__xludf.dummyfunction("lower(GOOGLETRANSLATE(A117,""en"",""es""))"),"además")</f>
        <v>además</v>
      </c>
      <c r="H117" s="0" t="str">
        <f aca="false">A117&amp;"|"&amp;B117</f>
        <v>also|también</v>
      </c>
    </row>
    <row r="118" customFormat="false" ht="15.75" hidden="false" customHeight="false" outlineLevel="0" collapsed="false">
      <c r="A118" s="4" t="s">
        <v>262</v>
      </c>
      <c r="B118" s="5" t="s">
        <v>263</v>
      </c>
      <c r="C118" s="5" t="s">
        <v>242</v>
      </c>
      <c r="D118" s="6"/>
      <c r="E118" s="7" t="str">
        <f aca="false">IFERROR(__xludf.dummyfunction("lower(GOOGLETRANSLATE(B118,""es"",""en""))"),"neither")</f>
        <v>neither</v>
      </c>
      <c r="F118" s="7" t="str">
        <f aca="false">IFERROR(__xludf.dummyfunction("lower(GOOGLETRANSLATE(A118,""en"",""es""))"),"ni tampoco")</f>
        <v>ni tampoco</v>
      </c>
      <c r="H118" s="0" t="str">
        <f aca="false">A118&amp;"|"&amp;B118</f>
        <v>neither/either|tampoco</v>
      </c>
    </row>
    <row r="119" customFormat="false" ht="15.75" hidden="false" customHeight="false" outlineLevel="0" collapsed="false">
      <c r="A119" s="4" t="s">
        <v>264</v>
      </c>
      <c r="B119" s="5" t="s">
        <v>265</v>
      </c>
      <c r="C119" s="5" t="s">
        <v>126</v>
      </c>
      <c r="D119" s="6"/>
      <c r="E119" s="7" t="str">
        <f aca="false">IFERROR(__xludf.dummyfunction("lower(GOOGLETRANSLATE(B119,""es"",""en""))"),"today is monday")</f>
        <v>today is monday</v>
      </c>
      <c r="F119" s="7" t="str">
        <f aca="false">IFERROR(__xludf.dummyfunction("lower(GOOGLETRANSLATE(A119,""en"",""es""))"),"hoy es lunes")</f>
        <v>hoy es lunes</v>
      </c>
      <c r="H119" s="0" t="str">
        <f aca="false">A119&amp;"|"&amp;B119</f>
        <v>today is monday|hoy es lunes</v>
      </c>
    </row>
    <row r="120" customFormat="false" ht="15.75" hidden="false" customHeight="false" outlineLevel="0" collapsed="false">
      <c r="A120" s="4" t="s">
        <v>266</v>
      </c>
      <c r="B120" s="5" t="s">
        <v>267</v>
      </c>
      <c r="C120" s="5" t="s">
        <v>126</v>
      </c>
      <c r="D120" s="6"/>
      <c r="E120" s="7" t="str">
        <f aca="false">IFERROR(__xludf.dummyfunction("lower(GOOGLETRANSLATE(B120,""es"",""en""))"),"today is thursday")</f>
        <v>today is thursday</v>
      </c>
      <c r="F120" s="7" t="str">
        <f aca="false">IFERROR(__xludf.dummyfunction("lower(GOOGLETRANSLATE(A120,""en"",""es""))"),"hoy es jueves")</f>
        <v>hoy es jueves</v>
      </c>
      <c r="H120" s="0" t="str">
        <f aca="false">A120&amp;"|"&amp;B120</f>
        <v>today is thursday|hoy es jueves</v>
      </c>
    </row>
    <row r="121" customFormat="false" ht="15.75" hidden="false" customHeight="false" outlineLevel="0" collapsed="false">
      <c r="A121" s="4" t="s">
        <v>268</v>
      </c>
      <c r="B121" s="5" t="s">
        <v>269</v>
      </c>
      <c r="C121" s="5" t="s">
        <v>33</v>
      </c>
      <c r="D121" s="6"/>
      <c r="E121" s="7" t="str">
        <f aca="false">IFERROR(__xludf.dummyfunction("lower(GOOGLETRANSLATE(B121,""es"",""en""))"),"eleven")</f>
        <v>eleven</v>
      </c>
      <c r="F121" s="7" t="str">
        <f aca="false">IFERROR(__xludf.dummyfunction("lower(GOOGLETRANSLATE(A121,""en"",""es""))"),"once")</f>
        <v>once</v>
      </c>
      <c r="H121" s="0" t="str">
        <f aca="false">A121&amp;"|"&amp;B121</f>
        <v>eleven|once</v>
      </c>
    </row>
    <row r="122" customFormat="false" ht="15.75" hidden="false" customHeight="false" outlineLevel="0" collapsed="false">
      <c r="A122" s="4" t="s">
        <v>270</v>
      </c>
      <c r="B122" s="5" t="s">
        <v>271</v>
      </c>
      <c r="C122" s="5" t="s">
        <v>33</v>
      </c>
      <c r="D122" s="6"/>
      <c r="E122" s="7" t="str">
        <f aca="false">IFERROR(__xludf.dummyfunction("lower(GOOGLETRANSLATE(B122,""es"",""en""))"),"twelve")</f>
        <v>twelve</v>
      </c>
      <c r="F122" s="7" t="str">
        <f aca="false">IFERROR(__xludf.dummyfunction("lower(GOOGLETRANSLATE(A122,""en"",""es""))"),"doce")</f>
        <v>doce</v>
      </c>
      <c r="H122" s="0" t="str">
        <f aca="false">A122&amp;"|"&amp;B122</f>
        <v>twelve|doce</v>
      </c>
    </row>
    <row r="123" customFormat="false" ht="15.75" hidden="false" customHeight="false" outlineLevel="0" collapsed="false">
      <c r="A123" s="4" t="s">
        <v>272</v>
      </c>
      <c r="B123" s="5" t="s">
        <v>273</v>
      </c>
      <c r="C123" s="5" t="s">
        <v>33</v>
      </c>
      <c r="D123" s="6"/>
      <c r="E123" s="7" t="str">
        <f aca="false">IFERROR(__xludf.dummyfunction("lower(GOOGLETRANSLATE(B123,""es"",""en""))"),"thirteen")</f>
        <v>thirteen</v>
      </c>
      <c r="F123" s="7" t="str">
        <f aca="false">IFERROR(__xludf.dummyfunction("lower(GOOGLETRANSLATE(A123,""en"",""es""))"),"trece")</f>
        <v>trece</v>
      </c>
      <c r="H123" s="0" t="str">
        <f aca="false">A123&amp;"|"&amp;B123</f>
        <v>thirteen|trece</v>
      </c>
    </row>
    <row r="124" customFormat="false" ht="15.75" hidden="false" customHeight="false" outlineLevel="0" collapsed="false">
      <c r="A124" s="4" t="s">
        <v>274</v>
      </c>
      <c r="B124" s="5" t="s">
        <v>275</v>
      </c>
      <c r="C124" s="5" t="s">
        <v>33</v>
      </c>
      <c r="D124" s="6"/>
      <c r="E124" s="7" t="str">
        <f aca="false">IFERROR(__xludf.dummyfunction("lower(GOOGLETRANSLATE(B124,""es"",""en""))"),"fourteen")</f>
        <v>fourteen</v>
      </c>
      <c r="F124" s="7" t="str">
        <f aca="false">IFERROR(__xludf.dummyfunction("lower(GOOGLETRANSLATE(A124,""en"",""es""))"),"catorce")</f>
        <v>catorce</v>
      </c>
      <c r="H124" s="0" t="str">
        <f aca="false">A124&amp;"|"&amp;B124</f>
        <v>fourteen|catorce</v>
      </c>
    </row>
    <row r="125" customFormat="false" ht="15.75" hidden="false" customHeight="false" outlineLevel="0" collapsed="false">
      <c r="A125" s="4" t="s">
        <v>276</v>
      </c>
      <c r="B125" s="5" t="s">
        <v>277</v>
      </c>
      <c r="C125" s="5" t="s">
        <v>33</v>
      </c>
      <c r="D125" s="6"/>
      <c r="E125" s="7" t="str">
        <f aca="false">IFERROR(__xludf.dummyfunction("lower(GOOGLETRANSLATE(B125,""es"",""en""))"),"fifteen")</f>
        <v>fifteen</v>
      </c>
      <c r="F125" s="7" t="str">
        <f aca="false">IFERROR(__xludf.dummyfunction("lower(GOOGLETRANSLATE(A125,""en"",""es""))"),"quince")</f>
        <v>quince</v>
      </c>
      <c r="H125" s="0" t="str">
        <f aca="false">A125&amp;"|"&amp;B125</f>
        <v>fifteen|quince</v>
      </c>
    </row>
    <row r="126" customFormat="false" ht="15.75" hidden="false" customHeight="false" outlineLevel="0" collapsed="false">
      <c r="A126" s="4" t="s">
        <v>278</v>
      </c>
      <c r="B126" s="5" t="s">
        <v>279</v>
      </c>
      <c r="C126" s="5" t="s">
        <v>185</v>
      </c>
      <c r="D126" s="6"/>
      <c r="E126" s="7" t="str">
        <f aca="false">IFERROR(__xludf.dummyfunction("lower(GOOGLETRANSLATE(B126,""es"",""en""))"),"cook")</f>
        <v>cook</v>
      </c>
      <c r="F126" s="7" t="str">
        <f aca="false">IFERROR(__xludf.dummyfunction("lower(GOOGLETRANSLATE(A126,""en"",""es""))"),"cocinar")</f>
        <v>cocinar</v>
      </c>
      <c r="H126" s="0" t="str">
        <f aca="false">A126&amp;"|"&amp;B126</f>
        <v>to cook|cocinar</v>
      </c>
    </row>
    <row r="127" customFormat="false" ht="15.75" hidden="false" customHeight="false" outlineLevel="0" collapsed="false">
      <c r="A127" s="4" t="s">
        <v>280</v>
      </c>
      <c r="B127" s="5" t="s">
        <v>281</v>
      </c>
      <c r="C127" s="5" t="s">
        <v>192</v>
      </c>
      <c r="D127" s="6"/>
      <c r="E127" s="7" t="str">
        <f aca="false">IFERROR(__xludf.dummyfunction("lower(GOOGLETRANSLATE(B127,""es"",""en""))"),"play the guitar")</f>
        <v>play the guitar</v>
      </c>
      <c r="F127" s="7" t="str">
        <f aca="false">IFERROR(__xludf.dummyfunction("lower(GOOGLETRANSLATE(A127,""en"",""es""))"),"tocar la guitarra")</f>
        <v>tocar la guitarra</v>
      </c>
      <c r="H127" s="0" t="str">
        <f aca="false">A127&amp;"|"&amp;B127</f>
        <v>to play the guitar|tocar la guitarra</v>
      </c>
    </row>
    <row r="128" customFormat="false" ht="15.75" hidden="false" customHeight="false" outlineLevel="0" collapsed="false">
      <c r="A128" s="4" t="s">
        <v>282</v>
      </c>
      <c r="B128" s="5" t="s">
        <v>283</v>
      </c>
      <c r="C128" s="5" t="s">
        <v>126</v>
      </c>
      <c r="D128" s="6"/>
      <c r="E128" s="7" t="str">
        <f aca="false">IFERROR(__xludf.dummyfunction("lower(GOOGLETRANSLATE(B128,""es"",""en""))"),"where are you from?")</f>
        <v>where are you from?</v>
      </c>
      <c r="F128" s="7" t="str">
        <f aca="false">IFERROR(__xludf.dummyfunction("lower(GOOGLETRANSLATE(A128,""en"",""es""))"),"¿de donde eres?")</f>
        <v>¿de donde eres?</v>
      </c>
      <c r="H128" s="0" t="str">
        <f aca="false">A128&amp;"|"&amp;B128</f>
        <v>where are you from?|de donde eres?</v>
      </c>
    </row>
    <row r="129" customFormat="false" ht="15.75" hidden="false" customHeight="false" outlineLevel="0" collapsed="false">
      <c r="A129" s="4" t="s">
        <v>284</v>
      </c>
      <c r="B129" s="5" t="s">
        <v>285</v>
      </c>
      <c r="C129" s="5" t="s">
        <v>215</v>
      </c>
      <c r="D129" s="6"/>
      <c r="E129" s="7" t="str">
        <f aca="false">IFERROR(__xludf.dummyfunction("lower(GOOGLETRANSLATE(B129,""es"",""en""))"),"and you?")</f>
        <v>and you?</v>
      </c>
      <c r="F129" s="7" t="str">
        <f aca="false">IFERROR(__xludf.dummyfunction("lower(GOOGLETRANSLATE(A129,""en"",""es""))"),"y usted? (como objeto)")</f>
        <v>y usted? (como objeto)</v>
      </c>
      <c r="H129" s="0" t="str">
        <f aca="false">A129&amp;"|"&amp;B129</f>
        <v>and you? (as object)|y a ti?</v>
      </c>
    </row>
    <row r="130" customFormat="false" ht="15.75" hidden="false" customHeight="false" outlineLevel="0" collapsed="false">
      <c r="A130" s="4" t="s">
        <v>286</v>
      </c>
      <c r="B130" s="5" t="s">
        <v>287</v>
      </c>
      <c r="C130" s="5" t="s">
        <v>88</v>
      </c>
      <c r="D130" s="6"/>
      <c r="E130" s="7" t="str">
        <f aca="false">IFERROR(__xludf.dummyfunction("lower(GOOGLETRANSLATE(B130,""es"",""en""))"),"we are")</f>
        <v>we are</v>
      </c>
      <c r="F130" s="7" t="str">
        <f aca="false">IFERROR(__xludf.dummyfunction("lower(GOOGLETRANSLATE(A130,""en"",""es""))"),"somos (rasgo)")</f>
        <v>somos (rasgo)</v>
      </c>
      <c r="H130" s="0" t="str">
        <f aca="false">A130&amp;"|"&amp;B130</f>
        <v>we are (trait)|nosotros somos</v>
      </c>
    </row>
    <row r="131" customFormat="false" ht="15.75" hidden="false" customHeight="false" outlineLevel="0" collapsed="false">
      <c r="A131" s="4" t="s">
        <v>288</v>
      </c>
      <c r="B131" s="5" t="s">
        <v>289</v>
      </c>
      <c r="C131" s="5" t="s">
        <v>88</v>
      </c>
      <c r="D131" s="6"/>
      <c r="E131" s="7" t="str">
        <f aca="false">IFERROR(__xludf.dummyfunction("lower(GOOGLETRANSLATE(B131,""es"",""en""))"),"vosotors are")</f>
        <v>vosotors are</v>
      </c>
      <c r="F131" s="7" t="str">
        <f aca="false">IFERROR(__xludf.dummyfunction("lower(GOOGLETRANSLATE(A131,""en"",""es""))"),"que son (en plural, rasgo)")</f>
        <v>que son (en plural, rasgo)</v>
      </c>
      <c r="H131" s="0" t="str">
        <f aca="false">A131&amp;"|"&amp;B131</f>
        <v>you are (plural, trait)|vosotors sois</v>
      </c>
    </row>
    <row r="132" customFormat="false" ht="15.75" hidden="false" customHeight="false" outlineLevel="0" collapsed="false">
      <c r="A132" s="4" t="s">
        <v>290</v>
      </c>
      <c r="B132" s="5" t="s">
        <v>291</v>
      </c>
      <c r="C132" s="5" t="s">
        <v>88</v>
      </c>
      <c r="D132" s="6"/>
      <c r="E132" s="7" t="str">
        <f aca="false">IFERROR(__xludf.dummyfunction("lower(GOOGLETRANSLATE(B132,""es"",""en""))"),"(they / them) are")</f>
        <v>(they / them) are</v>
      </c>
      <c r="F132" s="7" t="str">
        <f aca="false">IFERROR(__xludf.dummyfunction("lower(GOOGLETRANSLATE(A132,""en"",""es""))"),"que son (triat)")</f>
        <v>que son (triat)</v>
      </c>
      <c r="H132" s="0" t="str">
        <f aca="false">A132&amp;"|"&amp;B132</f>
        <v>they are (triat)|(ellos/ellas) son</v>
      </c>
    </row>
    <row r="133" customFormat="false" ht="15.75" hidden="false" customHeight="false" outlineLevel="0" collapsed="false">
      <c r="A133" s="4" t="s">
        <v>292</v>
      </c>
      <c r="B133" s="5" t="s">
        <v>293</v>
      </c>
      <c r="C133" s="5" t="s">
        <v>294</v>
      </c>
      <c r="D133" s="6"/>
      <c r="E133" s="7" t="str">
        <f aca="false">IFERROR(__xludf.dummyfunction("lower(GOOGLETRANSLATE(B133,""es"",""en""))"),"of verad?")</f>
        <v>of verad?</v>
      </c>
      <c r="F133" s="7" t="str">
        <f aca="false">IFERROR(__xludf.dummyfunction("lower(GOOGLETRANSLATE(A133,""en"",""es""))"),"¿de verdad?")</f>
        <v>¿de verdad?</v>
      </c>
      <c r="H133" s="0" t="str">
        <f aca="false">A133&amp;"|"&amp;B133</f>
        <v>really?|de verad?</v>
      </c>
    </row>
    <row r="134" customFormat="false" ht="15.75" hidden="false" customHeight="false" outlineLevel="0" collapsed="false">
      <c r="A134" s="4" t="s">
        <v>295</v>
      </c>
      <c r="B134" s="5" t="s">
        <v>296</v>
      </c>
      <c r="C134" s="5" t="s">
        <v>294</v>
      </c>
      <c r="D134" s="6"/>
      <c r="E134" s="7" t="str">
        <f aca="false">IFERROR(__xludf.dummyfunction("lower(GOOGLETRANSLATE(B134,""es"",""en""))"),"really?")</f>
        <v>really?</v>
      </c>
      <c r="F134" s="7" t="str">
        <f aca="false">IFERROR(__xludf.dummyfunction("lower(GOOGLETRANSLATE(A134,""en"",""es""))"),"¿seriamente?")</f>
        <v>¿seriamente?</v>
      </c>
      <c r="H134" s="0" t="str">
        <f aca="false">A134&amp;"|"&amp;B134</f>
        <v>seriously?|en serio?</v>
      </c>
    </row>
    <row r="135" customFormat="false" ht="15.75" hidden="false" customHeight="false" outlineLevel="0" collapsed="false">
      <c r="A135" s="4" t="s">
        <v>297</v>
      </c>
      <c r="B135" s="5" t="s">
        <v>200</v>
      </c>
      <c r="C135" s="5" t="s">
        <v>298</v>
      </c>
      <c r="D135" s="6"/>
      <c r="E135" s="7" t="str">
        <f aca="false">IFERROR(__xludf.dummyfunction("lower(GOOGLETRANSLATE(B135,""es"",""en""))"),"i like")</f>
        <v>i like</v>
      </c>
      <c r="F135" s="7" t="str">
        <f aca="false">IFERROR(__xludf.dummyfunction("lower(GOOGLETRANSLATE(A135,""en"",""es""))"),"me gusta (objeto singular)")</f>
        <v>me gusta (objeto singular)</v>
      </c>
      <c r="H135" s="0" t="str">
        <f aca="false">A135&amp;"|"&amp;B135</f>
        <v>i like (singular object)|me gusta</v>
      </c>
    </row>
    <row r="136" customFormat="false" ht="15.75" hidden="false" customHeight="false" outlineLevel="0" collapsed="false">
      <c r="A136" s="4" t="s">
        <v>299</v>
      </c>
      <c r="B136" s="5" t="s">
        <v>300</v>
      </c>
      <c r="C136" s="5" t="s">
        <v>298</v>
      </c>
      <c r="D136" s="6"/>
      <c r="E136" s="7" t="str">
        <f aca="false">IFERROR(__xludf.dummyfunction("lower(GOOGLETRANSLATE(B136,""es"",""en""))"),"i like them")</f>
        <v>i like them</v>
      </c>
      <c r="F136" s="7" t="str">
        <f aca="false">IFERROR(__xludf.dummyfunction("lower(GOOGLETRANSLATE(A136,""en"",""es""))"),"me gusta (objeto plural)")</f>
        <v>me gusta (objeto plural)</v>
      </c>
      <c r="H136" s="0" t="str">
        <f aca="false">A136&amp;"|"&amp;B136</f>
        <v>i like (plural object)|me gustan</v>
      </c>
    </row>
    <row r="137" customFormat="false" ht="15.75" hidden="false" customHeight="false" outlineLevel="0" collapsed="false">
      <c r="A137" s="4" t="s">
        <v>301</v>
      </c>
      <c r="B137" s="5" t="s">
        <v>302</v>
      </c>
      <c r="C137" s="5" t="s">
        <v>298</v>
      </c>
      <c r="D137" s="6"/>
      <c r="E137" s="7" t="str">
        <f aca="false">IFERROR(__xludf.dummyfunction("lower(GOOGLETRANSLATE(B137,""es"",""en""))"),"you like")</f>
        <v>you like</v>
      </c>
      <c r="F137" s="7" t="str">
        <f aca="false">IFERROR(__xludf.dummyfunction("lower(GOOGLETRANSLATE(A137,""en"",""es""))"),"te gusta (singular, objeto singular)")</f>
        <v>te gusta (singular, objeto singular)</v>
      </c>
      <c r="H137" s="0" t="str">
        <f aca="false">A137&amp;"|"&amp;B137</f>
        <v>you like (singular, singular object)|te gusta</v>
      </c>
    </row>
    <row r="138" customFormat="false" ht="15.75" hidden="false" customHeight="false" outlineLevel="0" collapsed="false">
      <c r="A138" s="4" t="s">
        <v>303</v>
      </c>
      <c r="B138" s="5" t="s">
        <v>304</v>
      </c>
      <c r="C138" s="5" t="s">
        <v>298</v>
      </c>
      <c r="D138" s="6"/>
      <c r="E138" s="7" t="str">
        <f aca="false">IFERROR(__xludf.dummyfunction("lower(GOOGLETRANSLATE(B138,""es"",""en""))"),"you like them")</f>
        <v>you like them</v>
      </c>
      <c r="F138" s="7" t="str">
        <f aca="false">IFERROR(__xludf.dummyfunction("lower(GOOGLETRANSLATE(A138,""en"",""es""))"),"te gusta (singular, plural objeto)")</f>
        <v>te gusta (singular, plural objeto)</v>
      </c>
      <c r="H138" s="0" t="str">
        <f aca="false">A138&amp;"|"&amp;B138</f>
        <v>you like (singular, plural object)|te gustan</v>
      </c>
    </row>
    <row r="139" customFormat="false" ht="15.75" hidden="false" customHeight="false" outlineLevel="0" collapsed="false">
      <c r="A139" s="4" t="s">
        <v>305</v>
      </c>
      <c r="B139" s="5" t="s">
        <v>306</v>
      </c>
      <c r="C139" s="5" t="s">
        <v>298</v>
      </c>
      <c r="D139" s="6"/>
      <c r="E139" s="7" t="str">
        <f aca="false">IFERROR(__xludf.dummyfunction("lower(GOOGLETRANSLATE(B139,""es"",""en""))"),"likes")</f>
        <v>likes</v>
      </c>
      <c r="F139" s="7" t="str">
        <f aca="false">IFERROR(__xludf.dummyfunction("lower(GOOGLETRANSLATE(A139,""en"",""es""))"),"él / ella le gusta (objeto singular)")</f>
        <v>él / ella le gusta (objeto singular)</v>
      </c>
      <c r="H139" s="0" t="str">
        <f aca="false">A139&amp;"|"&amp;B139</f>
        <v>he/she likes (singular object)|le gusta</v>
      </c>
    </row>
    <row r="140" customFormat="false" ht="15.75" hidden="false" customHeight="false" outlineLevel="0" collapsed="false">
      <c r="A140" s="4" t="s">
        <v>307</v>
      </c>
      <c r="B140" s="5" t="s">
        <v>308</v>
      </c>
      <c r="C140" s="5" t="s">
        <v>298</v>
      </c>
      <c r="D140" s="6"/>
      <c r="E140" s="7" t="str">
        <f aca="false">IFERROR(__xludf.dummyfunction("lower(GOOGLETRANSLATE(B140,""es"",""en""))"),"likes")</f>
        <v>likes</v>
      </c>
      <c r="F140" s="7" t="str">
        <f aca="false">IFERROR(__xludf.dummyfunction("lower(GOOGLETRANSLATE(A140,""en"",""es""))"),"él / ella le gusta (objeto plural)")</f>
        <v>él / ella le gusta (objeto plural)</v>
      </c>
      <c r="H140" s="0" t="str">
        <f aca="false">A140&amp;"|"&amp;B140</f>
        <v>he/she likes (plural object)|le gustan</v>
      </c>
    </row>
    <row r="141" customFormat="false" ht="15.75" hidden="false" customHeight="false" outlineLevel="0" collapsed="false">
      <c r="A141" s="4" t="s">
        <v>309</v>
      </c>
      <c r="B141" s="5" t="s">
        <v>310</v>
      </c>
      <c r="C141" s="5" t="s">
        <v>215</v>
      </c>
      <c r="D141" s="6"/>
      <c r="E141" s="7" t="str">
        <f aca="false">IFERROR(__xludf.dummyfunction("lower(GOOGLETRANSLATE(B141,""es"",""en""))"),"i like cars")</f>
        <v>i like cars</v>
      </c>
      <c r="F141" s="7" t="str">
        <f aca="false">IFERROR(__xludf.dummyfunction("lower(GOOGLETRANSLATE(A141,""en"",""es""))"),"me gusta los coches")</f>
        <v>me gusta los coches</v>
      </c>
      <c r="H141" s="0" t="str">
        <f aca="false">A141&amp;"|"&amp;B141</f>
        <v>i like the cars|me gustan los coches</v>
      </c>
    </row>
    <row r="142" customFormat="false" ht="15.75" hidden="false" customHeight="false" outlineLevel="0" collapsed="false">
      <c r="A142" s="4" t="s">
        <v>311</v>
      </c>
      <c r="B142" s="5" t="s">
        <v>312</v>
      </c>
      <c r="C142" s="5" t="s">
        <v>313</v>
      </c>
      <c r="D142" s="6"/>
      <c r="E142" s="7" t="str">
        <f aca="false">IFERROR(__xludf.dummyfunction("lower(GOOGLETRANSLATE(B142,""es"",""en""))"),"i love it")</f>
        <v>i love it</v>
      </c>
      <c r="F142" s="7" t="str">
        <f aca="false">IFERROR(__xludf.dummyfunction("lower(GOOGLETRANSLATE(A142,""en"",""es""))"),"me (en singular) se deleita")</f>
        <v>me (en singular) se deleita</v>
      </c>
      <c r="H142" s="0" t="str">
        <f aca="false">A142&amp;"|"&amp;B142</f>
        <v>delights me (singular)|me encanta</v>
      </c>
    </row>
    <row r="143" customFormat="false" ht="15.75" hidden="false" customHeight="false" outlineLevel="0" collapsed="false">
      <c r="A143" s="4" t="s">
        <v>314</v>
      </c>
      <c r="B143" s="5" t="s">
        <v>315</v>
      </c>
      <c r="C143" s="5" t="s">
        <v>313</v>
      </c>
      <c r="D143" s="6"/>
      <c r="E143" s="7" t="str">
        <f aca="false">IFERROR(__xludf.dummyfunction("lower(GOOGLETRANSLATE(B143,""es"",""en""))"),"i love")</f>
        <v>i love</v>
      </c>
      <c r="F143" s="7" t="str">
        <f aca="false">IFERROR(__xludf.dummyfunction("lower(GOOGLETRANSLATE(A143,""en"",""es""))"),"me (en plural) se deleita")</f>
        <v>me (en plural) se deleita</v>
      </c>
      <c r="H143" s="0" t="str">
        <f aca="false">A143&amp;"|"&amp;B143</f>
        <v>delights me (plural)|me encantan</v>
      </c>
    </row>
    <row r="144" customFormat="false" ht="15.75" hidden="false" customHeight="false" outlineLevel="0" collapsed="false">
      <c r="A144" s="4" t="s">
        <v>316</v>
      </c>
      <c r="B144" s="5" t="s">
        <v>317</v>
      </c>
      <c r="C144" s="5" t="s">
        <v>33</v>
      </c>
      <c r="D144" s="6"/>
      <c r="E144" s="7" t="str">
        <f aca="false">IFERROR(__xludf.dummyfunction("lower(GOOGLETRANSLATE(B144,""es"",""en""))"),"sixteen")</f>
        <v>sixteen</v>
      </c>
      <c r="F144" s="7" t="str">
        <f aca="false">IFERROR(__xludf.dummyfunction("lower(GOOGLETRANSLATE(A144,""en"",""es""))"),"dieciséis")</f>
        <v>dieciséis</v>
      </c>
      <c r="H144" s="0" t="str">
        <f aca="false">A144&amp;"|"&amp;B144</f>
        <v>sixteen|dieciséis</v>
      </c>
    </row>
    <row r="145" customFormat="false" ht="15.75" hidden="false" customHeight="false" outlineLevel="0" collapsed="false">
      <c r="A145" s="4" t="s">
        <v>318</v>
      </c>
      <c r="B145" s="5" t="s">
        <v>319</v>
      </c>
      <c r="C145" s="5" t="s">
        <v>33</v>
      </c>
      <c r="D145" s="6"/>
      <c r="E145" s="7" t="str">
        <f aca="false">IFERROR(__xludf.dummyfunction("lower(GOOGLETRANSLATE(B145,""es"",""en""))"),"seventeen")</f>
        <v>seventeen</v>
      </c>
      <c r="F145" s="7" t="str">
        <f aca="false">IFERROR(__xludf.dummyfunction("lower(GOOGLETRANSLATE(A145,""en"",""es""))"),"de diecisiete")</f>
        <v>de diecisiete</v>
      </c>
      <c r="H145" s="0" t="str">
        <f aca="false">A145&amp;"|"&amp;B145</f>
        <v>seventeen|diecisiete</v>
      </c>
    </row>
    <row r="146" customFormat="false" ht="15.75" hidden="false" customHeight="false" outlineLevel="0" collapsed="false">
      <c r="A146" s="4" t="s">
        <v>320</v>
      </c>
      <c r="B146" s="5" t="s">
        <v>321</v>
      </c>
      <c r="C146" s="5" t="s">
        <v>33</v>
      </c>
      <c r="D146" s="6"/>
      <c r="E146" s="7" t="str">
        <f aca="false">IFERROR(__xludf.dummyfunction("lower(GOOGLETRANSLATE(B146,""es"",""en""))"),"eighteen")</f>
        <v>eighteen</v>
      </c>
      <c r="F146" s="7" t="str">
        <f aca="false">IFERROR(__xludf.dummyfunction("lower(GOOGLETRANSLATE(A146,""en"",""es""))"),"dieciocho")</f>
        <v>dieciocho</v>
      </c>
      <c r="H146" s="0" t="str">
        <f aca="false">A146&amp;"|"&amp;B146</f>
        <v>eighteen|dieciocho</v>
      </c>
    </row>
    <row r="147" customFormat="false" ht="15.75" hidden="false" customHeight="false" outlineLevel="0" collapsed="false">
      <c r="A147" s="4" t="s">
        <v>322</v>
      </c>
      <c r="B147" s="5" t="s">
        <v>323</v>
      </c>
      <c r="C147" s="5" t="s">
        <v>33</v>
      </c>
      <c r="D147" s="6"/>
      <c r="E147" s="7" t="str">
        <f aca="false">IFERROR(__xludf.dummyfunction("lower(GOOGLETRANSLATE(B147,""es"",""en""))"),"nineteen")</f>
        <v>nineteen</v>
      </c>
      <c r="F147" s="7" t="str">
        <f aca="false">IFERROR(__xludf.dummyfunction("lower(GOOGLETRANSLATE(A147,""en"",""es""))"),"diecinueve")</f>
        <v>diecinueve</v>
      </c>
      <c r="H147" s="0" t="str">
        <f aca="false">A147&amp;"|"&amp;B147</f>
        <v>nineteen|diecinueve</v>
      </c>
    </row>
    <row r="148" customFormat="false" ht="15.75" hidden="false" customHeight="false" outlineLevel="0" collapsed="false">
      <c r="A148" s="4" t="s">
        <v>324</v>
      </c>
      <c r="B148" s="5" t="s">
        <v>325</v>
      </c>
      <c r="C148" s="5" t="s">
        <v>33</v>
      </c>
      <c r="D148" s="6"/>
      <c r="E148" s="7" t="str">
        <f aca="false">IFERROR(__xludf.dummyfunction("lower(GOOGLETRANSLATE(B148,""es"",""en""))"),"twenty")</f>
        <v>twenty</v>
      </c>
      <c r="F148" s="7" t="str">
        <f aca="false">IFERROR(__xludf.dummyfunction("lower(GOOGLETRANSLATE(A148,""en"",""es""))"),"veinte")</f>
        <v>veinte</v>
      </c>
      <c r="H148" s="0" t="str">
        <f aca="false">A148&amp;"|"&amp;B148</f>
        <v>twenty|veinte</v>
      </c>
    </row>
    <row r="149" customFormat="false" ht="15.75" hidden="false" customHeight="false" outlineLevel="0" collapsed="false">
      <c r="A149" s="4" t="s">
        <v>326</v>
      </c>
      <c r="B149" s="5" t="s">
        <v>327</v>
      </c>
      <c r="C149" s="5" t="s">
        <v>328</v>
      </c>
      <c r="D149" s="6"/>
      <c r="E149" s="7" t="str">
        <f aca="false">IFERROR(__xludf.dummyfunction("lower(GOOGLETRANSLATE(B149,""es"",""en""))"),"seri @")</f>
        <v>seri @</v>
      </c>
      <c r="F149" s="7" t="str">
        <f aca="false">IFERROR(__xludf.dummyfunction("lower(GOOGLETRANSLATE(A149,""en"",""es""))"),"grave")</f>
        <v>grave</v>
      </c>
      <c r="H149" s="0" t="str">
        <f aca="false">A149&amp;"|"&amp;B149</f>
        <v>serious|seri@</v>
      </c>
    </row>
    <row r="150" customFormat="false" ht="15.75" hidden="false" customHeight="false" outlineLevel="0" collapsed="false">
      <c r="A150" s="4" t="s">
        <v>329</v>
      </c>
      <c r="B150" s="5" t="s">
        <v>329</v>
      </c>
      <c r="C150" s="5" t="s">
        <v>328</v>
      </c>
      <c r="D150" s="6"/>
      <c r="E150" s="7" t="str">
        <f aca="false">IFERROR(__xludf.dummyfunction("lower(GOOGLETRANSLATE(B150,""es"",""en""))"),"sociable")</f>
        <v>sociable</v>
      </c>
      <c r="F150" s="7" t="str">
        <f aca="false">IFERROR(__xludf.dummyfunction("lower(GOOGLETRANSLATE(A150,""en"",""es""))"),"sociable")</f>
        <v>sociable</v>
      </c>
      <c r="H150" s="0" t="str">
        <f aca="false">A150&amp;"|"&amp;B150</f>
        <v>sociable|sociable</v>
      </c>
    </row>
    <row r="151" customFormat="false" ht="15.75" hidden="false" customHeight="false" outlineLevel="0" collapsed="false">
      <c r="A151" s="4" t="s">
        <v>330</v>
      </c>
      <c r="B151" s="5" t="s">
        <v>331</v>
      </c>
      <c r="C151" s="5" t="s">
        <v>328</v>
      </c>
      <c r="D151" s="6"/>
      <c r="E151" s="7" t="str">
        <f aca="false">IFERROR(__xludf.dummyfunction("lower(GOOGLETRANSLATE(B151,""es"",""en""))"),"prudent")</f>
        <v>prudent</v>
      </c>
      <c r="F151" s="7" t="str">
        <f aca="false">IFERROR(__xludf.dummyfunction("lower(GOOGLETRANSLATE(A151,""en"",""es""))"),"cauteloso")</f>
        <v>cauteloso</v>
      </c>
      <c r="H151" s="0" t="str">
        <f aca="false">A151&amp;"|"&amp;B151</f>
        <v>cautious|prudente</v>
      </c>
    </row>
    <row r="152" customFormat="false" ht="15.75" hidden="false" customHeight="false" outlineLevel="0" collapsed="false">
      <c r="A152" s="4" t="s">
        <v>332</v>
      </c>
      <c r="B152" s="5" t="s">
        <v>333</v>
      </c>
      <c r="C152" s="5" t="s">
        <v>328</v>
      </c>
      <c r="D152" s="6"/>
      <c r="E152" s="7" t="str">
        <f aca="false">IFERROR(__xludf.dummyfunction("lower(GOOGLETRANSLATE(B152,""es"",""en""))"),"friendly")</f>
        <v>friendly</v>
      </c>
      <c r="F152" s="7" t="str">
        <f aca="false">IFERROR(__xludf.dummyfunction("lower(GOOGLETRANSLATE(A152,""en"",""es""))"),"tipo")</f>
        <v>tipo</v>
      </c>
      <c r="H152" s="0" t="str">
        <f aca="false">A152&amp;"|"&amp;B152</f>
        <v>kind|amable</v>
      </c>
    </row>
    <row r="153" customFormat="false" ht="15.75" hidden="false" customHeight="false" outlineLevel="0" collapsed="false">
      <c r="A153" s="4" t="s">
        <v>334</v>
      </c>
      <c r="B153" s="5" t="s">
        <v>335</v>
      </c>
      <c r="C153" s="5" t="s">
        <v>328</v>
      </c>
      <c r="D153" s="6"/>
      <c r="E153" s="7" t="str">
        <f aca="false">IFERROR(__xludf.dummyfunction("lower(GOOGLETRANSLATE(B153,""es"",""en""))"),"athlete")</f>
        <v>athlete</v>
      </c>
      <c r="F153" s="7" t="str">
        <f aca="false">IFERROR(__xludf.dummyfunction("lower(GOOGLETRANSLATE(A153,""en"",""es""))"),"deportivo")</f>
        <v>deportivo</v>
      </c>
      <c r="H153" s="0" t="str">
        <f aca="false">A153&amp;"|"&amp;B153</f>
        <v>sporty|deportista</v>
      </c>
    </row>
    <row r="154" customFormat="false" ht="15.75" hidden="false" customHeight="false" outlineLevel="0" collapsed="false">
      <c r="A154" s="4" t="s">
        <v>336</v>
      </c>
      <c r="B154" s="5" t="s">
        <v>337</v>
      </c>
      <c r="C154" s="5" t="s">
        <v>215</v>
      </c>
      <c r="D154" s="6"/>
      <c r="E154" s="7" t="str">
        <f aca="false">IFERROR(__xludf.dummyfunction("lower(GOOGLETRANSLATE(B154,""es"",""en""))"),"she is a sportswoman")</f>
        <v>she is a sportswoman</v>
      </c>
      <c r="F154" s="7" t="str">
        <f aca="false">IFERROR(__xludf.dummyfunction("lower(GOOGLETRANSLATE(A154,""en"",""es""))"),"ella es deportivo")</f>
        <v>ella es deportivo</v>
      </c>
      <c r="H154" s="0" t="str">
        <f aca="false">A154&amp;"|"&amp;B154</f>
        <v>she is sporty|ella es deportista</v>
      </c>
    </row>
    <row r="155" customFormat="false" ht="15.75" hidden="false" customHeight="false" outlineLevel="0" collapsed="false">
      <c r="A155" s="4" t="s">
        <v>338</v>
      </c>
      <c r="B155" s="5" t="s">
        <v>339</v>
      </c>
      <c r="C155" s="5" t="s">
        <v>340</v>
      </c>
      <c r="D155" s="6"/>
      <c r="E155" s="7" t="str">
        <f aca="false">IFERROR(__xludf.dummyfunction("lower(GOOGLETRANSLATE(B155,""es"",""en""))"),"start")</f>
        <v>start</v>
      </c>
      <c r="F155" s="7" t="str">
        <f aca="false">IFERROR(__xludf.dummyfunction("lower(GOOGLETRANSLATE(A155,""en"",""es""))"),"para comenzar")</f>
        <v>para comenzar</v>
      </c>
      <c r="H155" s="0" t="str">
        <f aca="false">A155&amp;"|"&amp;B155</f>
        <v>to start|empezar</v>
      </c>
    </row>
    <row r="156" customFormat="false" ht="15.75" hidden="false" customHeight="false" outlineLevel="0" collapsed="false">
      <c r="A156" s="4" t="s">
        <v>341</v>
      </c>
      <c r="B156" s="5" t="s">
        <v>342</v>
      </c>
      <c r="C156" s="5" t="s">
        <v>343</v>
      </c>
      <c r="D156" s="6" t="s">
        <v>344</v>
      </c>
      <c r="E156" s="7" t="str">
        <f aca="false">IFERROR(__xludf.dummyfunction("lower(GOOGLETRANSLATE(B156,""es"",""en""))"),"(he starts")</f>
        <v>(he starts</v>
      </c>
      <c r="F156" s="7" t="str">
        <f aca="false">IFERROR(__xludf.dummyfunction("lower(GOOGLETRANSLATE(A156,""en"",""es""))"),"comienza")</f>
        <v>comienza</v>
      </c>
      <c r="H156" s="0" t="str">
        <f aca="false">A156&amp;"|"&amp;B156</f>
        <v>it starts|(el) empieza</v>
      </c>
    </row>
    <row r="157" customFormat="false" ht="15.75" hidden="false" customHeight="false" outlineLevel="0" collapsed="false">
      <c r="A157" s="4" t="s">
        <v>345</v>
      </c>
      <c r="B157" s="5" t="s">
        <v>346</v>
      </c>
      <c r="C157" s="5" t="s">
        <v>340</v>
      </c>
      <c r="D157" s="6"/>
      <c r="E157" s="7" t="str">
        <f aca="false">IFERROR(__xludf.dummyfunction("lower(GOOGLETRANSLATE(B157,""es"",""en""))"),"end up")</f>
        <v>end up</v>
      </c>
      <c r="F157" s="7" t="str">
        <f aca="false">IFERROR(__xludf.dummyfunction("lower(GOOGLETRANSLATE(A157,""en"",""es""))"),"para terminar")</f>
        <v>para terminar</v>
      </c>
      <c r="H157" s="0" t="str">
        <f aca="false">A157&amp;"|"&amp;B157</f>
        <v>to end|terminar</v>
      </c>
    </row>
    <row r="158" customFormat="false" ht="15.75" hidden="false" customHeight="false" outlineLevel="0" collapsed="false">
      <c r="A158" s="4" t="s">
        <v>347</v>
      </c>
      <c r="B158" s="5" t="s">
        <v>348</v>
      </c>
      <c r="C158" s="5" t="s">
        <v>343</v>
      </c>
      <c r="D158" s="6"/>
      <c r="E158" s="7" t="str">
        <f aca="false">IFERROR(__xludf.dummyfunction("lower(GOOGLETRANSLATE(B158,""es"",""en""))"),"ends")</f>
        <v>ends</v>
      </c>
      <c r="F158" s="7" t="str">
        <f aca="false">IFERROR(__xludf.dummyfunction("lower(GOOGLETRANSLATE(A158,""en"",""es""))"),"termina")</f>
        <v>termina</v>
      </c>
      <c r="H158" s="0" t="str">
        <f aca="false">A158&amp;"|"&amp;B158</f>
        <v>it ends|termina</v>
      </c>
    </row>
    <row r="159" customFormat="false" ht="15.75" hidden="false" customHeight="false" outlineLevel="0" collapsed="false">
      <c r="A159" s="4" t="s">
        <v>349</v>
      </c>
      <c r="B159" s="5" t="s">
        <v>350</v>
      </c>
      <c r="C159" s="5" t="s">
        <v>343</v>
      </c>
      <c r="D159" s="6"/>
      <c r="E159" s="7" t="str">
        <f aca="false">IFERROR(__xludf.dummyfunction("lower(GOOGLETRANSLATE(B159,""es"",""en""))"),"what time?")</f>
        <v>what time?</v>
      </c>
      <c r="F159" s="7" t="str">
        <f aca="false">IFERROR(__xludf.dummyfunction("lower(GOOGLETRANSLATE(A159,""en"",""es""))"),"¿a qué hora?")</f>
        <v>¿a qué hora?</v>
      </c>
      <c r="H159" s="0" t="str">
        <f aca="false">A159&amp;"|"&amp;B159</f>
        <v>at what time?|a qué hora?</v>
      </c>
    </row>
    <row r="160" customFormat="false" ht="15.75" hidden="false" customHeight="false" outlineLevel="0" collapsed="false">
      <c r="A160" s="4" t="s">
        <v>351</v>
      </c>
      <c r="B160" s="5" t="s">
        <v>352</v>
      </c>
      <c r="C160" s="5" t="s">
        <v>343</v>
      </c>
      <c r="D160" s="6"/>
      <c r="E160" s="7" t="str">
        <f aca="false">IFERROR(__xludf.dummyfunction("lower(GOOGLETRANSLATE(B160,""es"",""en""))"),"what time does it start?")</f>
        <v>what time does it start?</v>
      </c>
      <c r="F160" s="7" t="str">
        <f aca="false">IFERROR(__xludf.dummyfunction("lower(GOOGLETRANSLATE(A160,""en"",""es""))"),"a qué hora empieza?")</f>
        <v>a qué hora empieza?</v>
      </c>
      <c r="H160" s="0" t="str">
        <f aca="false">A160&amp;"|"&amp;B160</f>
        <v>at what time does it start?|a qué hora empieza?</v>
      </c>
    </row>
    <row r="161" customFormat="false" ht="15.75" hidden="false" customHeight="false" outlineLevel="0" collapsed="false">
      <c r="A161" s="4" t="s">
        <v>353</v>
      </c>
      <c r="B161" s="5" t="s">
        <v>354</v>
      </c>
      <c r="C161" s="5" t="s">
        <v>343</v>
      </c>
      <c r="D161" s="6"/>
      <c r="E161" s="7" t="str">
        <f aca="false">IFERROR(__xludf.dummyfunction("lower(GOOGLETRANSLATE(B161,""es"",""en""))"),"what time is it?")</f>
        <v>what time is it?</v>
      </c>
      <c r="F161" s="7" t="str">
        <f aca="false">IFERROR(__xludf.dummyfunction("lower(GOOGLETRANSLATE(A161,""en"",""es""))"),"¿que hora es?")</f>
        <v>¿que hora es?</v>
      </c>
      <c r="H161" s="0" t="str">
        <f aca="false">A161&amp;"|"&amp;B161</f>
        <v>what time is it?|qué hora es?</v>
      </c>
    </row>
    <row r="162" customFormat="false" ht="15.75" hidden="false" customHeight="false" outlineLevel="0" collapsed="false">
      <c r="A162" s="4" t="s">
        <v>355</v>
      </c>
      <c r="B162" s="5" t="s">
        <v>356</v>
      </c>
      <c r="C162" s="5" t="s">
        <v>343</v>
      </c>
      <c r="D162" s="6"/>
      <c r="E162" s="7" t="str">
        <f aca="false">IFERROR(__xludf.dummyfunction("lower(GOOGLETRANSLATE(B162,""es"",""en""))"),"it's one o'clock")</f>
        <v>it's one o'clock</v>
      </c>
      <c r="F162" s="7" t="str">
        <f aca="false">IFERROR(__xludf.dummyfunction("lower(GOOGLETRANSLATE(A162,""en"",""es""))"),"es uno")</f>
        <v>es uno</v>
      </c>
      <c r="H162" s="0" t="str">
        <f aca="false">A162&amp;"|"&amp;B162</f>
        <v>it's one|es la una</v>
      </c>
    </row>
    <row r="163" customFormat="false" ht="15.75" hidden="false" customHeight="false" outlineLevel="0" collapsed="false">
      <c r="A163" s="4" t="s">
        <v>357</v>
      </c>
      <c r="B163" s="5" t="s">
        <v>358</v>
      </c>
      <c r="C163" s="5" t="s">
        <v>343</v>
      </c>
      <c r="D163" s="6"/>
      <c r="E163" s="7" t="str">
        <f aca="false">IFERROR(__xludf.dummyfunction("lower(GOOGLETRANSLATE(B163,""es"",""en""))"),"it's two o'clock")</f>
        <v>it's two o'clock</v>
      </c>
      <c r="F163" s="7" t="str">
        <f aca="false">IFERROR(__xludf.dummyfunction("lower(GOOGLETRANSLATE(A163,""en"",""es""))"),"es dos")</f>
        <v>es dos</v>
      </c>
      <c r="H163" s="0" t="str">
        <f aca="false">A163&amp;"|"&amp;B163</f>
        <v>it's two|son las dos</v>
      </c>
    </row>
    <row r="164" customFormat="false" ht="15.75" hidden="false" customHeight="false" outlineLevel="0" collapsed="false">
      <c r="A164" s="4" t="s">
        <v>359</v>
      </c>
      <c r="B164" s="5" t="s">
        <v>360</v>
      </c>
      <c r="C164" s="5" t="s">
        <v>343</v>
      </c>
      <c r="D164" s="6"/>
      <c r="E164" s="7" t="str">
        <f aca="false">IFERROR(__xludf.dummyfunction("lower(GOOGLETRANSLATE(B164,""es"",""en""))"),"room")</f>
        <v>room</v>
      </c>
      <c r="F164" s="7" t="str">
        <f aca="false">IFERROR(__xludf.dummyfunction("lower(GOOGLETRANSLATE(A164,""en"",""es""))"),"cuarta parte (15 minutos)")</f>
        <v>cuarta parte (15 minutos)</v>
      </c>
      <c r="H164" s="0" t="str">
        <f aca="false">A164&amp;"|"&amp;B164</f>
        <v>quarter (15 mins)|cuarto</v>
      </c>
    </row>
    <row r="165" customFormat="false" ht="15.75" hidden="false" customHeight="false" outlineLevel="0" collapsed="false">
      <c r="A165" s="4" t="s">
        <v>361</v>
      </c>
      <c r="B165" s="5" t="s">
        <v>362</v>
      </c>
      <c r="C165" s="5" t="s">
        <v>343</v>
      </c>
      <c r="D165" s="6"/>
      <c r="E165" s="7" t="str">
        <f aca="false">IFERROR(__xludf.dummyfunction("lower(GOOGLETRANSLATE(B165,""es"",""en""))"),"half")</f>
        <v>half</v>
      </c>
      <c r="F165" s="7" t="str">
        <f aca="false">IFERROR(__xludf.dummyfunction("lower(GOOGLETRANSLATE(A165,""en"",""es""))"),"media hora (30 minutos)")</f>
        <v>media hora (30 minutos)</v>
      </c>
      <c r="H165" s="0" t="str">
        <f aca="false">A165&amp;"|"&amp;B165</f>
        <v>half hour (30 mins)|media</v>
      </c>
    </row>
    <row r="166" customFormat="false" ht="15.75" hidden="false" customHeight="false" outlineLevel="0" collapsed="false">
      <c r="A166" s="4" t="s">
        <v>363</v>
      </c>
      <c r="B166" s="5" t="s">
        <v>364</v>
      </c>
      <c r="C166" s="5" t="s">
        <v>343</v>
      </c>
      <c r="E166" s="7" t="str">
        <f aca="false">IFERROR(__xludf.dummyfunction("lower(GOOGLETRANSLATE(B166,""es"",""en""))"),"(on / off) morning")</f>
        <v>(on / off) morning</v>
      </c>
      <c r="F166" s="7" t="str">
        <f aca="false">IFERROR(__xludf.dummyfunction("lower(GOOGLETRANSLATE(A166,""en"",""es""))"),"por la mañana")</f>
        <v>por la mañana</v>
      </c>
      <c r="H166" s="0" t="str">
        <f aca="false">A166&amp;"|"&amp;B166</f>
        <v>in the morning|(en/de) la mañana</v>
      </c>
    </row>
    <row r="167" customFormat="false" ht="15.75" hidden="false" customHeight="false" outlineLevel="0" collapsed="false">
      <c r="A167" s="4" t="s">
        <v>365</v>
      </c>
      <c r="B167" s="5" t="s">
        <v>366</v>
      </c>
      <c r="C167" s="5" t="s">
        <v>343</v>
      </c>
      <c r="E167" s="7" t="str">
        <f aca="false">IFERROR(__xludf.dummyfunction("lower(GOOGLETRANSLATE(B167,""es"",""en""))"),"(on / off) afternoon")</f>
        <v>(on / off) afternoon</v>
      </c>
      <c r="F167" s="7" t="str">
        <f aca="false">IFERROR(__xludf.dummyfunction("lower(GOOGLETRANSLATE(A167,""en"",""es""))"),"por la tarde")</f>
        <v>por la tarde</v>
      </c>
      <c r="H167" s="0" t="str">
        <f aca="false">A167&amp;"|"&amp;B167</f>
        <v>in the afternoon|(en/de) la tarde</v>
      </c>
    </row>
    <row r="168" customFormat="false" ht="15.75" hidden="false" customHeight="false" outlineLevel="0" collapsed="false">
      <c r="A168" s="4" t="s">
        <v>367</v>
      </c>
      <c r="B168" s="5" t="s">
        <v>368</v>
      </c>
      <c r="C168" s="5" t="s">
        <v>343</v>
      </c>
      <c r="E168" s="7" t="str">
        <f aca="false">IFERROR(__xludf.dummyfunction("lower(GOOGLETRANSLATE(B168,""es"",""en""))"),"(on / off) overnight")</f>
        <v>(on / off) overnight</v>
      </c>
      <c r="F168" s="7" t="str">
        <f aca="false">IFERROR(__xludf.dummyfunction("lower(GOOGLETRANSLATE(A168,""en"",""es""))"),"por la tarde")</f>
        <v>por la tarde</v>
      </c>
      <c r="H168" s="0" t="str">
        <f aca="false">A168&amp;"|"&amp;B168</f>
        <v>in the evening|(en/de) la noche</v>
      </c>
    </row>
    <row r="169" customFormat="false" ht="15.75" hidden="false" customHeight="false" outlineLevel="0" collapsed="false">
      <c r="A169" s="4" t="s">
        <v>369</v>
      </c>
      <c r="B169" s="5" t="s">
        <v>370</v>
      </c>
      <c r="C169" s="5" t="s">
        <v>343</v>
      </c>
      <c r="D169" s="6"/>
      <c r="E169" s="7" t="str">
        <f aca="false">IFERROR(__xludf.dummyfunction("lower(GOOGLETRANSLATE(B169,""es"",""en""))"),"they are half past eleven at night")</f>
        <v>they are half past eleven at night</v>
      </c>
      <c r="F169" s="7" t="str">
        <f aca="false">IFERROR(__xludf.dummyfunction("lower(GOOGLETRANSLATE(A169,""en"",""es""))"),"es 11:30 de la tarde")</f>
        <v>es 11:30 de la tarde</v>
      </c>
      <c r="H169" s="0" t="str">
        <f aca="false">A169&amp;"|"&amp;B169</f>
        <v>it's 11:30 in the evening|son las once y media de la noche</v>
      </c>
    </row>
    <row r="170" customFormat="false" ht="15.75" hidden="false" customHeight="false" outlineLevel="0" collapsed="false">
      <c r="A170" s="4" t="s">
        <v>371</v>
      </c>
      <c r="B170" s="5" t="s">
        <v>372</v>
      </c>
      <c r="C170" s="5" t="s">
        <v>215</v>
      </c>
      <c r="D170" s="6"/>
      <c r="E170" s="7" t="str">
        <f aca="false">IFERROR(__xludf.dummyfunction("lower(GOOGLETRANSLATE(B170,""es"",""en""))"),"are nine four")</f>
        <v>are nine four</v>
      </c>
      <c r="F170" s="7" t="str">
        <f aca="false">IFERROR(__xludf.dummyfunction("lower(GOOGLETRANSLATE(A170,""en"",""es""))"),"es 09:15")</f>
        <v>es 09:15</v>
      </c>
      <c r="H170" s="0" t="str">
        <f aca="false">A170&amp;"|"&amp;B170</f>
        <v>it's 9:15|son las nueve y cuatro</v>
      </c>
    </row>
    <row r="171" customFormat="false" ht="15.75" hidden="false" customHeight="false" outlineLevel="0" collapsed="false">
      <c r="A171" s="4" t="s">
        <v>373</v>
      </c>
      <c r="B171" s="5" t="s">
        <v>374</v>
      </c>
      <c r="C171" s="5" t="s">
        <v>88</v>
      </c>
      <c r="D171" s="6"/>
      <c r="E171" s="7" t="str">
        <f aca="false">IFERROR(__xludf.dummyfunction("lower(GOOGLETRANSLATE(B171,""es"",""en""))"),"i am")</f>
        <v>i am</v>
      </c>
      <c r="F171" s="7" t="str">
        <f aca="false">IFERROR(__xludf.dummyfunction("lower(GOOGLETRANSLATE(A171,""en"",""es""))"),"i am (estado)")</f>
        <v>i am (estado)</v>
      </c>
      <c r="H171" s="0" t="str">
        <f aca="false">A171&amp;"|"&amp;B171</f>
        <v>i am (state)|yo estoy</v>
      </c>
    </row>
    <row r="172" customFormat="false" ht="15.75" hidden="false" customHeight="false" outlineLevel="0" collapsed="false">
      <c r="A172" s="4" t="s">
        <v>375</v>
      </c>
      <c r="B172" s="5" t="s">
        <v>376</v>
      </c>
      <c r="C172" s="5" t="s">
        <v>88</v>
      </c>
      <c r="D172" s="6"/>
      <c r="E172" s="7" t="str">
        <f aca="false">IFERROR(__xludf.dummyfunction("lower(GOOGLETRANSLATE(B172,""es"",""en""))"),"you're")</f>
        <v>you're</v>
      </c>
      <c r="F172" s="7" t="str">
        <f aca="false">IFERROR(__xludf.dummyfunction("lower(GOOGLETRANSLATE(A172,""en"",""es""))"),"usted es (singular, estado)")</f>
        <v>usted es (singular, estado)</v>
      </c>
      <c r="H172" s="0" t="str">
        <f aca="false">A172&amp;"|"&amp;B172</f>
        <v>you are (singular, state)|tú estás</v>
      </c>
    </row>
    <row r="173" customFormat="false" ht="15.75" hidden="false" customHeight="false" outlineLevel="0" collapsed="false">
      <c r="A173" s="4" t="s">
        <v>377</v>
      </c>
      <c r="B173" s="5" t="s">
        <v>378</v>
      </c>
      <c r="C173" s="5" t="s">
        <v>88</v>
      </c>
      <c r="D173" s="6"/>
      <c r="E173" s="7" t="str">
        <f aca="false">IFERROR(__xludf.dummyfunction("lower(GOOGLETRANSLATE(B173,""es"",""en""))"),"he is")</f>
        <v>he is</v>
      </c>
      <c r="F173" s="7" t="str">
        <f aca="false">IFERROR(__xludf.dummyfunction("lower(GOOGLETRANSLATE(A173,""en"",""es""))"),"él es (estado)")</f>
        <v>él es (estado)</v>
      </c>
      <c r="H173" s="0" t="str">
        <f aca="false">A173&amp;"|"&amp;B173</f>
        <v>he is (state)|el está</v>
      </c>
    </row>
    <row r="174" customFormat="false" ht="15.75" hidden="false" customHeight="false" outlineLevel="0" collapsed="false">
      <c r="A174" s="4" t="s">
        <v>379</v>
      </c>
      <c r="B174" s="5" t="s">
        <v>380</v>
      </c>
      <c r="C174" s="5" t="s">
        <v>88</v>
      </c>
      <c r="D174" s="6"/>
      <c r="E174" s="7" t="str">
        <f aca="false">IFERROR(__xludf.dummyfunction("lower(GOOGLETRANSLATE(B174,""es"",""en""))"),"she is")</f>
        <v>she is</v>
      </c>
      <c r="F174" s="7" t="str">
        <f aca="false">IFERROR(__xludf.dummyfunction("lower(GOOGLETRANSLATE(A174,""en"",""es""))"),"ella es (estado)")</f>
        <v>ella es (estado)</v>
      </c>
      <c r="H174" s="0" t="str">
        <f aca="false">A174&amp;"|"&amp;B174</f>
        <v>she is (state)|ella está</v>
      </c>
    </row>
    <row r="175" customFormat="false" ht="15.75" hidden="false" customHeight="false" outlineLevel="0" collapsed="false">
      <c r="A175" s="4" t="s">
        <v>381</v>
      </c>
      <c r="B175" s="5" t="s">
        <v>382</v>
      </c>
      <c r="C175" s="5" t="s">
        <v>383</v>
      </c>
      <c r="D175" s="6"/>
      <c r="E175" s="7" t="str">
        <f aca="false">IFERROR(__xludf.dummyfunction("lower(GOOGLETRANSLATE(B175,""es"",""en""))"),"music")</f>
        <v>music</v>
      </c>
      <c r="F175" s="7" t="str">
        <f aca="false">IFERROR(__xludf.dummyfunction("lower(GOOGLETRANSLATE(A175,""en"",""es""))"),"música")</f>
        <v>música</v>
      </c>
      <c r="H175" s="0" t="str">
        <f aca="false">A175&amp;"|"&amp;B175</f>
        <v>music|la música</v>
      </c>
    </row>
    <row r="176" customFormat="false" ht="15.75" hidden="false" customHeight="false" outlineLevel="0" collapsed="false">
      <c r="A176" s="4" t="s">
        <v>384</v>
      </c>
      <c r="B176" s="5" t="s">
        <v>385</v>
      </c>
      <c r="C176" s="5" t="s">
        <v>383</v>
      </c>
      <c r="D176" s="6"/>
      <c r="E176" s="7" t="str">
        <f aca="false">IFERROR(__xludf.dummyfunction("lower(GOOGLETRANSLATE(B176,""es"",""en""))"),"hard")</f>
        <v>hard</v>
      </c>
      <c r="F176" s="7" t="str">
        <f aca="false">IFERROR(__xludf.dummyfunction("lower(GOOGLETRANSLATE(A176,""en"",""es""))"),"difícil")</f>
        <v>difícil</v>
      </c>
      <c r="H176" s="0" t="str">
        <f aca="false">A176&amp;"|"&amp;B176</f>
        <v>difficult|dificil</v>
      </c>
    </row>
    <row r="177" customFormat="false" ht="15.75" hidden="false" customHeight="false" outlineLevel="0" collapsed="false">
      <c r="A177" s="4" t="s">
        <v>386</v>
      </c>
      <c r="B177" s="5" t="s">
        <v>387</v>
      </c>
      <c r="C177" s="5" t="s">
        <v>383</v>
      </c>
      <c r="D177" s="6"/>
      <c r="E177" s="7" t="str">
        <f aca="false">IFERROR(__xludf.dummyfunction("lower(GOOGLETRANSLATE(B177,""es"",""en""))"),"easy")</f>
        <v>easy</v>
      </c>
      <c r="F177" s="7" t="str">
        <f aca="false">IFERROR(__xludf.dummyfunction("lower(GOOGLETRANSLATE(A177,""en"",""es""))"),"fácil")</f>
        <v>fácil</v>
      </c>
      <c r="H177" s="0" t="str">
        <f aca="false">A177&amp;"|"&amp;B177</f>
        <v>easy|fácil</v>
      </c>
    </row>
    <row r="178" customFormat="false" ht="15.75" hidden="false" customHeight="false" outlineLevel="0" collapsed="false">
      <c r="A178" s="4" t="s">
        <v>388</v>
      </c>
      <c r="B178" s="5" t="s">
        <v>389</v>
      </c>
      <c r="C178" s="5"/>
      <c r="D178" s="6"/>
      <c r="E178" s="7" t="str">
        <f aca="false">IFERROR(__xludf.dummyfunction("lower(GOOGLETRANSLATE(B178,""es"",""en""))"),"me too")</f>
        <v>me too</v>
      </c>
      <c r="F178" s="7" t="str">
        <f aca="false">IFERROR(__xludf.dummyfunction("lower(GOOGLETRANSLATE(A178,""en"",""es""))"),"yo también")</f>
        <v>yo también</v>
      </c>
      <c r="H178" s="0" t="str">
        <f aca="false">A178&amp;"|"&amp;B178</f>
        <v>me too|yo igual</v>
      </c>
    </row>
    <row r="179" customFormat="false" ht="15.75" hidden="false" customHeight="false" outlineLevel="0" collapsed="false">
      <c r="A179" s="4" t="s">
        <v>390</v>
      </c>
      <c r="B179" s="5" t="s">
        <v>391</v>
      </c>
      <c r="C179" s="5" t="s">
        <v>126</v>
      </c>
      <c r="D179" s="6"/>
      <c r="E179" s="7" t="str">
        <f aca="false">IFERROR(__xludf.dummyfunction("lower(GOOGLETRANSLATE(B179,""es"",""en""))"),"today is friday")</f>
        <v>today is friday</v>
      </c>
      <c r="F179" s="7" t="str">
        <f aca="false">IFERROR(__xludf.dummyfunction("lower(GOOGLETRANSLATE(A179,""en"",""es""))"),"hoy es viernes")</f>
        <v>hoy es viernes</v>
      </c>
      <c r="H179" s="0" t="str">
        <f aca="false">A179&amp;"|"&amp;B179</f>
        <v>today is friday|hoy es viernes</v>
      </c>
    </row>
    <row r="180" customFormat="false" ht="15.75" hidden="false" customHeight="false" outlineLevel="0" collapsed="false">
      <c r="A180" s="4" t="s">
        <v>392</v>
      </c>
      <c r="B180" s="5" t="s">
        <v>393</v>
      </c>
      <c r="C180" s="5" t="s">
        <v>126</v>
      </c>
      <c r="D180" s="6"/>
      <c r="E180" s="7" t="str">
        <f aca="false">IFERROR(__xludf.dummyfunction("lower(GOOGLETRANSLATE(B180,""es"",""en""))"),"today is saturday")</f>
        <v>today is saturday</v>
      </c>
      <c r="F180" s="7" t="str">
        <f aca="false">IFERROR(__xludf.dummyfunction("lower(GOOGLETRANSLATE(A180,""en"",""es""))"),"hoy es sábado")</f>
        <v>hoy es sábado</v>
      </c>
      <c r="H180" s="0" t="str">
        <f aca="false">A180&amp;"|"&amp;B180</f>
        <v>today is saturday|hoy es sábado</v>
      </c>
    </row>
    <row r="181" customFormat="false" ht="15.75" hidden="false" customHeight="false" outlineLevel="0" collapsed="false">
      <c r="A181" s="4" t="s">
        <v>394</v>
      </c>
      <c r="B181" s="5" t="s">
        <v>395</v>
      </c>
      <c r="C181" s="5" t="s">
        <v>126</v>
      </c>
      <c r="D181" s="6"/>
      <c r="E181" s="7" t="str">
        <f aca="false">IFERROR(__xludf.dummyfunction("lower(GOOGLETRANSLATE(B181,""es"",""en""))"),"today it is sunday")</f>
        <v>today it is sunday</v>
      </c>
      <c r="F181" s="7" t="str">
        <f aca="false">IFERROR(__xludf.dummyfunction("lower(GOOGLETRANSLATE(A181,""en"",""es""))"),"hoy es domingo")</f>
        <v>hoy es domingo</v>
      </c>
      <c r="H181" s="0" t="str">
        <f aca="false">A181&amp;"|"&amp;B181</f>
        <v>today is sunday|hoy es domingo</v>
      </c>
    </row>
    <row r="182" customFormat="false" ht="15.75" hidden="false" customHeight="false" outlineLevel="0" collapsed="false">
      <c r="A182" s="4" t="s">
        <v>396</v>
      </c>
      <c r="B182" s="5" t="s">
        <v>397</v>
      </c>
      <c r="C182" s="5" t="s">
        <v>126</v>
      </c>
      <c r="D182" s="6"/>
      <c r="E182" s="7" t="str">
        <f aca="false">IFERROR(__xludf.dummyfunction("lower(GOOGLETRANSLATE(B182,""es"",""en""))"),"today is tuesday")</f>
        <v>today is tuesday</v>
      </c>
      <c r="F182" s="7" t="str">
        <f aca="false">IFERROR(__xludf.dummyfunction("lower(GOOGLETRANSLATE(A182,""en"",""es""))"),"hoy es martes")</f>
        <v>hoy es martes</v>
      </c>
      <c r="H182" s="0" t="str">
        <f aca="false">A182&amp;"|"&amp;B182</f>
        <v>today is tuesday|hoy es martes</v>
      </c>
    </row>
    <row r="183" customFormat="false" ht="15.75" hidden="false" customHeight="false" outlineLevel="0" collapsed="false">
      <c r="A183" s="4" t="s">
        <v>398</v>
      </c>
      <c r="B183" s="5" t="s">
        <v>399</v>
      </c>
      <c r="C183" s="5" t="s">
        <v>33</v>
      </c>
      <c r="D183" s="6"/>
      <c r="E183" s="7" t="str">
        <f aca="false">IFERROR(__xludf.dummyfunction("lower(GOOGLETRANSLATE(B183,""es"",""en""))"),"twenty one")</f>
        <v>twenty one</v>
      </c>
      <c r="F183" s="7" t="str">
        <f aca="false">IFERROR(__xludf.dummyfunction("lower(GOOGLETRANSLATE(A183,""en"",""es""))"),"veintiuno")</f>
        <v>veintiuno</v>
      </c>
      <c r="H183" s="0" t="str">
        <f aca="false">A183&amp;"|"&amp;B183</f>
        <v>twenty-one|veintiuno</v>
      </c>
    </row>
    <row r="184" customFormat="false" ht="15.75" hidden="false" customHeight="false" outlineLevel="0" collapsed="false">
      <c r="A184" s="4" t="s">
        <v>400</v>
      </c>
      <c r="B184" s="5" t="s">
        <v>401</v>
      </c>
      <c r="C184" s="5" t="s">
        <v>33</v>
      </c>
      <c r="D184" s="6"/>
      <c r="E184" s="7" t="str">
        <f aca="false">IFERROR(__xludf.dummyfunction("lower(GOOGLETRANSLATE(B184,""es"",""en""))"),"twenty two")</f>
        <v>twenty two</v>
      </c>
      <c r="F184" s="7" t="str">
        <f aca="false">IFERROR(__xludf.dummyfunction("lower(GOOGLETRANSLATE(A184,""en"",""es""))"),"veintidós")</f>
        <v>veintidós</v>
      </c>
      <c r="H184" s="0" t="str">
        <f aca="false">A184&amp;"|"&amp;B184</f>
        <v>twenty-two|veintidós</v>
      </c>
    </row>
    <row r="185" customFormat="false" ht="15.75" hidden="false" customHeight="false" outlineLevel="0" collapsed="false">
      <c r="A185" s="4" t="s">
        <v>402</v>
      </c>
      <c r="B185" s="5" t="s">
        <v>403</v>
      </c>
      <c r="C185" s="5" t="s">
        <v>33</v>
      </c>
      <c r="D185" s="6"/>
      <c r="E185" s="7" t="str">
        <f aca="false">IFERROR(__xludf.dummyfunction("lower(GOOGLETRANSLATE(B185,""es"",""en""))"),"twenty three")</f>
        <v>twenty three</v>
      </c>
      <c r="F185" s="7" t="str">
        <f aca="false">IFERROR(__xludf.dummyfunction("lower(GOOGLETRANSLATE(A185,""en"",""es""))"),"veintitres")</f>
        <v>veintitres</v>
      </c>
      <c r="H185" s="0" t="str">
        <f aca="false">A185&amp;"|"&amp;B185</f>
        <v>twenty-three|veintitrés</v>
      </c>
    </row>
    <row r="186" customFormat="false" ht="15.75" hidden="false" customHeight="false" outlineLevel="0" collapsed="false">
      <c r="A186" s="4" t="s">
        <v>404</v>
      </c>
      <c r="B186" s="5" t="s">
        <v>405</v>
      </c>
      <c r="C186" s="5" t="s">
        <v>33</v>
      </c>
      <c r="D186" s="6"/>
      <c r="E186" s="7" t="str">
        <f aca="false">IFERROR(__xludf.dummyfunction("lower(GOOGLETRANSLATE(B186,""es"",""en""))"),"twenty four")</f>
        <v>twenty four</v>
      </c>
      <c r="F186" s="7" t="str">
        <f aca="false">IFERROR(__xludf.dummyfunction("lower(GOOGLETRANSLATE(A186,""en"",""es""))"),"veinticuatro")</f>
        <v>veinticuatro</v>
      </c>
      <c r="H186" s="0" t="str">
        <f aca="false">A186&amp;"|"&amp;B186</f>
        <v>twenty-four|veinticuatro</v>
      </c>
    </row>
    <row r="187" customFormat="false" ht="15.75" hidden="false" customHeight="false" outlineLevel="0" collapsed="false">
      <c r="A187" s="4" t="s">
        <v>406</v>
      </c>
      <c r="B187" s="5" t="s">
        <v>407</v>
      </c>
      <c r="C187" s="5" t="s">
        <v>33</v>
      </c>
      <c r="D187" s="6"/>
      <c r="E187" s="7" t="str">
        <f aca="false">IFERROR(__xludf.dummyfunction("lower(GOOGLETRANSLATE(B187,""es"",""en""))"),"twenty-five")</f>
        <v>twenty-five</v>
      </c>
      <c r="F187" s="7" t="str">
        <f aca="false">IFERROR(__xludf.dummyfunction("lower(GOOGLETRANSLATE(A187,""en"",""es""))"),"veinticinco")</f>
        <v>veinticinco</v>
      </c>
      <c r="H187" s="0" t="str">
        <f aca="false">A187&amp;"|"&amp;B187</f>
        <v>twenty-five|veinticinco</v>
      </c>
    </row>
    <row r="188" customFormat="false" ht="15.75" hidden="false" customHeight="false" outlineLevel="0" collapsed="false">
      <c r="A188" s="4" t="s">
        <v>408</v>
      </c>
      <c r="B188" s="5" t="s">
        <v>409</v>
      </c>
      <c r="C188" s="5" t="s">
        <v>343</v>
      </c>
      <c r="D188" s="6"/>
      <c r="E188" s="7" t="str">
        <f aca="false">IFERROR(__xludf.dummyfunction("lower(GOOGLETRANSLATE(B188,""es"",""en""))"),"the time")</f>
        <v>the time</v>
      </c>
      <c r="F188" s="7" t="str">
        <f aca="false">IFERROR(__xludf.dummyfunction("lower(GOOGLETRANSLATE(A188,""en"",""es""))"),"tiempo (la hora)")</f>
        <v>tiempo (la hora)</v>
      </c>
      <c r="H188" s="0" t="str">
        <f aca="false">A188&amp;"|"&amp;B188</f>
        <v>time (the hour)|la hora</v>
      </c>
    </row>
    <row r="189" customFormat="false" ht="15.75" hidden="false" customHeight="false" outlineLevel="0" collapsed="false">
      <c r="A189" s="4" t="s">
        <v>410</v>
      </c>
      <c r="B189" s="5" t="s">
        <v>411</v>
      </c>
      <c r="C189" s="5" t="s">
        <v>88</v>
      </c>
      <c r="D189" s="6"/>
      <c r="E189" s="7" t="str">
        <f aca="false">IFERROR(__xludf.dummyfunction("lower(GOOGLETRANSLATE(B189,""es"",""en""))"),"we are")</f>
        <v>we are</v>
      </c>
      <c r="F189" s="7" t="str">
        <f aca="false">IFERROR(__xludf.dummyfunction("lower(GOOGLETRANSLATE(A189,""en"",""es""))"),"somos (estado)")</f>
        <v>somos (estado)</v>
      </c>
      <c r="H189" s="0" t="str">
        <f aca="false">A189&amp;"|"&amp;B189</f>
        <v>we are (state)|nosotros estamos</v>
      </c>
    </row>
    <row r="190" customFormat="false" ht="15.75" hidden="false" customHeight="false" outlineLevel="0" collapsed="false">
      <c r="A190" s="4" t="s">
        <v>412</v>
      </c>
      <c r="B190" s="5" t="s">
        <v>413</v>
      </c>
      <c r="C190" s="5" t="s">
        <v>88</v>
      </c>
      <c r="D190" s="6"/>
      <c r="E190" s="7" t="str">
        <f aca="false">IFERROR(__xludf.dummyfunction("lower(GOOGLETRANSLATE(B190,""es"",""en""))"),"you are")</f>
        <v>you are</v>
      </c>
      <c r="F190" s="7" t="str">
        <f aca="false">IFERROR(__xludf.dummyfunction("lower(GOOGLETRANSLATE(A190,""en"",""es""))"),"que son (en plural, estado)")</f>
        <v>que son (en plural, estado)</v>
      </c>
      <c r="H190" s="0" t="str">
        <f aca="false">A190&amp;"|"&amp;B190</f>
        <v>you are (plural, state)|vosotros estáis</v>
      </c>
    </row>
    <row r="191" customFormat="false" ht="15.75" hidden="false" customHeight="false" outlineLevel="0" collapsed="false">
      <c r="A191" s="4" t="s">
        <v>414</v>
      </c>
      <c r="B191" s="5" t="s">
        <v>415</v>
      </c>
      <c r="C191" s="5" t="s">
        <v>88</v>
      </c>
      <c r="D191" s="6"/>
      <c r="E191" s="7" t="str">
        <f aca="false">IFERROR(__xludf.dummyfunction("lower(GOOGLETRANSLATE(B191,""es"",""en""))"),"(they / them) are")</f>
        <v>(they / them) are</v>
      </c>
      <c r="F191" s="7" t="str">
        <f aca="false">IFERROR(__xludf.dummyfunction("lower(GOOGLETRANSLATE(A191,""en"",""es""))"),"que son (estado)")</f>
        <v>que son (estado)</v>
      </c>
      <c r="H191" s="0" t="str">
        <f aca="false">A191&amp;"|"&amp;B191</f>
        <v>they are (state)|(ellos/ellas) están</v>
      </c>
    </row>
    <row r="192" customFormat="false" ht="15.75" hidden="false" customHeight="false" outlineLevel="0" collapsed="false">
      <c r="A192" s="4" t="s">
        <v>416</v>
      </c>
      <c r="B192" s="5" t="s">
        <v>417</v>
      </c>
      <c r="C192" s="5" t="s">
        <v>192</v>
      </c>
      <c r="D192" s="6"/>
      <c r="E192" s="7" t="str">
        <f aca="false">IFERROR(__xludf.dummyfunction("lower(GOOGLETRANSLATE(B192,""es"",""en""))"),"being with friends")</f>
        <v>being with friends</v>
      </c>
      <c r="F192" s="7" t="str">
        <f aca="false">IFERROR(__xludf.dummyfunction("lower(GOOGLETRANSLATE(A192,""en"",""es""))"),"estar con amigos")</f>
        <v>estar con amigos</v>
      </c>
      <c r="H192" s="0" t="str">
        <f aca="false">A192&amp;"|"&amp;B192</f>
        <v>to be with friends|estar con amigos</v>
      </c>
    </row>
    <row r="193" customFormat="false" ht="15.75" hidden="false" customHeight="false" outlineLevel="0" collapsed="false">
      <c r="A193" s="4" t="s">
        <v>418</v>
      </c>
      <c r="B193" s="5" t="s">
        <v>419</v>
      </c>
      <c r="C193" s="5" t="s">
        <v>185</v>
      </c>
      <c r="D193" s="6"/>
      <c r="E193" s="7" t="str">
        <f aca="false">IFERROR(__xludf.dummyfunction("lower(GOOGLETRANSLATE(B193,""es"",""en""))"),"to write")</f>
        <v>to write</v>
      </c>
      <c r="F193" s="7" t="str">
        <f aca="false">IFERROR(__xludf.dummyfunction("lower(GOOGLETRANSLATE(A193,""en"",""es""))"),"escribir")</f>
        <v>escribir</v>
      </c>
      <c r="H193" s="0" t="str">
        <f aca="false">A193&amp;"|"&amp;B193</f>
        <v>to write|escribir</v>
      </c>
    </row>
    <row r="194" customFormat="false" ht="15.75" hidden="false" customHeight="false" outlineLevel="0" collapsed="false">
      <c r="A194" s="4" t="s">
        <v>420</v>
      </c>
      <c r="B194" s="5" t="s">
        <v>421</v>
      </c>
      <c r="C194" s="5" t="s">
        <v>192</v>
      </c>
      <c r="D194" s="6"/>
      <c r="E194" s="7" t="str">
        <f aca="false">IFERROR(__xludf.dummyfunction("lower(GOOGLETRANSLATE(B194,""es"",""en""))"),"help at home")</f>
        <v>help at home</v>
      </c>
      <c r="F194" s="7" t="str">
        <f aca="false">IFERROR(__xludf.dummyfunction("lower(GOOGLETRANSLATE(A194,""en"",""es""))"),"que ayuda en la casa")</f>
        <v>que ayuda en la casa</v>
      </c>
      <c r="H194" s="0" t="str">
        <f aca="false">A194&amp;"|"&amp;B194</f>
        <v>to help around the house|ayudar en casa</v>
      </c>
    </row>
    <row r="195" customFormat="false" ht="15.75" hidden="false" customHeight="false" outlineLevel="0" collapsed="false">
      <c r="A195" s="4" t="s">
        <v>422</v>
      </c>
      <c r="B195" s="5" t="s">
        <v>423</v>
      </c>
      <c r="C195" s="5" t="s">
        <v>192</v>
      </c>
      <c r="D195" s="6"/>
      <c r="E195" s="7" t="str">
        <f aca="false">IFERROR(__xludf.dummyfunction("lower(GOOGLETRANSLATE(B195,""es"",""en""))"),"practice sports")</f>
        <v>practice sports</v>
      </c>
      <c r="F195" s="7" t="str">
        <f aca="false">IFERROR(__xludf.dummyfunction("lower(GOOGLETRANSLATE(A195,""en"",""es""))"),"practicar deportes")</f>
        <v>practicar deportes</v>
      </c>
      <c r="H195" s="0" t="str">
        <f aca="false">A195&amp;"|"&amp;B195</f>
        <v>to play sports|practicar deportes</v>
      </c>
    </row>
    <row r="196" customFormat="false" ht="15.75" hidden="false" customHeight="false" outlineLevel="0" collapsed="false">
      <c r="A196" s="4" t="s">
        <v>424</v>
      </c>
      <c r="B196" s="5" t="s">
        <v>425</v>
      </c>
      <c r="C196" s="5" t="s">
        <v>192</v>
      </c>
      <c r="D196" s="6"/>
      <c r="E196" s="7" t="str">
        <f aca="false">IFERROR(__xludf.dummyfunction("lower(GOOGLETRANSLATE(B196,""es"",""en""))"),"watch tv")</f>
        <v>watch tv</v>
      </c>
      <c r="F196" s="7" t="str">
        <f aca="false">IFERROR(__xludf.dummyfunction("lower(GOOGLETRANSLATE(A196,""en"",""es""))"),"mirar la tele")</f>
        <v>mirar la tele</v>
      </c>
      <c r="H196" s="0" t="str">
        <f aca="false">A196&amp;"|"&amp;B196</f>
        <v>to watch tv|ver la televisión</v>
      </c>
    </row>
    <row r="197" customFormat="false" ht="15.75" hidden="false" customHeight="false" outlineLevel="0" collapsed="false">
      <c r="A197" s="4" t="s">
        <v>426</v>
      </c>
      <c r="B197" s="5" t="s">
        <v>427</v>
      </c>
      <c r="C197" s="5" t="s">
        <v>298</v>
      </c>
      <c r="D197" s="6"/>
      <c r="E197" s="7" t="str">
        <f aca="false">IFERROR(__xludf.dummyfunction("lower(GOOGLETRANSLATE(B197,""es"",""en""))"),"we like")</f>
        <v>we like</v>
      </c>
      <c r="F197" s="7" t="str">
        <f aca="false">IFERROR(__xludf.dummyfunction("lower(GOOGLETRANSLATE(A197,""en"",""es""))"),"nos gusta (objeto singular)")</f>
        <v>nos gusta (objeto singular)</v>
      </c>
      <c r="H197" s="0" t="str">
        <f aca="false">A197&amp;"|"&amp;B197</f>
        <v>we like (singular object)|nos gusta</v>
      </c>
    </row>
    <row r="198" customFormat="false" ht="15.75" hidden="false" customHeight="false" outlineLevel="0" collapsed="false">
      <c r="A198" s="4" t="s">
        <v>428</v>
      </c>
      <c r="B198" s="5" t="s">
        <v>429</v>
      </c>
      <c r="C198" s="5" t="s">
        <v>298</v>
      </c>
      <c r="D198" s="6"/>
      <c r="E198" s="7" t="str">
        <f aca="false">IFERROR(__xludf.dummyfunction("lower(GOOGLETRANSLATE(B198,""es"",""en""))"),"you like")</f>
        <v>you like</v>
      </c>
      <c r="F198" s="7" t="str">
        <f aca="false">IFERROR(__xludf.dummyfunction("lower(GOOGLETRANSLATE(A198,""en"",""es""))"),"te gusta (en plural, objeto singular)")</f>
        <v>te gusta (en plural, objeto singular)</v>
      </c>
      <c r="H198" s="0" t="str">
        <f aca="false">A198&amp;"|"&amp;B198</f>
        <v>you like (plural, singular object)|os gusta</v>
      </c>
    </row>
    <row r="199" customFormat="false" ht="15.75" hidden="false" customHeight="false" outlineLevel="0" collapsed="false">
      <c r="A199" s="4" t="s">
        <v>430</v>
      </c>
      <c r="B199" s="5" t="s">
        <v>431</v>
      </c>
      <c r="C199" s="5" t="s">
        <v>298</v>
      </c>
      <c r="D199" s="6"/>
      <c r="E199" s="7" t="str">
        <f aca="false">IFERROR(__xludf.dummyfunction("lower(GOOGLETRANSLATE(B199,""es"",""en""))"),"they like")</f>
        <v>they like</v>
      </c>
      <c r="F199" s="7" t="str">
        <f aca="false">IFERROR(__xludf.dummyfunction("lower(GOOGLETRANSLATE(A199,""en"",""es""))"),"que les gusta (objeto singular)")</f>
        <v>que les gusta (objeto singular)</v>
      </c>
      <c r="H199" s="0" t="str">
        <f aca="false">A199&amp;"|"&amp;B199</f>
        <v>they like (singular object)|les gusta</v>
      </c>
    </row>
    <row r="200" customFormat="false" ht="15.75" hidden="false" customHeight="false" outlineLevel="0" collapsed="false">
      <c r="A200" s="4" t="s">
        <v>432</v>
      </c>
      <c r="B200" s="5" t="s">
        <v>433</v>
      </c>
      <c r="C200" s="5" t="s">
        <v>215</v>
      </c>
      <c r="D200" s="5" t="s">
        <v>434</v>
      </c>
      <c r="E200" s="7" t="str">
        <f aca="false">IFERROR(__xludf.dummyfunction("lower(GOOGLETRANSLATE(B200,""es"",""en""))"),"(you are?")</f>
        <v>(you are?</v>
      </c>
      <c r="F200" s="7" t="str">
        <f aca="false">IFERROR(__xludf.dummyfunction("lower(GOOGLETRANSLATE(A200,""en"",""es""))"),"¿es usted? (familiar, estado)")</f>
        <v>¿es usted? (familiar, estado)</v>
      </c>
      <c r="H200" s="0" t="str">
        <f aca="false">A200&amp;"|"&amp;B200</f>
        <v>are you? (familiar, state)|(tú) eres?</v>
      </c>
    </row>
    <row r="201" customFormat="false" ht="15.75" hidden="false" customHeight="false" outlineLevel="0" collapsed="false">
      <c r="A201" s="4" t="s">
        <v>435</v>
      </c>
      <c r="B201" s="5" t="s">
        <v>436</v>
      </c>
      <c r="C201" s="5" t="s">
        <v>215</v>
      </c>
      <c r="D201" s="6"/>
      <c r="E201" s="7" t="str">
        <f aca="false">IFERROR(__xludf.dummyfunction("lower(GOOGLETRANSLATE(B201,""es"",""en""))"),"what are you like?")</f>
        <v>what are you like?</v>
      </c>
      <c r="F201" s="7" t="str">
        <f aca="false">IFERROR(__xludf.dummyfunction("lower(GOOGLETRANSLATE(A201,""en"",""es""))"),"¿como eres? (familiar)")</f>
        <v>¿como eres? (familiar)</v>
      </c>
      <c r="H201" s="0" t="str">
        <f aca="false">A201&amp;"|"&amp;B201</f>
        <v>what are you like? (familiar)|cómo eres?</v>
      </c>
    </row>
    <row r="202" customFormat="false" ht="15.75" hidden="false" customHeight="false" outlineLevel="0" collapsed="false">
      <c r="A202" s="4" t="s">
        <v>437</v>
      </c>
      <c r="B202" s="5" t="s">
        <v>438</v>
      </c>
      <c r="C202" s="5" t="s">
        <v>343</v>
      </c>
      <c r="D202" s="6"/>
      <c r="E202" s="7" t="str">
        <f aca="false">IFERROR(__xludf.dummyfunction("lower(GOOGLETRANSLATE(B202,""es"",""en""))"),"at what time does it finish?")</f>
        <v>at what time does it finish?</v>
      </c>
      <c r="F202" s="7" t="str">
        <f aca="false">IFERROR(__xludf.dummyfunction("lower(GOOGLETRANSLATE(A202,""en"",""es""))"),"¿a qué hora se termina?")</f>
        <v>¿a qué hora se termina?</v>
      </c>
      <c r="H202" s="0" t="str">
        <f aca="false">A202&amp;"|"&amp;B202</f>
        <v>at what time does it finish?|a qué hora termina?</v>
      </c>
    </row>
    <row r="203" customFormat="false" ht="15.75" hidden="false" customHeight="false" outlineLevel="0" collapsed="false">
      <c r="A203" s="4" t="s">
        <v>439</v>
      </c>
      <c r="B203" s="5" t="s">
        <v>440</v>
      </c>
      <c r="C203" s="5" t="s">
        <v>343</v>
      </c>
      <c r="D203" s="6"/>
      <c r="E203" s="7" t="str">
        <f aca="false">IFERROR(__xludf.dummyfunction("lower(GOOGLETRANSLATE(B203,""es"",""en""))"),"(el) ends at one")</f>
        <v>(el) ends at one</v>
      </c>
      <c r="F203" s="7" t="str">
        <f aca="false">IFERROR(__xludf.dummyfunction("lower(GOOGLETRANSLATE(A203,""en"",""es""))"),"que termina en uno")</f>
        <v>que termina en uno</v>
      </c>
      <c r="H203" s="0" t="str">
        <f aca="false">A203&amp;"|"&amp;B203</f>
        <v>it ends at one|(el) termina a la una</v>
      </c>
    </row>
    <row r="204" customFormat="false" ht="15.75" hidden="false" customHeight="false" outlineLevel="0" collapsed="false">
      <c r="A204" s="4" t="s">
        <v>441</v>
      </c>
      <c r="B204" s="5" t="s">
        <v>442</v>
      </c>
      <c r="C204" s="5" t="s">
        <v>343</v>
      </c>
      <c r="D204" s="6"/>
      <c r="E204" s="7" t="str">
        <f aca="false">IFERROR(__xludf.dummyfunction("lower(GOOGLETRANSLATE(B204,""es"",""en""))"),"(el) ends at the two")</f>
        <v>(el) ends at the two</v>
      </c>
      <c r="F204" s="7" t="str">
        <f aca="false">IFERROR(__xludf.dummyfunction("lower(GOOGLETRANSLATE(A204,""en"",""es""))"),"que termina en dos")</f>
        <v>que termina en dos</v>
      </c>
      <c r="H204" s="0" t="str">
        <f aca="false">A204&amp;"|"&amp;B204</f>
        <v>it ends at two|(el) termina a las dos</v>
      </c>
    </row>
    <row r="205" customFormat="false" ht="15.75" hidden="false" customHeight="false" outlineLevel="0" collapsed="false">
      <c r="A205" s="4" t="s">
        <v>443</v>
      </c>
      <c r="B205" s="5" t="s">
        <v>444</v>
      </c>
      <c r="C205" s="5" t="s">
        <v>343</v>
      </c>
      <c r="D205" s="6"/>
      <c r="E205" s="7" t="str">
        <f aca="false">IFERROR(__xludf.dummyfunction("lower(GOOGLETRANSLATE(B205,""es"",""en""))"),"noon")</f>
        <v>noon</v>
      </c>
      <c r="F205" s="7" t="str">
        <f aca="false">IFERROR(__xludf.dummyfunction("lower(GOOGLETRANSLATE(A205,""en"",""es""))"),"mediodía")</f>
        <v>mediodía</v>
      </c>
      <c r="H205" s="0" t="str">
        <f aca="false">A205&amp;"|"&amp;B205</f>
        <v>midday|mediodía</v>
      </c>
    </row>
    <row r="206" customFormat="false" ht="15.75" hidden="false" customHeight="false" outlineLevel="0" collapsed="false">
      <c r="A206" s="4" t="s">
        <v>445</v>
      </c>
      <c r="B206" s="5" t="s">
        <v>446</v>
      </c>
      <c r="C206" s="5" t="s">
        <v>343</v>
      </c>
      <c r="D206" s="6"/>
      <c r="E206" s="7" t="str">
        <f aca="false">IFERROR(__xludf.dummyfunction("lower(GOOGLETRANSLATE(B206,""es"",""en""))"),"midnight")</f>
        <v>midnight</v>
      </c>
      <c r="F206" s="7" t="str">
        <f aca="false">IFERROR(__xludf.dummyfunction("lower(GOOGLETRANSLATE(A206,""en"",""es""))"),"en medio de la noche")</f>
        <v>en medio de la noche</v>
      </c>
      <c r="H206" s="0" t="str">
        <f aca="false">A206&amp;"|"&amp;B206</f>
        <v>in the middle of the night|medianoche</v>
      </c>
    </row>
    <row r="207" customFormat="false" ht="15.75" hidden="false" customHeight="false" outlineLevel="0" collapsed="false">
      <c r="A207" s="4" t="s">
        <v>447</v>
      </c>
      <c r="B207" s="5" t="s">
        <v>448</v>
      </c>
      <c r="C207" s="5" t="s">
        <v>449</v>
      </c>
      <c r="D207" s="6"/>
      <c r="E207" s="7" t="str">
        <f aca="false">IFERROR(__xludf.dummyfunction("lower(GOOGLETRANSLATE(B207,""es"",""en""))"),"computer")</f>
        <v>computer</v>
      </c>
      <c r="F207" s="7" t="str">
        <f aca="false">IFERROR(__xludf.dummyfunction("lower(GOOGLETRANSLATE(A207,""en"",""es""))"),"el ordenador")</f>
        <v>el ordenador</v>
      </c>
      <c r="H207" s="0" t="str">
        <f aca="false">A207&amp;"|"&amp;B207</f>
        <v>the computer|la computadora</v>
      </c>
    </row>
    <row r="208" customFormat="false" ht="15.75" hidden="false" customHeight="false" outlineLevel="0" collapsed="false">
      <c r="A208" s="4" t="s">
        <v>450</v>
      </c>
      <c r="B208" s="5" t="s">
        <v>451</v>
      </c>
      <c r="C208" s="5" t="s">
        <v>449</v>
      </c>
      <c r="D208" s="6"/>
      <c r="E208" s="7" t="str">
        <f aca="false">IFERROR(__xludf.dummyfunction("lower(GOOGLETRANSLATE(B208,""es"",""en""))"),"the calendar")</f>
        <v>the calendar</v>
      </c>
      <c r="F208" s="7" t="str">
        <f aca="false">IFERROR(__xludf.dummyfunction("lower(GOOGLETRANSLATE(A208,""en"",""es""))"),"el calendario")</f>
        <v>el calendario</v>
      </c>
      <c r="H208" s="0" t="str">
        <f aca="false">A208&amp;"|"&amp;B208</f>
        <v>the calendar|el calendario</v>
      </c>
    </row>
    <row r="209" customFormat="false" ht="15.75" hidden="false" customHeight="false" outlineLevel="0" collapsed="false">
      <c r="A209" s="4" t="s">
        <v>452</v>
      </c>
      <c r="B209" s="5" t="s">
        <v>453</v>
      </c>
      <c r="C209" s="5" t="s">
        <v>449</v>
      </c>
      <c r="D209" s="6"/>
      <c r="E209" s="7" t="str">
        <f aca="false">IFERROR(__xludf.dummyfunction("lower(GOOGLETRANSLATE(B209,""es"",""en""))"),"the pencil")</f>
        <v>the pencil</v>
      </c>
      <c r="F209" s="7" t="str">
        <f aca="false">IFERROR(__xludf.dummyfunction("lower(GOOGLETRANSLATE(A209,""en"",""es""))"),"el lápiz")</f>
        <v>el lápiz</v>
      </c>
      <c r="H209" s="0" t="str">
        <f aca="false">A209&amp;"|"&amp;B209</f>
        <v>the pencil|el lápiz</v>
      </c>
    </row>
    <row r="210" customFormat="false" ht="15.75" hidden="false" customHeight="false" outlineLevel="0" collapsed="false">
      <c r="A210" s="4" t="s">
        <v>454</v>
      </c>
      <c r="B210" s="5" t="s">
        <v>455</v>
      </c>
      <c r="C210" s="5" t="s">
        <v>456</v>
      </c>
      <c r="D210" s="6"/>
      <c r="E210" s="7" t="str">
        <f aca="false">IFERROR(__xludf.dummyfunction("lower(GOOGLETRANSLATE(B210,""es"",""en""))"),"the pencils")</f>
        <v>the pencils</v>
      </c>
      <c r="F210" s="7" t="str">
        <f aca="false">IFERROR(__xludf.dummyfunction("lower(GOOGLETRANSLATE(A210,""en"",""es""))"),"los lápices")</f>
        <v>los lápices</v>
      </c>
      <c r="H210" s="0" t="str">
        <f aca="false">A210&amp;"|"&amp;B210</f>
        <v>the pencils|los lápices</v>
      </c>
    </row>
    <row r="211" customFormat="false" ht="15.75" hidden="false" customHeight="false" outlineLevel="0" collapsed="false">
      <c r="A211" s="4" t="s">
        <v>457</v>
      </c>
      <c r="B211" s="5" t="s">
        <v>458</v>
      </c>
      <c r="C211" s="5" t="s">
        <v>449</v>
      </c>
      <c r="D211" s="6"/>
      <c r="E211" s="7" t="str">
        <f aca="false">IFERROR(__xludf.dummyfunction("lower(GOOGLETRANSLATE(B211,""es"",""en""))"),"the desk")</f>
        <v>the desk</v>
      </c>
      <c r="F211" s="7" t="str">
        <f aca="false">IFERROR(__xludf.dummyfunction("lower(GOOGLETRANSLATE(A211,""en"",""es""))"),"el escritorio")</f>
        <v>el escritorio</v>
      </c>
      <c r="H211" s="0" t="str">
        <f aca="false">A211&amp;"|"&amp;B211</f>
        <v>the desk|el escritorio</v>
      </c>
    </row>
    <row r="212" customFormat="false" ht="15.75" hidden="false" customHeight="false" outlineLevel="0" collapsed="false">
      <c r="A212" s="4" t="s">
        <v>459</v>
      </c>
      <c r="B212" s="5" t="s">
        <v>460</v>
      </c>
      <c r="C212" s="5" t="s">
        <v>461</v>
      </c>
      <c r="D212" s="6"/>
      <c r="E212" s="7" t="str">
        <f aca="false">IFERROR(__xludf.dummyfunction("lower(GOOGLETRANSLATE(B212,""es"",""en""))"),"teach")</f>
        <v>teach</v>
      </c>
      <c r="F212" s="7" t="str">
        <f aca="false">IFERROR(__xludf.dummyfunction("lower(GOOGLETRANSLATE(A212,""en"",""es""))"),"enseñar")</f>
        <v>enseñar</v>
      </c>
      <c r="H212" s="0" t="str">
        <f aca="false">A212&amp;"|"&amp;B212</f>
        <v>to teach|enseñar</v>
      </c>
    </row>
    <row r="213" customFormat="false" ht="15.75" hidden="false" customHeight="false" outlineLevel="0" collapsed="false">
      <c r="A213" s="4" t="s">
        <v>462</v>
      </c>
      <c r="B213" s="5" t="s">
        <v>463</v>
      </c>
      <c r="C213" s="5" t="s">
        <v>383</v>
      </c>
      <c r="D213" s="6"/>
      <c r="E213" s="7" t="str">
        <f aca="false">IFERROR(__xludf.dummyfunction("lower(GOOGLETRANSLATE(B213,""es"",""en""))"),"homework")</f>
        <v>homework</v>
      </c>
      <c r="F213" s="7" t="str">
        <f aca="false">IFERROR(__xludf.dummyfunction("lower(GOOGLETRANSLATE(A213,""en"",""es""))"),"deberes")</f>
        <v>deberes</v>
      </c>
      <c r="H213" s="0" t="str">
        <f aca="false">A213&amp;"|"&amp;B213</f>
        <v>homework|la tarea</v>
      </c>
    </row>
    <row r="214" customFormat="false" ht="15.75" hidden="false" customHeight="false" outlineLevel="0" collapsed="false">
      <c r="A214" s="4" t="s">
        <v>464</v>
      </c>
      <c r="B214" s="5" t="s">
        <v>465</v>
      </c>
      <c r="C214" s="5" t="s">
        <v>466</v>
      </c>
      <c r="D214" s="6"/>
      <c r="E214" s="7" t="str">
        <f aca="false">IFERROR(__xludf.dummyfunction("lower(GOOGLETRANSLATE(B214,""es"",""en""))"),"the semester")</f>
        <v>the semester</v>
      </c>
      <c r="F214" s="7" t="str">
        <f aca="false">IFERROR(__xludf.dummyfunction("lower(GOOGLETRANSLATE(A214,""en"",""es""))"),"el semestre")</f>
        <v>el semestre</v>
      </c>
      <c r="H214" s="0" t="str">
        <f aca="false">A214&amp;"|"&amp;B214</f>
        <v>the semester|el semestre</v>
      </c>
    </row>
    <row r="215" customFormat="false" ht="15.75" hidden="false" customHeight="false" outlineLevel="0" collapsed="false">
      <c r="A215" s="4" t="s">
        <v>467</v>
      </c>
      <c r="B215" s="5" t="s">
        <v>468</v>
      </c>
      <c r="C215" s="5" t="s">
        <v>466</v>
      </c>
      <c r="D215" s="6"/>
      <c r="E215" s="7" t="str">
        <f aca="false">IFERROR(__xludf.dummyfunction("lower(GOOGLETRANSLATE(B215,""es"",""en""))"),"the first semester")</f>
        <v>the first semester</v>
      </c>
      <c r="F215" s="7" t="str">
        <f aca="false">IFERROR(__xludf.dummyfunction("lower(GOOGLETRANSLATE(A215,""en"",""es""))"),"el primer semestre")</f>
        <v>el primer semestre</v>
      </c>
      <c r="H215" s="0" t="str">
        <f aca="false">A215&amp;"|"&amp;B215</f>
        <v>the first semester|el primer semestre</v>
      </c>
    </row>
    <row r="216" customFormat="false" ht="15.75" hidden="false" customHeight="false" outlineLevel="0" collapsed="false">
      <c r="A216" s="4" t="s">
        <v>469</v>
      </c>
      <c r="B216" s="5" t="s">
        <v>470</v>
      </c>
      <c r="C216" s="5" t="s">
        <v>466</v>
      </c>
      <c r="D216" s="6"/>
      <c r="E216" s="7" t="str">
        <f aca="false">IFERROR(__xludf.dummyfunction("lower(GOOGLETRANSLATE(B216,""es"",""en""))"),"the second semester")</f>
        <v>the second semester</v>
      </c>
      <c r="F216" s="7" t="str">
        <f aca="false">IFERROR(__xludf.dummyfunction("lower(GOOGLETRANSLATE(A216,""en"",""es""))"),"el segundo semestre")</f>
        <v>el segundo semestre</v>
      </c>
      <c r="H216" s="0" t="str">
        <f aca="false">A216&amp;"|"&amp;B216</f>
        <v>the second semester|el segundo semestre</v>
      </c>
    </row>
    <row r="217" customFormat="false" ht="15.75" hidden="false" customHeight="false" outlineLevel="0" collapsed="false">
      <c r="A217" s="4" t="s">
        <v>471</v>
      </c>
      <c r="B217" s="5" t="s">
        <v>472</v>
      </c>
      <c r="C217" s="5" t="s">
        <v>466</v>
      </c>
      <c r="D217" s="6"/>
      <c r="E217" s="7" t="str">
        <f aca="false">IFERROR(__xludf.dummyfunction("lower(GOOGLETRANSLATE(B217,""es"",""en""))"),"the first week")</f>
        <v>the first week</v>
      </c>
      <c r="F217" s="7" t="str">
        <f aca="false">IFERROR(__xludf.dummyfunction("lower(GOOGLETRANSLATE(A217,""en"",""es""))"),"la primera semana")</f>
        <v>la primera semana</v>
      </c>
      <c r="H217" s="0" t="str">
        <f aca="false">A217&amp;"|"&amp;B217</f>
        <v>the first week|la primera semana</v>
      </c>
    </row>
    <row r="218" customFormat="false" ht="15.75" hidden="false" customHeight="false" outlineLevel="0" collapsed="false">
      <c r="A218" s="4" t="s">
        <v>473</v>
      </c>
      <c r="B218" s="5" t="s">
        <v>474</v>
      </c>
      <c r="C218" s="5" t="s">
        <v>185</v>
      </c>
      <c r="D218" s="6"/>
      <c r="E218" s="7" t="str">
        <f aca="false">IFERROR(__xludf.dummyfunction("lower(GOOGLETRANSLATE(B218,""es"",""en""))"),"to draw")</f>
        <v>to draw</v>
      </c>
      <c r="F218" s="7" t="str">
        <f aca="false">IFERROR(__xludf.dummyfunction("lower(GOOGLETRANSLATE(A218,""en"",""es""))"),"dibujar")</f>
        <v>dibujar</v>
      </c>
      <c r="H218" s="0" t="str">
        <f aca="false">A218&amp;"|"&amp;B218</f>
        <v>to draw|dibujar</v>
      </c>
    </row>
    <row r="219" customFormat="false" ht="15.75" hidden="false" customHeight="false" outlineLevel="0" collapsed="false">
      <c r="A219" s="4" t="s">
        <v>475</v>
      </c>
      <c r="B219" s="5" t="s">
        <v>476</v>
      </c>
      <c r="C219" s="5" t="s">
        <v>192</v>
      </c>
      <c r="D219" s="6"/>
      <c r="E219" s="7" t="str">
        <f aca="false">IFERROR(__xludf.dummyfunction("lower(GOOGLETRANSLATE(B219,""es"",""en""))"),"go to school")</f>
        <v>go to school</v>
      </c>
      <c r="F219" s="7" t="str">
        <f aca="false">IFERROR(__xludf.dummyfunction("lower(GOOGLETRANSLATE(A219,""en"",""es""))"),"ir a la escuela")</f>
        <v>ir a la escuela</v>
      </c>
      <c r="H219" s="0" t="str">
        <f aca="false">A219&amp;"|"&amp;B219</f>
        <v>to go to school|ir a la escuela</v>
      </c>
    </row>
    <row r="220" customFormat="false" ht="15.75" hidden="false" customHeight="false" outlineLevel="0" collapsed="false">
      <c r="A220" s="4" t="s">
        <v>477</v>
      </c>
      <c r="B220" s="5" t="s">
        <v>478</v>
      </c>
      <c r="C220" s="5" t="s">
        <v>192</v>
      </c>
      <c r="D220" s="6"/>
      <c r="E220" s="7" t="str">
        <f aca="false">IFERROR(__xludf.dummyfunction("lower(GOOGLETRANSLATE(B220,""es"",""en""))"),"go to the movies")</f>
        <v>go to the movies</v>
      </c>
      <c r="F220" s="7" t="str">
        <f aca="false">IFERROR(__xludf.dummyfunction("lower(GOOGLETRANSLATE(A220,""en"",""es""))"),"ir al cine")</f>
        <v>ir al cine</v>
      </c>
      <c r="H220" s="0" t="str">
        <f aca="false">A220&amp;"|"&amp;B220</f>
        <v>to go to the movies|ir al cine</v>
      </c>
    </row>
    <row r="221" customFormat="false" ht="15.75" hidden="false" customHeight="false" outlineLevel="0" collapsed="false">
      <c r="A221" s="4" t="s">
        <v>479</v>
      </c>
      <c r="B221" s="5" t="s">
        <v>480</v>
      </c>
      <c r="C221" s="5" t="s">
        <v>185</v>
      </c>
      <c r="D221" s="6"/>
      <c r="E221" s="7" t="str">
        <f aca="false">IFERROR(__xludf.dummyfunction("lower(GOOGLETRANSLATE(B221,""es"",""en""))"),"swim")</f>
        <v>swim</v>
      </c>
      <c r="F221" s="7" t="str">
        <f aca="false">IFERROR(__xludf.dummyfunction("lower(GOOGLETRANSLATE(A221,""en"",""es""))"),"nadar")</f>
        <v>nadar</v>
      </c>
      <c r="H221" s="0" t="str">
        <f aca="false">A221&amp;"|"&amp;B221</f>
        <v>to swim|nadar</v>
      </c>
    </row>
    <row r="222" customFormat="false" ht="15.75" hidden="false" customHeight="false" outlineLevel="0" collapsed="false">
      <c r="A222" s="4" t="s">
        <v>481</v>
      </c>
      <c r="B222" s="5" t="s">
        <v>482</v>
      </c>
      <c r="C222" s="5" t="s">
        <v>185</v>
      </c>
      <c r="D222" s="6"/>
      <c r="E222" s="7" t="str">
        <f aca="false">IFERROR(__xludf.dummyfunction("lower(GOOGLETRANSLATE(B222,""es"",""en""))"),"rollerblading")</f>
        <v>rollerblading</v>
      </c>
      <c r="F222" s="7" t="str">
        <f aca="false">IFERROR(__xludf.dummyfunction("lower(GOOGLETRANSLATE(A222,""en"",""es""))"),"patinar")</f>
        <v>patinar</v>
      </c>
      <c r="H222" s="0" t="str">
        <f aca="false">A222&amp;"|"&amp;B222</f>
        <v>to skate|patinar</v>
      </c>
    </row>
    <row r="223" customFormat="false" ht="15.75" hidden="false" customHeight="false" outlineLevel="0" collapsed="false">
      <c r="A223" s="4" t="s">
        <v>483</v>
      </c>
      <c r="B223" s="5" t="s">
        <v>484</v>
      </c>
      <c r="C223" s="5" t="s">
        <v>185</v>
      </c>
      <c r="D223" s="6"/>
      <c r="E223" s="7" t="str">
        <f aca="false">IFERROR(__xludf.dummyfunction("lower(GOOGLETRANSLATE(B223,""es"",""en""))"),"paint")</f>
        <v>paint</v>
      </c>
      <c r="F223" s="7" t="str">
        <f aca="false">IFERROR(__xludf.dummyfunction("lower(GOOGLETRANSLATE(A223,""en"",""es""))"),"pintar")</f>
        <v>pintar</v>
      </c>
      <c r="H223" s="0" t="str">
        <f aca="false">A223&amp;"|"&amp;B223</f>
        <v>to paint|pintar</v>
      </c>
    </row>
    <row r="224" customFormat="false" ht="15.75" hidden="false" customHeight="false" outlineLevel="0" collapsed="false">
      <c r="A224" s="4" t="s">
        <v>485</v>
      </c>
      <c r="B224" s="5" t="s">
        <v>486</v>
      </c>
      <c r="C224" s="5" t="s">
        <v>298</v>
      </c>
      <c r="D224" s="6"/>
      <c r="E224" s="7" t="str">
        <f aca="false">IFERROR(__xludf.dummyfunction("lower(GOOGLETRANSLATE(B224,""es"",""en""))"),"we like them")</f>
        <v>we like them</v>
      </c>
      <c r="F224" s="7" t="str">
        <f aca="false">IFERROR(__xludf.dummyfunction("lower(GOOGLETRANSLATE(A224,""en"",""es""))"),"nos gusta (objeto plural)")</f>
        <v>nos gusta (objeto plural)</v>
      </c>
      <c r="H224" s="0" t="str">
        <f aca="false">A224&amp;"|"&amp;B224</f>
        <v>we like (plural object)|nos gustan</v>
      </c>
    </row>
    <row r="225" customFormat="false" ht="15.75" hidden="false" customHeight="false" outlineLevel="0" collapsed="false">
      <c r="A225" s="4" t="s">
        <v>487</v>
      </c>
      <c r="B225" s="5" t="s">
        <v>488</v>
      </c>
      <c r="C225" s="5" t="s">
        <v>298</v>
      </c>
      <c r="D225" s="6"/>
      <c r="E225" s="7" t="str">
        <f aca="false">IFERROR(__xludf.dummyfunction("lower(GOOGLETRANSLATE(B225,""es"",""en""))"),"you like")</f>
        <v>you like</v>
      </c>
      <c r="F225" s="7" t="str">
        <f aca="false">IFERROR(__xludf.dummyfunction("lower(GOOGLETRANSLATE(A225,""en"",""es""))"),"te gusta (en plural, objeto plural)")</f>
        <v>te gusta (en plural, objeto plural)</v>
      </c>
      <c r="H225" s="0" t="str">
        <f aca="false">A225&amp;"|"&amp;B225</f>
        <v>you like (plural, plural object)|os gustan</v>
      </c>
    </row>
    <row r="226" customFormat="false" ht="15.75" hidden="false" customHeight="false" outlineLevel="0" collapsed="false">
      <c r="A226" s="4" t="s">
        <v>489</v>
      </c>
      <c r="B226" s="5" t="s">
        <v>490</v>
      </c>
      <c r="C226" s="5" t="s">
        <v>298</v>
      </c>
      <c r="D226" s="6"/>
      <c r="E226" s="7" t="str">
        <f aca="false">IFERROR(__xludf.dummyfunction("lower(GOOGLETRANSLATE(B226,""es"",""en""))"),"like")</f>
        <v>like</v>
      </c>
      <c r="F226" s="7" t="str">
        <f aca="false">IFERROR(__xludf.dummyfunction("lower(GOOGLETRANSLATE(A226,""en"",""es""))"),"que les gusta (objeto plural)")</f>
        <v>que les gusta (objeto plural)</v>
      </c>
      <c r="H226" s="0" t="str">
        <f aca="false">A226&amp;"|"&amp;B226</f>
        <v>they like (plural object)|les gustan</v>
      </c>
    </row>
    <row r="227" customFormat="false" ht="15.75" hidden="false" customHeight="false" outlineLevel="0" collapsed="false">
      <c r="A227" s="4" t="s">
        <v>491</v>
      </c>
      <c r="B227" s="5" t="s">
        <v>492</v>
      </c>
      <c r="C227" s="5" t="s">
        <v>493</v>
      </c>
      <c r="D227" s="6"/>
      <c r="E227" s="7" t="str">
        <f aca="false">IFERROR(__xludf.dummyfunction("lower(GOOGLETRANSLATE(B227,""es"",""en""))"),"i love books")</f>
        <v>i love books</v>
      </c>
      <c r="F227" s="7" t="str">
        <f aca="false">IFERROR(__xludf.dummyfunction("lower(GOOGLETRANSLATE(A227,""en"",""es""))"),"los libros me deleitan")</f>
        <v>los libros me deleitan</v>
      </c>
      <c r="H227" s="0" t="str">
        <f aca="false">A227&amp;"|"&amp;B227</f>
        <v>the books delight me|me encantan los libros</v>
      </c>
    </row>
    <row r="228" customFormat="false" ht="15.75" hidden="false" customHeight="false" outlineLevel="0" collapsed="false">
      <c r="A228" s="4" t="s">
        <v>494</v>
      </c>
      <c r="B228" s="5" t="s">
        <v>495</v>
      </c>
      <c r="C228" s="5" t="s">
        <v>215</v>
      </c>
      <c r="D228" s="6"/>
      <c r="E228" s="7" t="str">
        <f aca="false">IFERROR(__xludf.dummyfunction("lower(GOOGLETRANSLATE(B228,""es"",""en""))"),"we like the house")</f>
        <v>we like the house</v>
      </c>
      <c r="F228" s="7" t="str">
        <f aca="false">IFERROR(__xludf.dummyfunction("lower(GOOGLETRANSLATE(A228,""en"",""es""))"),"nos gusta la casa")</f>
        <v>nos gusta la casa</v>
      </c>
      <c r="H228" s="0" t="str">
        <f aca="false">A228&amp;"|"&amp;B228</f>
        <v>we like the house|nos gusta la casa</v>
      </c>
    </row>
    <row r="229" customFormat="false" ht="15.75" hidden="false" customHeight="false" outlineLevel="0" collapsed="false">
      <c r="A229" s="4" t="s">
        <v>496</v>
      </c>
      <c r="B229" s="5" t="s">
        <v>497</v>
      </c>
      <c r="C229" s="5" t="s">
        <v>215</v>
      </c>
      <c r="D229" s="6"/>
      <c r="E229" s="7" t="str">
        <f aca="false">IFERROR(__xludf.dummyfunction("lower(GOOGLETRANSLATE(B229,""es"",""en""))"),"i like swimming")</f>
        <v>i like swimming</v>
      </c>
      <c r="F229" s="7" t="str">
        <f aca="false">IFERROR(__xludf.dummyfunction("lower(GOOGLETRANSLATE(A229,""en"",""es""))"),"me gusta nadar")</f>
        <v>me gusta nadar</v>
      </c>
      <c r="H229" s="0" t="str">
        <f aca="false">A229&amp;"|"&amp;B229</f>
        <v>i like to swim|me gusta nadar</v>
      </c>
    </row>
    <row r="230" customFormat="false" ht="15.75" hidden="false" customHeight="false" outlineLevel="0" collapsed="false">
      <c r="A230" s="4" t="s">
        <v>498</v>
      </c>
      <c r="B230" s="5" t="s">
        <v>499</v>
      </c>
      <c r="C230" s="5" t="s">
        <v>215</v>
      </c>
      <c r="D230" s="6"/>
      <c r="E230" s="7" t="str">
        <f aca="false">IFERROR(__xludf.dummyfunction("lower(GOOGLETRANSLATE(B230,""es"",""en""))"),"we like the houses")</f>
        <v>we like the houses</v>
      </c>
      <c r="F230" s="7" t="str">
        <f aca="false">IFERROR(__xludf.dummyfunction("lower(GOOGLETRANSLATE(A230,""en"",""es""))"),"nos gustan las casas")</f>
        <v>nos gustan las casas</v>
      </c>
      <c r="H230" s="0" t="str">
        <f aca="false">A230&amp;"|"&amp;B230</f>
        <v>we like the houses|nos gustan las casas</v>
      </c>
    </row>
    <row r="231" customFormat="false" ht="15.75" hidden="false" customHeight="false" outlineLevel="0" collapsed="false">
      <c r="A231" s="4" t="s">
        <v>500</v>
      </c>
      <c r="B231" s="5" t="s">
        <v>501</v>
      </c>
      <c r="C231" s="5" t="s">
        <v>493</v>
      </c>
      <c r="D231" s="6"/>
      <c r="E231" s="7" t="str">
        <f aca="false">IFERROR(__xludf.dummyfunction("lower(GOOGLETRANSLATE(B231,""es"",""en""))"),"i like to start the class")</f>
        <v>i like to start the class</v>
      </c>
      <c r="F231" s="7" t="str">
        <f aca="false">IFERROR(__xludf.dummyfunction("lower(GOOGLETRANSLATE(A231,""en"",""es""))"),"me gusta empezar la clase")</f>
        <v>me gusta empezar la clase</v>
      </c>
      <c r="H231" s="0" t="str">
        <f aca="false">A231&amp;"|"&amp;B231</f>
        <v>i like to start the class|me gusta empezar la clase</v>
      </c>
    </row>
    <row r="232" customFormat="false" ht="15.75" hidden="false" customHeight="false" outlineLevel="0" collapsed="false">
      <c r="A232" s="4" t="s">
        <v>502</v>
      </c>
      <c r="B232" s="5" t="s">
        <v>503</v>
      </c>
      <c r="C232" s="5" t="s">
        <v>493</v>
      </c>
      <c r="D232" s="6"/>
      <c r="E232" s="7" t="str">
        <f aca="false">IFERROR(__xludf.dummyfunction("lower(GOOGLETRANSLATE(B232,""es"",""en""))"),"(to the) likes to teach")</f>
        <v>(to the) likes to teach</v>
      </c>
      <c r="F232" s="7" t="str">
        <f aca="false">IFERROR(__xludf.dummyfunction("lower(GOOGLETRANSLATE(A232,""en"",""es""))"),"a él le gusta enseñar")</f>
        <v>a él le gusta enseñar</v>
      </c>
      <c r="H232" s="0" t="str">
        <f aca="false">A232&amp;"|"&amp;B232</f>
        <v>he likes to teach|(a el) le gusta ensenar</v>
      </c>
    </row>
    <row r="233" customFormat="false" ht="15.75" hidden="false" customHeight="false" outlineLevel="0" collapsed="false">
      <c r="A233" s="4" t="s">
        <v>504</v>
      </c>
      <c r="B233" s="5" t="s">
        <v>505</v>
      </c>
      <c r="C233" s="5" t="s">
        <v>506</v>
      </c>
      <c r="D233" s="6"/>
      <c r="E233" s="7" t="str">
        <f aca="false">IFERROR(__xludf.dummyfunction("lower(GOOGLETRANSLATE(B233,""es"",""en""))"),"the job")</f>
        <v>the job</v>
      </c>
      <c r="F233" s="7" t="str">
        <f aca="false">IFERROR(__xludf.dummyfunction("lower(GOOGLETRANSLATE(A233,""en"",""es""))"),"trabajo")</f>
        <v>trabajo</v>
      </c>
      <c r="H233" s="0" t="str">
        <f aca="false">A233&amp;"|"&amp;B233</f>
        <v>work|el trabajo</v>
      </c>
    </row>
    <row r="234" customFormat="false" ht="15.75" hidden="false" customHeight="false" outlineLevel="0" collapsed="false">
      <c r="A234" s="4" t="s">
        <v>507</v>
      </c>
      <c r="B234" s="5" t="s">
        <v>508</v>
      </c>
      <c r="C234" s="5" t="s">
        <v>509</v>
      </c>
      <c r="D234" s="6"/>
      <c r="E234" s="7" t="str">
        <f aca="false">IFERROR(__xludf.dummyfunction("lower(GOOGLETRANSLATE(B234,""es"",""en""))"),"(the / a) colleague")</f>
        <v>(the / a) colleague</v>
      </c>
      <c r="F234" s="7" t="str">
        <f aca="false">IFERROR(__xludf.dummyfunction("lower(GOOGLETRANSLATE(A234,""en"",""es""))"),"el colega")</f>
        <v>el colega</v>
      </c>
      <c r="H234" s="0" t="str">
        <f aca="false">A234&amp;"|"&amp;B234</f>
        <v>the colleague|(el/la) colega</v>
      </c>
    </row>
    <row r="235" customFormat="false" ht="15.75" hidden="false" customHeight="false" outlineLevel="0" collapsed="false">
      <c r="A235" s="4" t="s">
        <v>510</v>
      </c>
      <c r="B235" s="5" t="s">
        <v>511</v>
      </c>
      <c r="C235" s="5" t="s">
        <v>449</v>
      </c>
      <c r="D235" s="6"/>
      <c r="E235" s="7" t="str">
        <f aca="false">IFERROR(__xludf.dummyfunction("lower(GOOGLETRANSLATE(B235,""es"",""en""))"),"the book")</f>
        <v>the book</v>
      </c>
      <c r="F235" s="7" t="str">
        <f aca="false">IFERROR(__xludf.dummyfunction("lower(GOOGLETRANSLATE(A235,""en"",""es""))"),"el libro")</f>
        <v>el libro</v>
      </c>
      <c r="H235" s="0" t="str">
        <f aca="false">A235&amp;"|"&amp;B235</f>
        <v>the book|el libro</v>
      </c>
    </row>
    <row r="236" customFormat="false" ht="15.75" hidden="false" customHeight="false" outlineLevel="0" collapsed="false">
      <c r="A236" s="4" t="s">
        <v>512</v>
      </c>
      <c r="B236" s="5" t="s">
        <v>513</v>
      </c>
      <c r="C236" s="5" t="s">
        <v>449</v>
      </c>
      <c r="D236" s="6"/>
      <c r="E236" s="7" t="str">
        <f aca="false">IFERROR(__xludf.dummyfunction("lower(GOOGLETRANSLATE(B236,""es"",""en""))"),"paper")</f>
        <v>paper</v>
      </c>
      <c r="F236" s="7" t="str">
        <f aca="false">IFERROR(__xludf.dummyfunction("lower(GOOGLETRANSLATE(A236,""en"",""es""))"),"el papel")</f>
        <v>el papel</v>
      </c>
      <c r="H236" s="0" t="str">
        <f aca="false">A236&amp;"|"&amp;B236</f>
        <v>the paper|el papel</v>
      </c>
    </row>
    <row r="237" customFormat="false" ht="15.75" hidden="false" customHeight="false" outlineLevel="0" collapsed="false">
      <c r="A237" s="4" t="s">
        <v>514</v>
      </c>
      <c r="B237" s="5" t="s">
        <v>515</v>
      </c>
      <c r="C237" s="5" t="s">
        <v>509</v>
      </c>
      <c r="D237" s="6"/>
      <c r="E237" s="7" t="str">
        <f aca="false">IFERROR(__xludf.dummyfunction("lower(GOOGLETRANSLATE(B237,""es"",""en""))"),"(the / the) compañeros")</f>
        <v>(the / the) compañeros</v>
      </c>
      <c r="F237" s="7" t="str">
        <f aca="false">IFERROR(__xludf.dummyfunction("lower(GOOGLETRANSLATE(A237,""en"",""es""))"),"el mate")</f>
        <v>el mate</v>
      </c>
      <c r="H237" s="0" t="str">
        <f aca="false">A237&amp;"|"&amp;B237</f>
        <v>the mate|(el/la) compañer@</v>
      </c>
    </row>
    <row r="238" customFormat="false" ht="15.75" hidden="false" customHeight="false" outlineLevel="0" collapsed="false">
      <c r="A238" s="4" t="s">
        <v>516</v>
      </c>
      <c r="B238" s="5" t="s">
        <v>517</v>
      </c>
      <c r="C238" s="5" t="s">
        <v>518</v>
      </c>
      <c r="D238" s="6"/>
      <c r="E238" s="7" t="str">
        <f aca="false">IFERROR(__xludf.dummyfunction("lower(GOOGLETRANSLATE(B238,""es"",""en""))"),"(the / the) director @")</f>
        <v>(the / the) director @</v>
      </c>
      <c r="F238" s="7" t="str">
        <f aca="false">IFERROR(__xludf.dummyfunction("lower(GOOGLETRANSLATE(A238,""en"",""es""))"),"el director")</f>
        <v>el director</v>
      </c>
      <c r="H238" s="0" t="str">
        <f aca="false">A238&amp;"|"&amp;B238</f>
        <v>the director|(el/la) director@</v>
      </c>
    </row>
    <row r="239" customFormat="false" ht="15.75" hidden="false" customHeight="false" outlineLevel="0" collapsed="false">
      <c r="A239" s="4" t="s">
        <v>519</v>
      </c>
      <c r="B239" s="5" t="s">
        <v>520</v>
      </c>
      <c r="C239" s="5" t="s">
        <v>509</v>
      </c>
      <c r="D239" s="6"/>
      <c r="E239" s="7" t="str">
        <f aca="false">IFERROR(__xludf.dummyfunction("lower(GOOGLETRANSLATE(B239,""es"",""en""))"),"the / the employees")</f>
        <v>the / the employees</v>
      </c>
      <c r="F239" s="7" t="str">
        <f aca="false">IFERROR(__xludf.dummyfunction("lower(GOOGLETRANSLATE(A239,""en"",""es""))"),"el empleado")</f>
        <v>el empleado</v>
      </c>
      <c r="H239" s="0" t="str">
        <f aca="false">A239&amp;"|"&amp;B239</f>
        <v>the employee|el/la emplead@</v>
      </c>
    </row>
    <row r="240" customFormat="false" ht="15.75" hidden="false" customHeight="false" outlineLevel="0" collapsed="false">
      <c r="A240" s="4" t="s">
        <v>521</v>
      </c>
      <c r="B240" s="5" t="s">
        <v>522</v>
      </c>
      <c r="C240" s="5" t="s">
        <v>518</v>
      </c>
      <c r="D240" s="6"/>
      <c r="E240" s="7" t="str">
        <f aca="false">IFERROR(__xludf.dummyfunction("lower(GOOGLETRANSLATE(B240,""es"",""en""))"),"(the / the) student")</f>
        <v>(the / the) student</v>
      </c>
      <c r="F240" s="7" t="str">
        <f aca="false">IFERROR(__xludf.dummyfunction("lower(GOOGLETRANSLATE(A240,""en"",""es""))"),"el estudiante")</f>
        <v>el estudiante</v>
      </c>
      <c r="H240" s="0" t="str">
        <f aca="false">A240&amp;"|"&amp;B240</f>
        <v>the student|(el/la) estudiante</v>
      </c>
    </row>
    <row r="241" customFormat="false" ht="15.75" hidden="false" customHeight="false" outlineLevel="0" collapsed="false">
      <c r="A241" s="4" t="s">
        <v>523</v>
      </c>
      <c r="B241" s="5" t="s">
        <v>524</v>
      </c>
      <c r="C241" s="5" t="s">
        <v>509</v>
      </c>
      <c r="D241" s="6"/>
      <c r="E241" s="7" t="str">
        <f aca="false">IFERROR(__xludf.dummyfunction("lower(GOOGLETRANSLATE(B241,""es"",""en""))"),"(head / chief)")</f>
        <v>(head / chief)</v>
      </c>
      <c r="F241" s="7" t="str">
        <f aca="false">IFERROR(__xludf.dummyfunction("lower(GOOGLETRANSLATE(A241,""en"",""es""))"),"el jefe")</f>
        <v>el jefe</v>
      </c>
      <c r="H241" s="0" t="str">
        <f aca="false">A241&amp;"|"&amp;B241</f>
        <v>the boss|(el jefe/la jefa)</v>
      </c>
    </row>
    <row r="242" customFormat="false" ht="15.75" hidden="false" customHeight="false" outlineLevel="0" collapsed="false">
      <c r="A242" s="4" t="s">
        <v>525</v>
      </c>
      <c r="B242" s="5" t="s">
        <v>526</v>
      </c>
      <c r="C242" s="5" t="s">
        <v>518</v>
      </c>
      <c r="D242" s="6"/>
      <c r="E242" s="7" t="str">
        <f aca="false">IFERROR(__xludf.dummyfunction("lower(GOOGLETRANSLATE(B242,""es"",""en""))"),"(the / the) teacher")</f>
        <v>(the / the) teacher</v>
      </c>
      <c r="F242" s="7" t="str">
        <f aca="false">IFERROR(__xludf.dummyfunction("lower(GOOGLETRANSLATE(A242,""en"",""es""))"),"el maestro")</f>
        <v>el maestro</v>
      </c>
      <c r="H242" s="0" t="str">
        <f aca="false">A242&amp;"|"&amp;B242</f>
        <v>the teacher|(el/la) maestro</v>
      </c>
    </row>
    <row r="243" customFormat="false" ht="15.75" hidden="false" customHeight="false" outlineLevel="0" collapsed="false">
      <c r="A243" s="4" t="s">
        <v>527</v>
      </c>
      <c r="B243" s="5" t="s">
        <v>528</v>
      </c>
      <c r="C243" s="5" t="s">
        <v>449</v>
      </c>
      <c r="D243" s="6"/>
      <c r="E243" s="7" t="str">
        <f aca="false">IFERROR(__xludf.dummyfunction("lower(GOOGLETRANSLATE(B243,""es"",""en""))"),"the pen")</f>
        <v>the pen</v>
      </c>
      <c r="F243" s="7" t="str">
        <f aca="false">IFERROR(__xludf.dummyfunction("lower(GOOGLETRANSLATE(A243,""en"",""es""))"),"la pluma (comienza p.)")</f>
        <v>la pluma (comienza p.)</v>
      </c>
      <c r="H243" s="0" t="str">
        <f aca="false">A243&amp;"|"&amp;B243</f>
        <v>the pen (starts p.)|la pluma</v>
      </c>
    </row>
    <row r="244" customFormat="false" ht="15.75" hidden="false" customHeight="false" outlineLevel="0" collapsed="false">
      <c r="A244" s="4" t="s">
        <v>529</v>
      </c>
      <c r="B244" s="5" t="s">
        <v>530</v>
      </c>
      <c r="C244" s="5" t="s">
        <v>449</v>
      </c>
      <c r="D244" s="6"/>
      <c r="E244" s="7" t="str">
        <f aca="false">IFERROR(__xludf.dummyfunction("lower(GOOGLETRANSLATE(B244,""es"",""en""))"),"the pen")</f>
        <v>the pen</v>
      </c>
      <c r="F244" s="7" t="str">
        <f aca="false">IFERROR(__xludf.dummyfunction("lower(GOOGLETRANSLATE(A244,""en"",""es""))"),"la pluma (aperturas b.)")</f>
        <v>la pluma (aperturas b.)</v>
      </c>
      <c r="H244" s="0" t="str">
        <f aca="false">A244&amp;"|"&amp;B244</f>
        <v>the pen (starts b.)|el bolígrafo</v>
      </c>
    </row>
    <row r="245" customFormat="false" ht="15.75" hidden="false" customHeight="false" outlineLevel="0" collapsed="false">
      <c r="A245" s="4" t="s">
        <v>531</v>
      </c>
      <c r="B245" s="5" t="s">
        <v>532</v>
      </c>
      <c r="C245" s="5" t="s">
        <v>506</v>
      </c>
      <c r="D245" s="6"/>
      <c r="E245" s="7" t="str">
        <f aca="false">IFERROR(__xludf.dummyfunction("lower(GOOGLETRANSLATE(B245,""es"",""en""))"),"quote")</f>
        <v>quote</v>
      </c>
      <c r="F245" s="7" t="str">
        <f aca="false">IFERROR(__xludf.dummyfunction("lower(GOOGLETRANSLATE(A245,""en"",""es""))"),"la cita")</f>
        <v>la cita</v>
      </c>
      <c r="H245" s="0" t="str">
        <f aca="false">A245&amp;"|"&amp;B245</f>
        <v>the appointment|la cita</v>
      </c>
    </row>
    <row r="246" customFormat="false" ht="15.75" hidden="false" customHeight="false" outlineLevel="0" collapsed="false">
      <c r="A246" s="4" t="s">
        <v>533</v>
      </c>
      <c r="B246" s="5" t="s">
        <v>534</v>
      </c>
      <c r="C246" s="5" t="s">
        <v>506</v>
      </c>
      <c r="D246" s="6"/>
      <c r="E246" s="7" t="str">
        <f aca="false">IFERROR(__xludf.dummyfunction("lower(GOOGLETRANSLATE(B246,""es"",""en""))"),"the meeting")</f>
        <v>the meeting</v>
      </c>
      <c r="F246" s="7" t="str">
        <f aca="false">IFERROR(__xludf.dummyfunction("lower(GOOGLETRANSLATE(A246,""en"",""es""))"),"la reunión")</f>
        <v>la reunión</v>
      </c>
      <c r="H246" s="0" t="str">
        <f aca="false">A246&amp;"|"&amp;B246</f>
        <v>the meeting|la reunión</v>
      </c>
    </row>
    <row r="247" customFormat="false" ht="15.75" hidden="false" customHeight="false" outlineLevel="0" collapsed="false">
      <c r="A247" s="4" t="s">
        <v>535</v>
      </c>
      <c r="B247" s="5" t="s">
        <v>536</v>
      </c>
      <c r="C247" s="5" t="s">
        <v>215</v>
      </c>
      <c r="D247" s="6"/>
      <c r="E247" s="7" t="str">
        <f aca="false">IFERROR(__xludf.dummyfunction("lower(GOOGLETRANSLATE(B247,""es"",""en""))"),"like classes")</f>
        <v>like classes</v>
      </c>
      <c r="F247" s="7" t="str">
        <f aca="false">IFERROR(__xludf.dummyfunction("lower(GOOGLETRANSLATE(A247,""en"",""es""))"),"que les gusta las clases")</f>
        <v>que les gusta las clases</v>
      </c>
      <c r="H247" s="0" t="str">
        <f aca="false">A247&amp;"|"&amp;B247</f>
        <v>they like the classes|les gustan las clases</v>
      </c>
    </row>
    <row r="248" customFormat="false" ht="15.75" hidden="false" customHeight="false" outlineLevel="0" collapsed="false">
      <c r="A248" s="4" t="s">
        <v>537</v>
      </c>
      <c r="B248" s="5" t="s">
        <v>538</v>
      </c>
      <c r="C248" s="5" t="s">
        <v>215</v>
      </c>
      <c r="D248" s="6"/>
      <c r="E248" s="7" t="str">
        <f aca="false">IFERROR(__xludf.dummyfunction("lower(GOOGLETRANSLATE(B248,""es"",""en""))"),"it is an important class")</f>
        <v>it is an important class</v>
      </c>
      <c r="F248" s="7" t="str">
        <f aca="false">IFERROR(__xludf.dummyfunction("lower(GOOGLETRANSLATE(A248,""en"",""es""))"),"es una clase importante")</f>
        <v>es una clase importante</v>
      </c>
      <c r="H248" s="0" t="str">
        <f aca="false">A248&amp;"|"&amp;B248</f>
        <v>it's an important class|es una clase importante</v>
      </c>
    </row>
    <row r="249" customFormat="false" ht="15.75" hidden="false" customHeight="false" outlineLevel="0" collapsed="false">
      <c r="A249" s="4" t="s">
        <v>539</v>
      </c>
      <c r="B249" s="5" t="s">
        <v>540</v>
      </c>
      <c r="C249" s="5" t="s">
        <v>215</v>
      </c>
      <c r="D249" s="6"/>
      <c r="E249" s="7" t="str">
        <f aca="false">IFERROR(__xludf.dummyfunction("lower(GOOGLETRANSLATE(B249,""es"",""en""))"),"(she) does not like to swim you")</f>
        <v>(she) does not like to swim you</v>
      </c>
      <c r="F249" s="7" t="str">
        <f aca="false">IFERROR(__xludf.dummyfunction("lower(GOOGLETRANSLATE(A249,""en"",""es""))"),"ella no le gusta a nadar")</f>
        <v>ella no le gusta a nadar</v>
      </c>
      <c r="H249" s="0" t="str">
        <f aca="false">A249&amp;"|"&amp;B249</f>
        <v>she doesn't like to swim|(a ella) no le gusta nadar</v>
      </c>
    </row>
    <row r="250" customFormat="false" ht="15.75" hidden="false" customHeight="false" outlineLevel="0" collapsed="false">
      <c r="A250" s="4" t="s">
        <v>541</v>
      </c>
      <c r="B250" s="5" t="s">
        <v>542</v>
      </c>
      <c r="C250" s="5" t="s">
        <v>215</v>
      </c>
      <c r="D250" s="6"/>
      <c r="E250" s="7" t="str">
        <f aca="false">IFERROR(__xludf.dummyfunction("lower(GOOGLETRANSLATE(B250,""es"",""en""))"),"(to the) loves music")</f>
        <v>(to the) loves music</v>
      </c>
      <c r="F250" s="7" t="str">
        <f aca="false">IFERROR(__xludf.dummyfunction("lower(GOOGLETRANSLATE(A250,""en"",""es""))"),"la música le deleita")</f>
        <v>la música le deleita</v>
      </c>
      <c r="H250" s="0" t="str">
        <f aca="false">A250&amp;"|"&amp;B250</f>
        <v>the music delights him|(a el) le encanta la musica</v>
      </c>
    </row>
    <row r="251" customFormat="false" ht="15.75" hidden="false" customHeight="false" outlineLevel="0" collapsed="false">
      <c r="A251" s="4" t="s">
        <v>543</v>
      </c>
      <c r="B251" s="5" t="s">
        <v>544</v>
      </c>
      <c r="C251" s="5" t="s">
        <v>215</v>
      </c>
      <c r="D251" s="6"/>
      <c r="E251" s="7" t="str">
        <f aca="false">IFERROR(__xludf.dummyfunction("lower(GOOGLETRANSLATE(B251,""es"",""en""))"),"we love cars")</f>
        <v>we love cars</v>
      </c>
      <c r="F251" s="7" t="str">
        <f aca="false">IFERROR(__xludf.dummyfunction("lower(GOOGLETRANSLATE(A251,""en"",""es""))"),"los coches nos deleitan")</f>
        <v>los coches nos deleitan</v>
      </c>
      <c r="H251" s="0" t="str">
        <f aca="false">A251&amp;"|"&amp;B251</f>
        <v>the cars delight us|nos encantan los coches</v>
      </c>
    </row>
    <row r="252" customFormat="false" ht="15.75" hidden="false" customHeight="false" outlineLevel="0" collapsed="false">
      <c r="A252" s="4" t="s">
        <v>545</v>
      </c>
      <c r="B252" s="5" t="s">
        <v>546</v>
      </c>
      <c r="C252" s="5" t="s">
        <v>215</v>
      </c>
      <c r="D252" s="6"/>
      <c r="E252" s="7" t="str">
        <f aca="false">IFERROR(__xludf.dummyfunction("lower(GOOGLETRANSLATE(B252,""es"",""en""))"),"i do not like either the president")</f>
        <v>i do not like either the president</v>
      </c>
      <c r="F252" s="7" t="str">
        <f aca="false">IFERROR(__xludf.dummyfunction("lower(GOOGLETRANSLATE(A252,""en"",""es""))"),"no me gusta que el presidente ya sea")</f>
        <v>no me gusta que el presidente ya sea</v>
      </c>
      <c r="H252" s="0" t="str">
        <f aca="false">A252&amp;"|"&amp;B252</f>
        <v>i don't like the president either|no me gusta tampoco el presidente</v>
      </c>
    </row>
    <row r="253" customFormat="false" ht="15.75" hidden="false" customHeight="false" outlineLevel="0" collapsed="false">
      <c r="A253" s="4" t="s">
        <v>547</v>
      </c>
      <c r="B253" s="5" t="s">
        <v>548</v>
      </c>
      <c r="C253" s="5" t="s">
        <v>549</v>
      </c>
      <c r="D253" s="6"/>
      <c r="E253" s="7" t="str">
        <f aca="false">IFERROR(__xludf.dummyfunction("lower(GOOGLETRANSLATE(B253,""es"",""en""))"),"i have")</f>
        <v>i have</v>
      </c>
      <c r="F253" s="7" t="str">
        <f aca="false">IFERROR(__xludf.dummyfunction("lower(GOOGLETRANSLATE(A253,""en"",""es""))"),"yo tengo")</f>
        <v>yo tengo</v>
      </c>
      <c r="H253" s="0" t="str">
        <f aca="false">A253&amp;"|"&amp;B253</f>
        <v>i have|yo tengo</v>
      </c>
    </row>
    <row r="254" customFormat="false" ht="15.75" hidden="false" customHeight="false" outlineLevel="0" collapsed="false">
      <c r="A254" s="4" t="s">
        <v>550</v>
      </c>
      <c r="B254" s="5" t="s">
        <v>551</v>
      </c>
      <c r="C254" s="5" t="s">
        <v>549</v>
      </c>
      <c r="D254" s="6"/>
      <c r="E254" s="7" t="str">
        <f aca="false">IFERROR(__xludf.dummyfunction("lower(GOOGLETRANSLATE(B254,""es"",""en""))"),"you have")</f>
        <v>you have</v>
      </c>
      <c r="F254" s="7" t="str">
        <f aca="false">IFERROR(__xludf.dummyfunction("lower(GOOGLETRANSLATE(A254,""en"",""es""))"),"usted (singular informal) tiene")</f>
        <v>usted (singular informal) tiene</v>
      </c>
      <c r="H254" s="0" t="str">
        <f aca="false">A254&amp;"|"&amp;B254</f>
        <v>you (singular informal) have|tú tienes</v>
      </c>
    </row>
    <row r="255" customFormat="false" ht="15.75" hidden="false" customHeight="false" outlineLevel="0" collapsed="false">
      <c r="A255" s="4" t="s">
        <v>552</v>
      </c>
      <c r="B255" s="5" t="s">
        <v>553</v>
      </c>
      <c r="C255" s="5" t="s">
        <v>554</v>
      </c>
      <c r="D255" s="6"/>
      <c r="E255" s="7" t="str">
        <f aca="false">IFERROR(__xludf.dummyfunction("lower(GOOGLETRANSLATE(B255,""es"",""en""))"),"me")</f>
        <v>me</v>
      </c>
      <c r="F255" s="7" t="str">
        <f aca="false">IFERROR(__xludf.dummyfunction("lower(GOOGLETRANSLATE(A255,""en"",""es""))"),"mi")</f>
        <v>mi</v>
      </c>
      <c r="H255" s="0" t="str">
        <f aca="false">A255&amp;"|"&amp;B255</f>
        <v>my|mi</v>
      </c>
    </row>
    <row r="256" customFormat="false" ht="15.75" hidden="false" customHeight="false" outlineLevel="0" collapsed="false">
      <c r="A256" s="4" t="s">
        <v>555</v>
      </c>
      <c r="B256" s="5" t="s">
        <v>556</v>
      </c>
      <c r="C256" s="5" t="s">
        <v>554</v>
      </c>
      <c r="D256" s="6"/>
      <c r="E256" s="7" t="str">
        <f aca="false">IFERROR(__xludf.dummyfunction("lower(GOOGLETRANSLATE(B256,""es"",""en""))"),"you")</f>
        <v>you</v>
      </c>
      <c r="F256" s="7" t="str">
        <f aca="false">IFERROR(__xludf.dummyfunction("lower(GOOGLETRANSLATE(A256,""en"",""es""))"),"su (singular)")</f>
        <v>su (singular)</v>
      </c>
      <c r="H256" s="0" t="str">
        <f aca="false">A256&amp;"|"&amp;B256</f>
        <v>your (singular)|tu</v>
      </c>
    </row>
    <row r="257" customFormat="false" ht="15.75" hidden="false" customHeight="false" outlineLevel="0" collapsed="false">
      <c r="A257" s="4" t="s">
        <v>557</v>
      </c>
      <c r="B257" s="5" t="s">
        <v>558</v>
      </c>
      <c r="C257" s="5" t="s">
        <v>554</v>
      </c>
      <c r="D257" s="6"/>
      <c r="E257" s="7" t="str">
        <f aca="false">IFERROR(__xludf.dummyfunction("lower(GOOGLETRANSLATE(B257,""es"",""en""))"),"its")</f>
        <v>its</v>
      </c>
      <c r="F257" s="7" t="str">
        <f aca="false">IFERROR(__xludf.dummyfunction("lower(GOOGLETRANSLATE(A257,""en"",""es""))"),"él / ella / su (formal)")</f>
        <v>él / ella / su (formal)</v>
      </c>
      <c r="H257" s="0" t="str">
        <f aca="false">A257&amp;"|"&amp;B257</f>
        <v>his/hers/your (formal)|su</v>
      </c>
    </row>
    <row r="258" customFormat="false" ht="15.75" hidden="false" customHeight="false" outlineLevel="0" collapsed="false">
      <c r="A258" s="4" t="s">
        <v>559</v>
      </c>
      <c r="B258" s="5" t="s">
        <v>560</v>
      </c>
      <c r="C258" s="5" t="s">
        <v>554</v>
      </c>
      <c r="D258" s="6"/>
      <c r="E258" s="7" t="str">
        <f aca="false">IFERROR(__xludf.dummyfunction("lower(GOOGLETRANSLATE(B258,""es"",""en""))"),"our @")</f>
        <v>our @</v>
      </c>
      <c r="F258" s="7" t="str">
        <f aca="false">IFERROR(__xludf.dummyfunction("lower(GOOGLETRANSLATE(A258,""en"",""es""))"),"nuestra")</f>
        <v>nuestra</v>
      </c>
      <c r="H258" s="0" t="str">
        <f aca="false">A258&amp;"|"&amp;B258</f>
        <v>our|nuestr@</v>
      </c>
    </row>
    <row r="259" customFormat="false" ht="15.75" hidden="false" customHeight="false" outlineLevel="0" collapsed="false">
      <c r="A259" s="4" t="s">
        <v>561</v>
      </c>
      <c r="B259" s="5" t="s">
        <v>562</v>
      </c>
      <c r="C259" s="5" t="s">
        <v>554</v>
      </c>
      <c r="D259" s="6"/>
      <c r="E259" s="7" t="str">
        <f aca="false">IFERROR(__xludf.dummyfunction("lower(GOOGLETRANSLATE(B259,""es"",""en""))"),"vuestr @")</f>
        <v>vuestr @</v>
      </c>
      <c r="F259" s="7" t="str">
        <f aca="false">IFERROR(__xludf.dummyfunction("lower(GOOGLETRANSLATE(A259,""en"",""es""))"),"su (plural)")</f>
        <v>su (plural)</v>
      </c>
      <c r="H259" s="0" t="str">
        <f aca="false">A259&amp;"|"&amp;B259</f>
        <v>your (plural)|vuestr@</v>
      </c>
    </row>
    <row r="260" customFormat="false" ht="15.75" hidden="false" customHeight="false" outlineLevel="0" collapsed="false">
      <c r="A260" s="4" t="s">
        <v>563</v>
      </c>
      <c r="B260" s="5" t="s">
        <v>558</v>
      </c>
      <c r="C260" s="5" t="s">
        <v>554</v>
      </c>
      <c r="D260" s="6"/>
      <c r="E260" s="7" t="str">
        <f aca="false">IFERROR(__xludf.dummyfunction("lower(GOOGLETRANSLATE(B260,""es"",""en""))"),"its")</f>
        <v>its</v>
      </c>
      <c r="F260" s="7" t="str">
        <f aca="false">IFERROR(__xludf.dummyfunction("lower(GOOGLETRANSLATE(A260,""en"",""es""))"),"su")</f>
        <v>su</v>
      </c>
      <c r="H260" s="0" t="str">
        <f aca="false">A260&amp;"|"&amp;B260</f>
        <v>their|su</v>
      </c>
    </row>
    <row r="261" customFormat="false" ht="15.75" hidden="false" customHeight="false" outlineLevel="0" collapsed="false">
      <c r="A261" s="4" t="s">
        <v>564</v>
      </c>
      <c r="B261" s="5" t="s">
        <v>565</v>
      </c>
      <c r="C261" s="5" t="s">
        <v>566</v>
      </c>
      <c r="D261" s="6"/>
      <c r="E261" s="7" t="str">
        <f aca="false">IFERROR(__xludf.dummyfunction("lower(GOOGLETRANSLATE(B261,""es"",""en""))"),"my boss")</f>
        <v>my boss</v>
      </c>
      <c r="F261" s="7" t="str">
        <f aca="false">IFERROR(__xludf.dummyfunction("lower(GOOGLETRANSLATE(A261,""en"",""es""))"),"mi jefe")</f>
        <v>mi jefe</v>
      </c>
      <c r="H261" s="0" t="str">
        <f aca="false">A261&amp;"|"&amp;B261</f>
        <v>my boss|mi jefe</v>
      </c>
    </row>
    <row r="262" customFormat="false" ht="15.75" hidden="false" customHeight="false" outlineLevel="0" collapsed="false">
      <c r="A262" s="4" t="s">
        <v>567</v>
      </c>
      <c r="B262" s="5" t="s">
        <v>568</v>
      </c>
      <c r="C262" s="5" t="s">
        <v>566</v>
      </c>
      <c r="D262" s="6"/>
      <c r="E262" s="7" t="str">
        <f aca="false">IFERROR(__xludf.dummyfunction("lower(GOOGLETRANSLATE(B262,""es"",""en""))"),"your boss")</f>
        <v>your boss</v>
      </c>
      <c r="F262" s="7" t="str">
        <f aca="false">IFERROR(__xludf.dummyfunction("lower(GOOGLETRANSLATE(A262,""en"",""es""))"),"tu jefe")</f>
        <v>tu jefe</v>
      </c>
      <c r="H262" s="0" t="str">
        <f aca="false">A262&amp;"|"&amp;B262</f>
        <v>your boss|tu jefe</v>
      </c>
    </row>
    <row r="263" customFormat="false" ht="15.75" hidden="false" customHeight="false" outlineLevel="0" collapsed="false">
      <c r="A263" s="4" t="s">
        <v>569</v>
      </c>
      <c r="B263" s="5" t="s">
        <v>570</v>
      </c>
      <c r="C263" s="5" t="s">
        <v>566</v>
      </c>
      <c r="D263" s="6"/>
      <c r="E263" s="7" t="str">
        <f aca="false">IFERROR(__xludf.dummyfunction("lower(GOOGLETRANSLATE(B263,""es"",""en""))"),"our boss")</f>
        <v>our boss</v>
      </c>
      <c r="F263" s="7" t="str">
        <f aca="false">IFERROR(__xludf.dummyfunction("lower(GOOGLETRANSLATE(A263,""en"",""es""))"),"nuestra (macho) jefe")</f>
        <v>nuestra (macho) jefe</v>
      </c>
      <c r="H263" s="0" t="str">
        <f aca="false">A263&amp;"|"&amp;B263</f>
        <v>our (male) boss|nuestro jefe</v>
      </c>
    </row>
    <row r="264" customFormat="false" ht="15.75" hidden="false" customHeight="false" outlineLevel="0" collapsed="false">
      <c r="A264" s="4" t="s">
        <v>571</v>
      </c>
      <c r="B264" s="5" t="s">
        <v>572</v>
      </c>
      <c r="C264" s="5" t="s">
        <v>566</v>
      </c>
      <c r="D264" s="6"/>
      <c r="E264" s="7" t="str">
        <f aca="false">IFERROR(__xludf.dummyfunction("lower(GOOGLETRANSLATE(B264,""es"",""en""))"),"our boss")</f>
        <v>our boss</v>
      </c>
      <c r="F264" s="7" t="str">
        <f aca="false">IFERROR(__xludf.dummyfunction("lower(GOOGLETRANSLATE(A264,""en"",""es""))"),"nuestra (hembra) jefe")</f>
        <v>nuestra (hembra) jefe</v>
      </c>
      <c r="H264" s="0" t="str">
        <f aca="false">A264&amp;"|"&amp;B264</f>
        <v>our (female) boss|nuestra jefa</v>
      </c>
    </row>
    <row r="265" customFormat="false" ht="15.75" hidden="false" customHeight="false" outlineLevel="0" collapsed="false">
      <c r="A265" s="4" t="s">
        <v>573</v>
      </c>
      <c r="B265" s="5" t="s">
        <v>574</v>
      </c>
      <c r="C265" s="5" t="s">
        <v>575</v>
      </c>
      <c r="D265" s="6"/>
      <c r="E265" s="7" t="str">
        <f aca="false">IFERROR(__xludf.dummyfunction("lower(GOOGLETRANSLATE(B265,""es"",""en""))"),"need")</f>
        <v>need</v>
      </c>
      <c r="F265" s="7" t="str">
        <f aca="false">IFERROR(__xludf.dummyfunction("lower(GOOGLETRANSLATE(A265,""en"",""es""))"),"necesitar")</f>
        <v>necesitar</v>
      </c>
      <c r="H265" s="0" t="str">
        <f aca="false">A265&amp;"|"&amp;B265</f>
        <v>to need|necesitar</v>
      </c>
    </row>
    <row r="266" customFormat="false" ht="15.75" hidden="false" customHeight="false" outlineLevel="0" collapsed="false">
      <c r="A266" s="4" t="s">
        <v>576</v>
      </c>
      <c r="B266" s="5" t="s">
        <v>577</v>
      </c>
      <c r="C266" s="5" t="s">
        <v>578</v>
      </c>
      <c r="D266" s="6"/>
      <c r="E266" s="7" t="str">
        <f aca="false">IFERROR(__xludf.dummyfunction("lower(GOOGLETRANSLATE(B266,""es"",""en""))"),"i need")</f>
        <v>i need</v>
      </c>
      <c r="F266" s="7" t="str">
        <f aca="false">IFERROR(__xludf.dummyfunction("lower(GOOGLETRANSLATE(A266,""en"",""es""))"),"necesito")</f>
        <v>necesito</v>
      </c>
      <c r="H266" s="0" t="str">
        <f aca="false">A266&amp;"|"&amp;B266</f>
        <v>i need|yo necesito</v>
      </c>
    </row>
    <row r="267" customFormat="false" ht="15.75" hidden="false" customHeight="false" outlineLevel="0" collapsed="false">
      <c r="A267" s="4" t="s">
        <v>579</v>
      </c>
      <c r="B267" s="5" t="s">
        <v>580</v>
      </c>
      <c r="C267" s="5" t="s">
        <v>578</v>
      </c>
      <c r="D267" s="6"/>
      <c r="E267" s="7" t="str">
        <f aca="false">IFERROR(__xludf.dummyfunction("lower(GOOGLETRANSLATE(B267,""es"",""en""))"),"you need")</f>
        <v>you need</v>
      </c>
      <c r="F267" s="7" t="str">
        <f aca="false">IFERROR(__xludf.dummyfunction("lower(GOOGLETRANSLATE(A267,""en"",""es""))"),"necesitas")</f>
        <v>necesitas</v>
      </c>
      <c r="H267" s="0" t="str">
        <f aca="false">A267&amp;"|"&amp;B267</f>
        <v>you need|tú necesitas</v>
      </c>
    </row>
    <row r="268" customFormat="false" ht="15.75" hidden="false" customHeight="false" outlineLevel="0" collapsed="false">
      <c r="A268" s="4" t="s">
        <v>581</v>
      </c>
      <c r="B268" s="5" t="s">
        <v>582</v>
      </c>
      <c r="C268" s="5" t="s">
        <v>578</v>
      </c>
      <c r="D268" s="6"/>
      <c r="E268" s="7" t="str">
        <f aca="false">IFERROR(__xludf.dummyfunction("lower(GOOGLETRANSLATE(B268,""es"",""en""))"),"much @")</f>
        <v>much @</v>
      </c>
      <c r="F268" s="7" t="str">
        <f aca="false">IFERROR(__xludf.dummyfunction("lower(GOOGLETRANSLATE(A268,""en"",""es""))"),"mucho más")</f>
        <v>mucho más</v>
      </c>
      <c r="H268" s="0" t="str">
        <f aca="false">A268&amp;"|"&amp;B268</f>
        <v>a lot of/much|much@</v>
      </c>
    </row>
    <row r="269" customFormat="false" ht="15.75" hidden="false" customHeight="false" outlineLevel="0" collapsed="false">
      <c r="A269" s="4" t="s">
        <v>583</v>
      </c>
      <c r="B269" s="5" t="s">
        <v>584</v>
      </c>
      <c r="C269" s="5" t="s">
        <v>578</v>
      </c>
      <c r="D269" s="6"/>
      <c r="E269" s="7" t="str">
        <f aca="false">IFERROR(__xludf.dummyfunction("lower(GOOGLETRANSLATE(B269,""es"",""en""))"),"much @ s")</f>
        <v>much @ s</v>
      </c>
      <c r="F269" s="7" t="str">
        <f aca="false">IFERROR(__xludf.dummyfunction("lower(GOOGLETRANSLATE(A269,""en"",""es""))"),"un montón de muchos")</f>
        <v>un montón de muchos</v>
      </c>
      <c r="H269" s="0" t="str">
        <f aca="false">A269&amp;"|"&amp;B269</f>
        <v>a lot of/many|much@s</v>
      </c>
    </row>
    <row r="270" customFormat="false" ht="15.75" hidden="false" customHeight="false" outlineLevel="0" collapsed="false">
      <c r="A270" s="4" t="s">
        <v>585</v>
      </c>
      <c r="B270" s="5" t="s">
        <v>586</v>
      </c>
      <c r="C270" s="5" t="s">
        <v>578</v>
      </c>
      <c r="D270" s="6"/>
      <c r="E270" s="7" t="str">
        <f aca="false">IFERROR(__xludf.dummyfunction("lower(GOOGLETRANSLATE(B270,""es"",""en""))"),"poc @")</f>
        <v>poc @</v>
      </c>
      <c r="F270" s="7" t="str">
        <f aca="false">IFERROR(__xludf.dummyfunction("lower(GOOGLETRANSLATE(A270,""en"",""es""))"),"un poco")</f>
        <v>un poco</v>
      </c>
      <c r="H270" s="0" t="str">
        <f aca="false">A270&amp;"|"&amp;B270</f>
        <v>a little|poc@</v>
      </c>
    </row>
    <row r="271" customFormat="false" ht="15.75" hidden="false" customHeight="false" outlineLevel="0" collapsed="false">
      <c r="A271" s="4" t="s">
        <v>587</v>
      </c>
      <c r="B271" s="5" t="s">
        <v>588</v>
      </c>
      <c r="C271" s="5" t="s">
        <v>578</v>
      </c>
      <c r="D271" s="6"/>
      <c r="E271" s="7" t="str">
        <f aca="false">IFERROR(__xludf.dummyfunction("lower(GOOGLETRANSLATE(B271,""es"",""en""))"),"poc @ s")</f>
        <v>poc @ s</v>
      </c>
      <c r="F271" s="7" t="str">
        <f aca="false">IFERROR(__xludf.dummyfunction("lower(GOOGLETRANSLATE(A271,""en"",""es""))"),"unos pocos")</f>
        <v>unos pocos</v>
      </c>
      <c r="H271" s="0" t="str">
        <f aca="false">A271&amp;"|"&amp;B271</f>
        <v>a few|poc@s</v>
      </c>
    </row>
    <row r="272" customFormat="false" ht="15.75" hidden="false" customHeight="false" outlineLevel="0" collapsed="false">
      <c r="A272" s="4" t="s">
        <v>589</v>
      </c>
      <c r="B272" s="5" t="s">
        <v>590</v>
      </c>
      <c r="C272" s="5" t="s">
        <v>493</v>
      </c>
      <c r="D272" s="6"/>
      <c r="E272" s="7" t="str">
        <f aca="false">IFERROR(__xludf.dummyfunction("lower(GOOGLETRANSLATE(B272,""es"",""en""))"),"you have a lot of homework?")</f>
        <v>you have a lot of homework?</v>
      </c>
      <c r="F272" s="7" t="str">
        <f aca="false">IFERROR(__xludf.dummyfunction("lower(GOOGLETRANSLATE(A272,""en"",""es""))"),"¿tienes mucha tarea?")</f>
        <v>¿tienes mucha tarea?</v>
      </c>
      <c r="H272" s="0" t="str">
        <f aca="false">A272&amp;"|"&amp;B272</f>
        <v>do you have a lot of homework?|tienes mucha tarea?</v>
      </c>
    </row>
    <row r="273" customFormat="false" ht="15.75" hidden="false" customHeight="false" outlineLevel="0" collapsed="false">
      <c r="A273" s="4" t="s">
        <v>591</v>
      </c>
      <c r="B273" s="5" t="s">
        <v>592</v>
      </c>
      <c r="C273" s="5" t="s">
        <v>493</v>
      </c>
      <c r="D273" s="6"/>
      <c r="E273" s="7" t="str">
        <f aca="false">IFERROR(__xludf.dummyfunction("lower(GOOGLETRANSLATE(B273,""es"",""en""))"),"you have many feathers?")</f>
        <v>you have many feathers?</v>
      </c>
      <c r="F273" s="7" t="str">
        <f aca="false">IFERROR(__xludf.dummyfunction("lower(GOOGLETRANSLATE(A273,""en"",""es""))"),"¿tienes un montón de plumas?")</f>
        <v>¿tienes un montón de plumas?</v>
      </c>
      <c r="H273" s="0" t="str">
        <f aca="false">A273&amp;"|"&amp;B273</f>
        <v>do you have a lot of pens?|tienes muchas plumas?</v>
      </c>
    </row>
    <row r="274" customFormat="false" ht="15.75" hidden="false" customHeight="false" outlineLevel="0" collapsed="false">
      <c r="A274" s="4" t="s">
        <v>593</v>
      </c>
      <c r="B274" s="5" t="s">
        <v>594</v>
      </c>
      <c r="C274" s="5" t="s">
        <v>493</v>
      </c>
      <c r="D274" s="6"/>
      <c r="E274" s="7" t="str">
        <f aca="false">IFERROR(__xludf.dummyfunction("lower(GOOGLETRANSLATE(B274,""es"",""en""))"),"i have little task")</f>
        <v>i have little task</v>
      </c>
      <c r="F274" s="7" t="str">
        <f aca="false">IFERROR(__xludf.dummyfunction("lower(GOOGLETRANSLATE(A274,""en"",""es""))"),"tengo un poco de tarea")</f>
        <v>tengo un poco de tarea</v>
      </c>
      <c r="H274" s="0" t="str">
        <f aca="false">A274&amp;"|"&amp;B274</f>
        <v>i have a little homework|tengo poca tarea</v>
      </c>
    </row>
    <row r="275" customFormat="false" ht="15.75" hidden="false" customHeight="false" outlineLevel="0" collapsed="false">
      <c r="A275" s="4" t="s">
        <v>595</v>
      </c>
      <c r="B275" s="5" t="s">
        <v>596</v>
      </c>
      <c r="C275" s="5" t="s">
        <v>493</v>
      </c>
      <c r="D275" s="6"/>
      <c r="E275" s="7" t="str">
        <f aca="false">IFERROR(__xludf.dummyfunction("lower(GOOGLETRANSLATE(B275,""es"",""en""))"),"i have a pen")</f>
        <v>i have a pen</v>
      </c>
      <c r="F275" s="7" t="str">
        <f aca="false">IFERROR(__xludf.dummyfunction("lower(GOOGLETRANSLATE(A275,""en"",""es""))"),"tengo una pluma")</f>
        <v>tengo una pluma</v>
      </c>
      <c r="H275" s="0" t="str">
        <f aca="false">A275&amp;"|"&amp;B275</f>
        <v>i have one pen|tengo una pluma</v>
      </c>
    </row>
    <row r="276" customFormat="false" ht="15.75" hidden="false" customHeight="false" outlineLevel="0" collapsed="false">
      <c r="A276" s="4" t="s">
        <v>597</v>
      </c>
      <c r="B276" s="5" t="s">
        <v>598</v>
      </c>
      <c r="C276" s="5" t="s">
        <v>578</v>
      </c>
      <c r="D276" s="6"/>
      <c r="E276" s="7" t="str">
        <f aca="false">IFERROR(__xludf.dummyfunction("lower(GOOGLETRANSLATE(B276,""es"",""en""))"),"sorry")</f>
        <v>sorry</v>
      </c>
      <c r="F276" s="7" t="str">
        <f aca="false">IFERROR(__xludf.dummyfunction("lower(GOOGLETRANSLATE(A276,""en"",""es""))"),"lo siento")</f>
        <v>lo siento</v>
      </c>
      <c r="H276" s="0" t="str">
        <f aca="false">A276&amp;"|"&amp;B276</f>
        <v>i'm sorry|lo siento</v>
      </c>
    </row>
    <row r="277" customFormat="false" ht="15.75" hidden="false" customHeight="false" outlineLevel="0" collapsed="false">
      <c r="A277" s="4" t="s">
        <v>599</v>
      </c>
      <c r="B277" s="5" t="s">
        <v>600</v>
      </c>
      <c r="C277" s="5" t="s">
        <v>578</v>
      </c>
      <c r="D277" s="6"/>
      <c r="E277" s="7" t="str">
        <f aca="false">IFERROR(__xludf.dummyfunction("lower(GOOGLETRANSLATE(B277,""es"",""en""))"),"so sorry")</f>
        <v>so sorry</v>
      </c>
      <c r="F277" s="7" t="str">
        <f aca="false">IFERROR(__xludf.dummyfunction("lower(GOOGLETRANSLATE(A277,""en"",""es""))"),"lo siento mucho")</f>
        <v>lo siento mucho</v>
      </c>
      <c r="H277" s="0" t="str">
        <f aca="false">A277&amp;"|"&amp;B277</f>
        <v>i'm very sorry|lo siento mucho</v>
      </c>
    </row>
    <row r="278" customFormat="false" ht="15.75" hidden="false" customHeight="false" outlineLevel="0" collapsed="false">
      <c r="A278" s="4" t="s">
        <v>601</v>
      </c>
      <c r="B278" s="5" t="s">
        <v>602</v>
      </c>
      <c r="C278" s="5" t="s">
        <v>578</v>
      </c>
      <c r="D278" s="6"/>
      <c r="E278" s="7" t="str">
        <f aca="false">IFERROR(__xludf.dummyfunction("lower(GOOGLETRANSLATE(B278,""es"",""en""))"),"here")</f>
        <v>here</v>
      </c>
      <c r="F278" s="7" t="str">
        <f aca="false">IFERROR(__xludf.dummyfunction("lower(GOOGLETRANSLATE(A278,""en"",""es""))"),"aquí")</f>
        <v>aquí</v>
      </c>
      <c r="H278" s="0" t="str">
        <f aca="false">A278&amp;"|"&amp;B278</f>
        <v>here|aquí</v>
      </c>
    </row>
    <row r="279" customFormat="false" ht="15.75" hidden="false" customHeight="false" outlineLevel="0" collapsed="false">
      <c r="A279" s="4" t="s">
        <v>603</v>
      </c>
      <c r="B279" s="5" t="s">
        <v>604</v>
      </c>
      <c r="C279" s="5" t="s">
        <v>578</v>
      </c>
      <c r="D279" s="6"/>
      <c r="E279" s="7" t="str">
        <f aca="false">IFERROR(__xludf.dummyfunction("lower(GOOGLETRANSLATE(B279,""es"",""en""))"),"here it is")</f>
        <v>here it is</v>
      </c>
      <c r="F279" s="7" t="str">
        <f aca="false">IFERROR(__xludf.dummyfunction("lower(GOOGLETRANSLATE(A279,""en"",""es""))"),"aquí está")</f>
        <v>aquí está</v>
      </c>
      <c r="H279" s="0" t="str">
        <f aca="false">A279&amp;"|"&amp;B279</f>
        <v>here it is|aquí está</v>
      </c>
    </row>
    <row r="280" customFormat="false" ht="15.75" hidden="false" customHeight="false" outlineLevel="0" collapsed="false">
      <c r="A280" s="4" t="s">
        <v>605</v>
      </c>
      <c r="B280" s="5" t="s">
        <v>606</v>
      </c>
      <c r="C280" s="5" t="s">
        <v>578</v>
      </c>
      <c r="D280" s="6"/>
      <c r="E280" s="7" t="str">
        <f aca="false">IFERROR(__xludf.dummyfunction("lower(GOOGLETRANSLATE(B280,""es"",""en""))"),"there")</f>
        <v>there</v>
      </c>
      <c r="F280" s="7" t="str">
        <f aca="false">IFERROR(__xludf.dummyfunction("lower(GOOGLETRANSLATE(A280,""en"",""es""))"),"allí")</f>
        <v>allí</v>
      </c>
      <c r="H280" s="0" t="str">
        <f aca="false">A280&amp;"|"&amp;B280</f>
        <v>there|allí</v>
      </c>
    </row>
    <row r="281" customFormat="false" ht="15.75" hidden="false" customHeight="false" outlineLevel="0" collapsed="false">
      <c r="A281" s="4" t="s">
        <v>607</v>
      </c>
      <c r="B281" s="5" t="s">
        <v>608</v>
      </c>
      <c r="C281" s="5" t="s">
        <v>578</v>
      </c>
      <c r="D281" s="6"/>
      <c r="E281" s="7" t="str">
        <f aca="false">IFERROR(__xludf.dummyfunction("lower(GOOGLETRANSLATE(B281,""es"",""en""))"),"there is")</f>
        <v>there is</v>
      </c>
      <c r="F281" s="7" t="str">
        <f aca="false">IFERROR(__xludf.dummyfunction("lower(GOOGLETRANSLATE(A281,""en"",""es""))"),"ahí está")</f>
        <v>ahí está</v>
      </c>
      <c r="H281" s="0" t="str">
        <f aca="false">A281&amp;"|"&amp;B281</f>
        <v>there it is|allí está</v>
      </c>
    </row>
    <row r="282" customFormat="false" ht="15.75" hidden="false" customHeight="false" outlineLevel="0" collapsed="false">
      <c r="A282" s="4" t="s">
        <v>609</v>
      </c>
      <c r="B282" s="5" t="s">
        <v>610</v>
      </c>
      <c r="C282" s="5" t="s">
        <v>578</v>
      </c>
      <c r="D282" s="6"/>
      <c r="E282" s="7" t="str">
        <f aca="false">IFERROR(__xludf.dummyfunction("lower(GOOGLETRANSLATE(B282,""es"",""en""))"),"favorit @")</f>
        <v>favorit @</v>
      </c>
      <c r="F282" s="7" t="str">
        <f aca="false">IFERROR(__xludf.dummyfunction("lower(GOOGLETRANSLATE(A282,""en"",""es""))"),"favorito")</f>
        <v>favorito</v>
      </c>
      <c r="H282" s="0" t="str">
        <f aca="false">A282&amp;"|"&amp;B282</f>
        <v>favorite|favorit@</v>
      </c>
    </row>
    <row r="283" customFormat="false" ht="15.75" hidden="false" customHeight="false" outlineLevel="0" collapsed="false">
      <c r="A283" s="4" t="s">
        <v>611</v>
      </c>
      <c r="B283" s="5" t="s">
        <v>612</v>
      </c>
      <c r="C283" s="5" t="s">
        <v>578</v>
      </c>
      <c r="D283" s="6"/>
      <c r="E283" s="7" t="str">
        <f aca="false">IFERROR(__xludf.dummyfunction("lower(GOOGLETRANSLATE(B283,""es"",""en""))"),"plus")</f>
        <v>plus</v>
      </c>
      <c r="F283" s="7" t="str">
        <f aca="false">IFERROR(__xludf.dummyfunction("lower(GOOGLETRANSLATE(A283,""en"",""es""))"),"más / más")</f>
        <v>más / más</v>
      </c>
      <c r="H283" s="0" t="str">
        <f aca="false">A283&amp;"|"&amp;B283</f>
        <v>more/most|más</v>
      </c>
    </row>
    <row r="284" customFormat="false" ht="15.75" hidden="false" customHeight="false" outlineLevel="0" collapsed="false">
      <c r="A284" s="4" t="s">
        <v>613</v>
      </c>
      <c r="B284" s="5" t="s">
        <v>614</v>
      </c>
      <c r="C284" s="5" t="s">
        <v>578</v>
      </c>
      <c r="D284" s="6"/>
      <c r="E284" s="7" t="str">
        <f aca="false">IFERROR(__xludf.dummyfunction("lower(GOOGLETRANSLATE(B284,""es"",""en""))"),"less")</f>
        <v>less</v>
      </c>
      <c r="F284" s="7" t="str">
        <f aca="false">IFERROR(__xludf.dummyfunction("lower(GOOGLETRANSLATE(A284,""en"",""es""))"),"menos / menos / menos")</f>
        <v>menos / menos / menos</v>
      </c>
      <c r="H284" s="0" t="str">
        <f aca="false">A284&amp;"|"&amp;B284</f>
        <v>less/fewer/least|menos</v>
      </c>
    </row>
    <row r="285" customFormat="false" ht="15.75" hidden="false" customHeight="false" outlineLevel="0" collapsed="false">
      <c r="A285" s="4" t="s">
        <v>615</v>
      </c>
      <c r="B285" s="5" t="s">
        <v>616</v>
      </c>
      <c r="C285" s="5" t="s">
        <v>617</v>
      </c>
      <c r="D285" s="6"/>
      <c r="E285" s="7" t="str">
        <f aca="false">IFERROR(__xludf.dummyfunction("lower(GOOGLETRANSLATE(B285,""es"",""en""))"),"i speak")</f>
        <v>i speak</v>
      </c>
      <c r="F285" s="7" t="str">
        <f aca="false">IFERROR(__xludf.dummyfunction("lower(GOOGLETRANSLATE(A285,""en"",""es""))"),"yo hablo")</f>
        <v>yo hablo</v>
      </c>
      <c r="H285" s="0" t="str">
        <f aca="false">A285&amp;"|"&amp;B285</f>
        <v>i speak|yo hablo</v>
      </c>
    </row>
    <row r="286" customFormat="false" ht="15.75" hidden="false" customHeight="false" outlineLevel="0" collapsed="false">
      <c r="A286" s="4" t="s">
        <v>618</v>
      </c>
      <c r="B286" s="5" t="s">
        <v>619</v>
      </c>
      <c r="C286" s="5" t="s">
        <v>617</v>
      </c>
      <c r="D286" s="6"/>
      <c r="E286" s="7" t="str">
        <f aca="false">IFERROR(__xludf.dummyfunction("lower(GOOGLETRANSLATE(B286,""es"",""en""))"),"you speak")</f>
        <v>you speak</v>
      </c>
      <c r="F286" s="7" t="str">
        <f aca="false">IFERROR(__xludf.dummyfunction("lower(GOOGLETRANSLATE(A286,""en"",""es""))"),"tu hablas")</f>
        <v>tu hablas</v>
      </c>
      <c r="H286" s="0" t="str">
        <f aca="false">A286&amp;"|"&amp;B286</f>
        <v>you speak|tú hablas</v>
      </c>
    </row>
    <row r="287" customFormat="false" ht="15.75" hidden="false" customHeight="false" outlineLevel="0" collapsed="false">
      <c r="A287" s="4" t="s">
        <v>620</v>
      </c>
      <c r="B287" s="5" t="s">
        <v>621</v>
      </c>
      <c r="C287" s="5" t="s">
        <v>617</v>
      </c>
      <c r="D287" s="6"/>
      <c r="E287" s="7" t="str">
        <f aca="false">IFERROR(__xludf.dummyfunction("lower(GOOGLETRANSLATE(B287,""es"",""en""))"),"he speaks")</f>
        <v>he speaks</v>
      </c>
      <c r="F287" s="7" t="str">
        <f aca="false">IFERROR(__xludf.dummyfunction("lower(GOOGLETRANSLATE(A287,""en"",""es""))"),"él habla")</f>
        <v>él habla</v>
      </c>
      <c r="H287" s="0" t="str">
        <f aca="false">A287&amp;"|"&amp;B287</f>
        <v>he speaks|el habla</v>
      </c>
    </row>
    <row r="288" customFormat="false" ht="15.75" hidden="false" customHeight="false" outlineLevel="0" collapsed="false">
      <c r="A288" s="4" t="s">
        <v>622</v>
      </c>
      <c r="B288" s="5" t="s">
        <v>623</v>
      </c>
      <c r="C288" s="5" t="s">
        <v>617</v>
      </c>
      <c r="D288" s="6"/>
      <c r="E288" s="7" t="str">
        <f aca="false">IFERROR(__xludf.dummyfunction("lower(GOOGLETRANSLATE(B288,""es"",""en""))"),"she talks")</f>
        <v>she talks</v>
      </c>
      <c r="F288" s="7" t="str">
        <f aca="false">IFERROR(__xludf.dummyfunction("lower(GOOGLETRANSLATE(A288,""en"",""es""))"),"ella habla")</f>
        <v>ella habla</v>
      </c>
      <c r="H288" s="0" t="str">
        <f aca="false">A288&amp;"|"&amp;B288</f>
        <v>she speaks|ella habla</v>
      </c>
    </row>
    <row r="289" customFormat="false" ht="15.75" hidden="false" customHeight="false" outlineLevel="0" collapsed="false">
      <c r="A289" s="4" t="s">
        <v>624</v>
      </c>
      <c r="B289" s="5" t="s">
        <v>625</v>
      </c>
      <c r="C289" s="5" t="s">
        <v>617</v>
      </c>
      <c r="D289" s="6"/>
      <c r="E289" s="7" t="str">
        <f aca="false">IFERROR(__xludf.dummyfunction("lower(GOOGLETRANSLATE(B289,""es"",""en""))"),"you speak")</f>
        <v>you speak</v>
      </c>
      <c r="F289" s="7" t="str">
        <f aca="false">IFERROR(__xludf.dummyfunction("lower(GOOGLETRANSLATE(A289,""en"",""es""))"),"usted habla (formal)")</f>
        <v>usted habla (formal)</v>
      </c>
      <c r="H289" s="0" t="str">
        <f aca="false">A289&amp;"|"&amp;B289</f>
        <v>you (formal) speak|usted habla</v>
      </c>
    </row>
    <row r="290" customFormat="false" ht="15.75" hidden="false" customHeight="false" outlineLevel="0" collapsed="false">
      <c r="A290" s="4" t="s">
        <v>626</v>
      </c>
      <c r="B290" s="5" t="s">
        <v>627</v>
      </c>
      <c r="C290" s="5" t="s">
        <v>617</v>
      </c>
      <c r="D290" s="6"/>
      <c r="E290" s="7" t="str">
        <f aca="false">IFERROR(__xludf.dummyfunction("lower(GOOGLETRANSLATE(B290,""es"",""en""))"),"we talk")</f>
        <v>we talk</v>
      </c>
      <c r="F290" s="7" t="str">
        <f aca="false">IFERROR(__xludf.dummyfunction("lower(GOOGLETRANSLATE(A290,""en"",""es""))"),"hablamos")</f>
        <v>hablamos</v>
      </c>
      <c r="H290" s="0" t="str">
        <f aca="false">A290&amp;"|"&amp;B290</f>
        <v>we speak|nosotros hablamos</v>
      </c>
    </row>
    <row r="291" customFormat="false" ht="15.75" hidden="false" customHeight="false" outlineLevel="0" collapsed="false">
      <c r="A291" s="4" t="s">
        <v>628</v>
      </c>
      <c r="B291" s="5" t="s">
        <v>629</v>
      </c>
      <c r="C291" s="5" t="s">
        <v>617</v>
      </c>
      <c r="D291" s="6"/>
      <c r="E291" s="7" t="str">
        <f aca="false">IFERROR(__xludf.dummyfunction("lower(GOOGLETRANSLATE(B291,""es"",""en""))"),"you talk")</f>
        <v>you talk</v>
      </c>
      <c r="F291" s="7" t="str">
        <f aca="false">IFERROR(__xludf.dummyfunction("lower(GOOGLETRANSLATE(A291,""en"",""es""))"),"usted (plural) hablan")</f>
        <v>usted (plural) hablan</v>
      </c>
      <c r="H291" s="0" t="str">
        <f aca="false">A291&amp;"|"&amp;B291</f>
        <v>you (plural) speak|vosotros habláis</v>
      </c>
    </row>
    <row r="292" customFormat="false" ht="15.75" hidden="false" customHeight="false" outlineLevel="0" collapsed="false">
      <c r="A292" s="4" t="s">
        <v>630</v>
      </c>
      <c r="B292" s="5" t="s">
        <v>631</v>
      </c>
      <c r="C292" s="5" t="s">
        <v>617</v>
      </c>
      <c r="D292" s="6"/>
      <c r="E292" s="7" t="str">
        <f aca="false">IFERROR(__xludf.dummyfunction("lower(GOOGLETRANSLATE(B292,""es"",""en""))"),"(they / them) speak")</f>
        <v>(they / them) speak</v>
      </c>
      <c r="F292" s="7" t="str">
        <f aca="false">IFERROR(__xludf.dummyfunction("lower(GOOGLETRANSLATE(A292,""en"",""es""))"),"ellos hablan")</f>
        <v>ellos hablan</v>
      </c>
      <c r="H292" s="0" t="str">
        <f aca="false">A292&amp;"|"&amp;B292</f>
        <v>they speak|(ellos/ellas) hablan</v>
      </c>
    </row>
    <row r="293" customFormat="false" ht="15.75" hidden="false" customHeight="false" outlineLevel="0" collapsed="false">
      <c r="A293" s="4" t="s">
        <v>632</v>
      </c>
      <c r="B293" s="5" t="s">
        <v>633</v>
      </c>
      <c r="C293" s="5" t="s">
        <v>617</v>
      </c>
      <c r="D293" s="6"/>
      <c r="E293" s="7" t="str">
        <f aca="false">IFERROR(__xludf.dummyfunction("lower(GOOGLETRANSLATE(B293,""es"",""en""))"),"you talk")</f>
        <v>you talk</v>
      </c>
      <c r="F293" s="7" t="str">
        <f aca="false">IFERROR(__xludf.dummyfunction("lower(GOOGLETRANSLATE(A293,""en"",""es""))"),"usted (plural, formal) hablan")</f>
        <v>usted (plural, formal) hablan</v>
      </c>
      <c r="H293" s="0" t="str">
        <f aca="false">A293&amp;"|"&amp;B293</f>
        <v>you (plural, formal) speak|ustedes hablan</v>
      </c>
    </row>
    <row r="294" customFormat="false" ht="15.75" hidden="false" customHeight="false" outlineLevel="0" collapsed="false">
      <c r="A294" s="4" t="s">
        <v>634</v>
      </c>
      <c r="B294" s="5" t="s">
        <v>635</v>
      </c>
      <c r="C294" s="5" t="s">
        <v>578</v>
      </c>
      <c r="D294" s="6"/>
      <c r="E294" s="7" t="str">
        <f aca="false">IFERROR(__xludf.dummyfunction("lower(GOOGLETRANSLATE(B294,""es"",""en""))"),"of")</f>
        <v>of</v>
      </c>
      <c r="F294" s="7" t="str">
        <f aca="false">IFERROR(__xludf.dummyfunction("lower(GOOGLETRANSLATE(A294,""en"",""es""))"),"de desde")</f>
        <v>de desde</v>
      </c>
      <c r="H294" s="0" t="str">
        <f aca="false">A294&amp;"|"&amp;B294</f>
        <v>of/from|de</v>
      </c>
    </row>
    <row r="295" customFormat="false" ht="15.75" hidden="false" customHeight="false" outlineLevel="0" collapsed="false">
      <c r="A295" s="4" t="s">
        <v>636</v>
      </c>
      <c r="B295" s="5" t="s">
        <v>637</v>
      </c>
      <c r="C295" s="5" t="s">
        <v>578</v>
      </c>
      <c r="D295" s="6"/>
      <c r="E295" s="7" t="str">
        <f aca="false">IFERROR(__xludf.dummyfunction("lower(GOOGLETRANSLATE(B295,""es"",""en""))"),"from school")</f>
        <v>from school</v>
      </c>
      <c r="F295" s="7" t="str">
        <f aca="false">IFERROR(__xludf.dummyfunction("lower(GOOGLETRANSLATE(A295,""en"",""es""))"),"desde la escuela")</f>
        <v>desde la escuela</v>
      </c>
      <c r="H295" s="0" t="str">
        <f aca="false">A295&amp;"|"&amp;B295</f>
        <v>from the school|de la escuela</v>
      </c>
    </row>
    <row r="296" customFormat="false" ht="15.75" hidden="false" customHeight="false" outlineLevel="0" collapsed="false">
      <c r="A296" s="4" t="s">
        <v>638</v>
      </c>
      <c r="B296" s="5" t="s">
        <v>639</v>
      </c>
      <c r="C296" s="5" t="s">
        <v>578</v>
      </c>
      <c r="D296" s="6"/>
      <c r="E296" s="7" t="str">
        <f aca="false">IFERROR(__xludf.dummyfunction("lower(GOOGLETRANSLATE(B296,""es"",""en""))"),"to")</f>
        <v>to</v>
      </c>
      <c r="F296" s="7" t="str">
        <f aca="false">IFERROR(__xludf.dummyfunction("lower(GOOGLETRANSLATE(A296,""en"",""es""))"),"a (dirección)")</f>
        <v>a (dirección)</v>
      </c>
      <c r="H296" s="0" t="str">
        <f aca="false">A296&amp;"|"&amp;B296</f>
        <v>to (direction)|a</v>
      </c>
    </row>
    <row r="297" customFormat="false" ht="15.75" hidden="false" customHeight="false" outlineLevel="0" collapsed="false">
      <c r="A297" s="4" t="s">
        <v>640</v>
      </c>
      <c r="B297" s="5" t="s">
        <v>641</v>
      </c>
      <c r="C297" s="5" t="s">
        <v>578</v>
      </c>
      <c r="D297" s="6"/>
      <c r="E297" s="7" t="str">
        <f aca="false">IFERROR(__xludf.dummyfunction("lower(GOOGLETRANSLATE(B297,""es"",""en""))"),"to school")</f>
        <v>to school</v>
      </c>
      <c r="F297" s="7" t="str">
        <f aca="false">IFERROR(__xludf.dummyfunction("lower(GOOGLETRANSLATE(A297,""en"",""es""))"),"a la escuela")</f>
        <v>a la escuela</v>
      </c>
      <c r="H297" s="0" t="str">
        <f aca="false">A297&amp;"|"&amp;B297</f>
        <v>to the school|a la escuela</v>
      </c>
    </row>
    <row r="298" customFormat="false" ht="15.75" hidden="false" customHeight="false" outlineLevel="0" collapsed="false">
      <c r="A298" s="4" t="s">
        <v>642</v>
      </c>
      <c r="B298" s="5" t="s">
        <v>643</v>
      </c>
      <c r="C298" s="5" t="s">
        <v>644</v>
      </c>
      <c r="D298" s="6"/>
      <c r="E298" s="7" t="str">
        <f aca="false">IFERROR(__xludf.dummyfunction("lower(GOOGLETRANSLATE(B298,""es"",""en""))"),"monday to friday")</f>
        <v>monday to friday</v>
      </c>
      <c r="F298" s="7" t="str">
        <f aca="false">IFERROR(__xludf.dummyfunction("lower(GOOGLETRANSLATE(A298,""en"",""es""))"),"de lunes a viernes")</f>
        <v>de lunes a viernes</v>
      </c>
      <c r="H298" s="0" t="str">
        <f aca="false">A298&amp;"|"&amp;B298</f>
        <v>from monday to friday|de lunes a viernes</v>
      </c>
    </row>
    <row r="299" customFormat="false" ht="15.75" hidden="false" customHeight="false" outlineLevel="0" collapsed="false">
      <c r="A299" s="4" t="s">
        <v>645</v>
      </c>
      <c r="B299" s="5" t="s">
        <v>646</v>
      </c>
      <c r="C299" s="5" t="s">
        <v>126</v>
      </c>
      <c r="D299" s="6"/>
      <c r="E299" s="7" t="str">
        <f aca="false">IFERROR(__xludf.dummyfunction("lower(GOOGLETRANSLATE(B299,""es"",""en""))"),"today is wednesday")</f>
        <v>today is wednesday</v>
      </c>
      <c r="F299" s="7" t="str">
        <f aca="false">IFERROR(__xludf.dummyfunction("lower(GOOGLETRANSLATE(A299,""en"",""es""))"),"hoy es miercoles")</f>
        <v>hoy es miercoles</v>
      </c>
      <c r="H299" s="0" t="str">
        <f aca="false">A299&amp;"|"&amp;B299</f>
        <v>today is wednesday|hoy es miércoles</v>
      </c>
    </row>
    <row r="300" customFormat="false" ht="15.75" hidden="false" customHeight="false" outlineLevel="0" collapsed="false">
      <c r="A300" s="4" t="s">
        <v>647</v>
      </c>
      <c r="B300" s="5" t="s">
        <v>648</v>
      </c>
      <c r="C300" s="5" t="s">
        <v>328</v>
      </c>
      <c r="D300" s="6"/>
      <c r="E300" s="7" t="str">
        <f aca="false">IFERROR(__xludf.dummyfunction("lower(GOOGLETRANSLATE(B300,""es"",""en""))"),"artístic @")</f>
        <v>artístic @</v>
      </c>
      <c r="F300" s="7" t="str">
        <f aca="false">IFERROR(__xludf.dummyfunction("lower(GOOGLETRANSLATE(A300,""en"",""es""))"),"artístico")</f>
        <v>artístico</v>
      </c>
      <c r="H300" s="0" t="str">
        <f aca="false">A300&amp;"|"&amp;B300</f>
        <v>artistic|artístic@</v>
      </c>
    </row>
    <row r="301" customFormat="false" ht="15.75" hidden="false" customHeight="false" outlineLevel="0" collapsed="false">
      <c r="A301" s="4" t="s">
        <v>649</v>
      </c>
      <c r="B301" s="5" t="s">
        <v>650</v>
      </c>
      <c r="C301" s="5" t="s">
        <v>328</v>
      </c>
      <c r="D301" s="6"/>
      <c r="E301" s="7" t="str">
        <f aca="false">IFERROR(__xludf.dummyfunction("lower(GOOGLETRANSLATE(B301,""es"",""en""))"),"atrevid @")</f>
        <v>atrevid @</v>
      </c>
      <c r="F301" s="7" t="str">
        <f aca="false">IFERROR(__xludf.dummyfunction("lower(GOOGLETRANSLATE(A301,""en"",""es""))"),"atrevido")</f>
        <v>atrevido</v>
      </c>
      <c r="H301" s="0" t="str">
        <f aca="false">A301&amp;"|"&amp;B301</f>
        <v>daring|atrevid@</v>
      </c>
    </row>
    <row r="302" customFormat="false" ht="15.75" hidden="false" customHeight="false" outlineLevel="0" collapsed="false">
      <c r="A302" s="4" t="s">
        <v>651</v>
      </c>
      <c r="B302" s="5" t="s">
        <v>652</v>
      </c>
      <c r="C302" s="5" t="s">
        <v>328</v>
      </c>
      <c r="D302" s="6"/>
      <c r="E302" s="7" t="str">
        <f aca="false">IFERROR(__xludf.dummyfunction("lower(GOOGLETRANSLATE(B302,""es"",""en""))"),"be silent @")</f>
        <v>be silent @</v>
      </c>
      <c r="F302" s="7" t="str">
        <f aca="false">IFERROR(__xludf.dummyfunction("lower(GOOGLETRANSLATE(A302,""en"",""es""))"),"tranquilo")</f>
        <v>tranquilo</v>
      </c>
      <c r="H302" s="0" t="str">
        <f aca="false">A302&amp;"|"&amp;B302</f>
        <v>quiet|callad@</v>
      </c>
    </row>
    <row r="303" customFormat="false" ht="15.75" hidden="false" customHeight="false" outlineLevel="0" collapsed="false">
      <c r="A303" s="4" t="s">
        <v>653</v>
      </c>
      <c r="B303" s="5" t="s">
        <v>654</v>
      </c>
      <c r="C303" s="5" t="s">
        <v>328</v>
      </c>
      <c r="D303" s="6"/>
      <c r="E303" s="7" t="str">
        <f aca="false">IFERROR(__xludf.dummyfunction("lower(GOOGLETRANSLATE(B303,""es"",""en""))"),"desordenad @")</f>
        <v>desordenad @</v>
      </c>
      <c r="F303" s="7" t="str">
        <f aca="false">IFERROR(__xludf.dummyfunction("lower(GOOGLETRANSLATE(A303,""en"",""es""))"),"desorganizada")</f>
        <v>desorganizada</v>
      </c>
      <c r="H303" s="0" t="str">
        <f aca="false">A303&amp;"|"&amp;B303</f>
        <v>unorganized|desordenad@</v>
      </c>
    </row>
    <row r="304" customFormat="false" ht="15.75" hidden="false" customHeight="false" outlineLevel="0" collapsed="false">
      <c r="A304" s="4" t="s">
        <v>655</v>
      </c>
      <c r="B304" s="5" t="s">
        <v>656</v>
      </c>
      <c r="C304" s="5" t="s">
        <v>328</v>
      </c>
      <c r="D304" s="6"/>
      <c r="E304" s="7" t="str">
        <f aca="false">IFERROR(__xludf.dummyfunction("lower(GOOGLETRANSLATE(B304,""es"",""en""))"),"genders@")</f>
        <v>genders@</v>
      </c>
      <c r="F304" s="7" t="str">
        <f aca="false">IFERROR(__xludf.dummyfunction("lower(GOOGLETRANSLATE(A304,""en"",""es""))"),"generoso")</f>
        <v>generoso</v>
      </c>
      <c r="H304" s="0" t="str">
        <f aca="false">A304&amp;"|"&amp;B304</f>
        <v>generous|generos@</v>
      </c>
    </row>
    <row r="305" customFormat="false" ht="15.75" hidden="false" customHeight="false" outlineLevel="0" collapsed="false">
      <c r="A305" s="4" t="s">
        <v>657</v>
      </c>
      <c r="B305" s="5" t="s">
        <v>658</v>
      </c>
      <c r="C305" s="5" t="s">
        <v>328</v>
      </c>
      <c r="D305" s="6"/>
      <c r="E305" s="7" t="str">
        <f aca="false">IFERROR(__xludf.dummyfunction("lower(GOOGLETRANSLATE(B305,""es"",""en""))"),"gracios @")</f>
        <v>gracios @</v>
      </c>
      <c r="F305" s="7" t="str">
        <f aca="false">IFERROR(__xludf.dummyfunction("lower(GOOGLETRANSLATE(A305,""en"",""es""))"),"gracioso")</f>
        <v>gracioso</v>
      </c>
      <c r="H305" s="0" t="str">
        <f aca="false">A305&amp;"|"&amp;B305</f>
        <v>funny|gracios@</v>
      </c>
    </row>
    <row r="306" customFormat="false" ht="15.75" hidden="false" customHeight="false" outlineLevel="0" collapsed="false">
      <c r="A306" s="4" t="s">
        <v>659</v>
      </c>
      <c r="B306" s="5" t="s">
        <v>660</v>
      </c>
      <c r="C306" s="5" t="s">
        <v>328</v>
      </c>
      <c r="D306" s="6"/>
      <c r="E306" s="7" t="str">
        <f aca="false">IFERROR(__xludf.dummyfunction("lower(GOOGLETRANSLATE(B306,""es"",""en""))"),"impatient")</f>
        <v>impatient</v>
      </c>
      <c r="F306" s="7" t="str">
        <f aca="false">IFERROR(__xludf.dummyfunction("lower(GOOGLETRANSLATE(A306,""en"",""es""))"),"impaciente")</f>
        <v>impaciente</v>
      </c>
      <c r="H306" s="0" t="str">
        <f aca="false">A306&amp;"|"&amp;B306</f>
        <v>impatient|impaciente</v>
      </c>
    </row>
    <row r="307" customFormat="false" ht="15.75" hidden="false" customHeight="false" outlineLevel="0" collapsed="false">
      <c r="A307" s="4" t="s">
        <v>661</v>
      </c>
      <c r="B307" s="5" t="s">
        <v>662</v>
      </c>
      <c r="C307" s="5" t="s">
        <v>328</v>
      </c>
      <c r="D307" s="6"/>
      <c r="E307" s="7" t="str">
        <f aca="false">IFERROR(__xludf.dummyfunction("lower(GOOGLETRANSLATE(B307,""es"",""en""))"),"ordered @")</f>
        <v>ordered @</v>
      </c>
      <c r="F307" s="7" t="str">
        <f aca="false">IFERROR(__xludf.dummyfunction("lower(GOOGLETRANSLATE(A307,""en"",""es""))"),"organizado")</f>
        <v>organizado</v>
      </c>
      <c r="H307" s="0" t="str">
        <f aca="false">A307&amp;"|"&amp;B307</f>
        <v>organized|ordenad@</v>
      </c>
    </row>
    <row r="308" customFormat="false" ht="15.75" hidden="false" customHeight="false" outlineLevel="0" collapsed="false">
      <c r="A308" s="4" t="s">
        <v>663</v>
      </c>
      <c r="B308" s="5" t="s">
        <v>664</v>
      </c>
      <c r="C308" s="5" t="s">
        <v>328</v>
      </c>
      <c r="D308" s="6"/>
      <c r="E308" s="7" t="str">
        <f aca="false">IFERROR(__xludf.dummyfunction("lower(GOOGLETRANSLATE(B308,""es"",""en""))"),"patient")</f>
        <v>patient</v>
      </c>
      <c r="F308" s="7" t="str">
        <f aca="false">IFERROR(__xludf.dummyfunction("lower(GOOGLETRANSLATE(A308,""en"",""es""))"),"paciente")</f>
        <v>paciente</v>
      </c>
      <c r="H308" s="0" t="str">
        <f aca="false">A308&amp;"|"&amp;B308</f>
        <v>patient|paciente</v>
      </c>
    </row>
    <row r="309" customFormat="false" ht="15.75" hidden="false" customHeight="false" outlineLevel="0" collapsed="false">
      <c r="A309" s="4" t="s">
        <v>665</v>
      </c>
      <c r="B309" s="5" t="s">
        <v>666</v>
      </c>
      <c r="C309" s="5" t="s">
        <v>328</v>
      </c>
      <c r="D309" s="6"/>
      <c r="E309" s="7" t="str">
        <f aca="false">IFERROR(__xludf.dummyfunction("lower(GOOGLETRANSLATE(B309,""es"",""en""))"),"perezos @")</f>
        <v>perezos @</v>
      </c>
      <c r="F309" s="7" t="str">
        <f aca="false">IFERROR(__xludf.dummyfunction("lower(GOOGLETRANSLATE(A309,""en"",""es""))"),"perezoso")</f>
        <v>perezoso</v>
      </c>
      <c r="H309" s="0" t="str">
        <f aca="false">A309&amp;"|"&amp;B309</f>
        <v>lazy|perezos@</v>
      </c>
    </row>
    <row r="310" customFormat="false" ht="15.75" hidden="false" customHeight="false" outlineLevel="0" collapsed="false">
      <c r="A310" s="4" t="s">
        <v>667</v>
      </c>
      <c r="B310" s="5" t="s">
        <v>668</v>
      </c>
      <c r="C310" s="5" t="s">
        <v>328</v>
      </c>
      <c r="D310" s="6"/>
      <c r="E310" s="7" t="str">
        <f aca="false">IFERROR(__xludf.dummyfunction("lower(GOOGLETRANSLATE(B310,""es"",""en""))"),"tacan @")</f>
        <v>tacan @</v>
      </c>
      <c r="F310" s="7" t="str">
        <f aca="false">IFERROR(__xludf.dummyfunction("lower(GOOGLETRANSLATE(A310,""en"",""es""))"),"barato / tacaños")</f>
        <v>barato / tacaños</v>
      </c>
      <c r="H310" s="0" t="str">
        <f aca="false">A310&amp;"|"&amp;B310</f>
        <v>cheap/stingy|tacañ@</v>
      </c>
    </row>
    <row r="311" customFormat="false" ht="15.75" hidden="false" customHeight="false" outlineLevel="0" collapsed="false">
      <c r="A311" s="4" t="s">
        <v>669</v>
      </c>
      <c r="B311" s="5" t="s">
        <v>670</v>
      </c>
      <c r="C311" s="5" t="s">
        <v>328</v>
      </c>
      <c r="D311" s="6"/>
      <c r="E311" s="7" t="str">
        <f aca="false">IFERROR(__xludf.dummyfunction("lower(GOOGLETRANSLATE(B311,""es"",""en""))"),"employee@")</f>
        <v>employee@</v>
      </c>
      <c r="F311" s="7" t="str">
        <f aca="false">IFERROR(__xludf.dummyfunction("lower(GOOGLETRANSLATE(A311,""en"",""es""))"),"trabajo duro")</f>
        <v>trabajo duro</v>
      </c>
      <c r="H311" s="0" t="str">
        <f aca="false">A311&amp;"|"&amp;B311</f>
        <v>hard working|trabajador@</v>
      </c>
    </row>
    <row r="312" customFormat="false" ht="15.75" hidden="false" customHeight="false" outlineLevel="0" collapsed="false">
      <c r="A312" s="4" t="s">
        <v>671</v>
      </c>
      <c r="B312" s="5" t="s">
        <v>672</v>
      </c>
      <c r="C312" s="5" t="s">
        <v>199</v>
      </c>
      <c r="D312" s="6"/>
      <c r="E312" s="7" t="str">
        <f aca="false">IFERROR(__xludf.dummyfunction("lower(GOOGLETRANSLATE(B312,""es"",""en""))"),"i like it too)")</f>
        <v>i like it too)</v>
      </c>
      <c r="F312" s="7" t="str">
        <f aca="false">IFERROR(__xludf.dummyfunction("lower(GOOGLETRANSLATE(A312,""en"",""es""))"),"a mí también me gusta")</f>
        <v>a mí también me gusta</v>
      </c>
      <c r="H312" s="0" t="str">
        <f aca="false">A312&amp;"|"&amp;B312</f>
        <v>i like it too|a mí también (me gusta)</v>
      </c>
    </row>
    <row r="313" customFormat="false" ht="15.75" hidden="false" customHeight="false" outlineLevel="0" collapsed="false">
      <c r="A313" s="4" t="s">
        <v>673</v>
      </c>
      <c r="B313" s="5" t="s">
        <v>674</v>
      </c>
      <c r="C313" s="5" t="s">
        <v>199</v>
      </c>
      <c r="D313" s="6" t="s">
        <v>675</v>
      </c>
      <c r="E313" s="7" t="str">
        <f aca="false">IFERROR(__xludf.dummyfunction("lower(GOOGLETRANSLATE(B313,""es"",""en""))"),"(i do not like it")</f>
        <v>(i do not like it</v>
      </c>
      <c r="F313" s="7" t="str">
        <f aca="false">IFERROR(__xludf.dummyfunction("lower(GOOGLETRANSLATE(A313,""en"",""es""))"),"no me gusta")</f>
        <v>no me gusta</v>
      </c>
      <c r="H313" s="0" t="str">
        <f aca="false">A313&amp;"|"&amp;B313</f>
        <v>i don't like|(a mí) no me gusta</v>
      </c>
    </row>
    <row r="314" customFormat="false" ht="15.75" hidden="false" customHeight="false" outlineLevel="0" collapsed="false">
      <c r="A314" s="4" t="s">
        <v>676</v>
      </c>
      <c r="B314" s="5" t="s">
        <v>677</v>
      </c>
      <c r="C314" s="5" t="s">
        <v>199</v>
      </c>
      <c r="D314" s="5" t="s">
        <v>678</v>
      </c>
      <c r="E314" s="7" t="str">
        <f aca="false">IFERROR(__xludf.dummyfunction("lower(GOOGLETRANSLATE(B314,""es"",""en""))"),"i do not like it either")</f>
        <v>i do not like it either</v>
      </c>
      <c r="F314" s="7" t="str">
        <f aca="false">IFERROR(__xludf.dummyfunction("lower(GOOGLETRANSLATE(A314,""en"",""es""))"),"no me gusta o / ni")</f>
        <v>no me gusta o / ni</v>
      </c>
      <c r="H314" s="0" t="str">
        <f aca="false">A314&amp;"|"&amp;B314</f>
        <v>i don't like either/neither|no me gusta tampoco</v>
      </c>
    </row>
    <row r="315" customFormat="false" ht="15.75" hidden="false" customHeight="false" outlineLevel="0" collapsed="false">
      <c r="A315" s="4" t="s">
        <v>679</v>
      </c>
      <c r="B315" s="5" t="s">
        <v>680</v>
      </c>
      <c r="C315" s="5" t="s">
        <v>681</v>
      </c>
      <c r="D315" s="6"/>
      <c r="E315" s="7" t="str">
        <f aca="false">IFERROR(__xludf.dummyfunction("lower(GOOGLETRANSLATE(B315,""es"",""en""))"),"i")</f>
        <v>i</v>
      </c>
      <c r="F315" s="7" t="str">
        <f aca="false">IFERROR(__xludf.dummyfunction("lower(GOOGLETRANSLATE(A315,""en"",""es""))"),"me (objeto indirecto)")</f>
        <v>me (objeto indirecto)</v>
      </c>
      <c r="H315" s="0" t="str">
        <f aca="false">A315&amp;"|"&amp;B315</f>
        <v>me (indirect object)|me</v>
      </c>
    </row>
    <row r="316" customFormat="false" ht="15.75" hidden="false" customHeight="false" outlineLevel="0" collapsed="false">
      <c r="A316" s="4" t="s">
        <v>682</v>
      </c>
      <c r="B316" s="5" t="s">
        <v>683</v>
      </c>
      <c r="C316" s="5" t="s">
        <v>681</v>
      </c>
      <c r="D316" s="6"/>
      <c r="E316" s="7" t="str">
        <f aca="false">IFERROR(__xludf.dummyfunction("lower(GOOGLETRANSLATE(B316,""es"",""en""))"),"tea")</f>
        <v>tea</v>
      </c>
      <c r="F316" s="7" t="str">
        <f aca="false">IFERROR(__xludf.dummyfunction("lower(GOOGLETRANSLATE(A316,""en"",""es""))"),"usted (objeto indirecto)")</f>
        <v>usted (objeto indirecto)</v>
      </c>
      <c r="H316" s="0" t="str">
        <f aca="false">A316&amp;"|"&amp;B316</f>
        <v>you (indirect object)|te</v>
      </c>
    </row>
    <row r="317" customFormat="false" ht="15.75" hidden="false" customHeight="false" outlineLevel="0" collapsed="false">
      <c r="A317" s="4" t="s">
        <v>684</v>
      </c>
      <c r="B317" s="5" t="s">
        <v>685</v>
      </c>
      <c r="C317" s="5" t="s">
        <v>681</v>
      </c>
      <c r="D317" s="6"/>
      <c r="E317" s="7" t="str">
        <f aca="false">IFERROR(__xludf.dummyfunction("lower(GOOGLETRANSLATE(B317,""es"",""en""))"),"you")</f>
        <v>you</v>
      </c>
      <c r="F317" s="7" t="str">
        <f aca="false">IFERROR(__xludf.dummyfunction("lower(GOOGLETRANSLATE(A317,""en"",""es""))"),"él / ella (objeto indirecto)")</f>
        <v>él / ella (objeto indirecto)</v>
      </c>
      <c r="H317" s="0" t="str">
        <f aca="false">A317&amp;"|"&amp;B317</f>
        <v>him/her (indirect object)|le</v>
      </c>
    </row>
    <row r="318" customFormat="false" ht="15.75" hidden="false" customHeight="false" outlineLevel="0" collapsed="false">
      <c r="A318" s="4" t="s">
        <v>686</v>
      </c>
      <c r="B318" s="5" t="s">
        <v>687</v>
      </c>
      <c r="C318" s="5" t="s">
        <v>681</v>
      </c>
      <c r="D318" s="6"/>
      <c r="E318" s="7" t="str">
        <f aca="false">IFERROR(__xludf.dummyfunction("lower(GOOGLETRANSLATE(B318,""es"",""en""))"),"us")</f>
        <v>us</v>
      </c>
      <c r="F318" s="7" t="str">
        <f aca="false">IFERROR(__xludf.dummyfunction("lower(GOOGLETRANSLATE(A318,""en"",""es""))"),"nosotros (objeto indirecto)")</f>
        <v>nosotros (objeto indirecto)</v>
      </c>
      <c r="H318" s="0" t="str">
        <f aca="false">A318&amp;"|"&amp;B318</f>
        <v>us (indirect object)|nos</v>
      </c>
    </row>
    <row r="319" customFormat="false" ht="15.75" hidden="false" customHeight="false" outlineLevel="0" collapsed="false">
      <c r="A319" s="4" t="s">
        <v>688</v>
      </c>
      <c r="B319" s="5" t="s">
        <v>689</v>
      </c>
      <c r="C319" s="5" t="s">
        <v>681</v>
      </c>
      <c r="D319" s="6"/>
      <c r="E319" s="7" t="str">
        <f aca="false">IFERROR(__xludf.dummyfunction("lower(GOOGLETRANSLATE(B319,""es"",""en""))"),"you")</f>
        <v>you</v>
      </c>
      <c r="F319" s="7" t="str">
        <f aca="false">IFERROR(__xludf.dummyfunction("lower(GOOGLETRANSLATE(A319,""en"",""es""))"),"usted (plural) (objeto indirecto)")</f>
        <v>usted (plural) (objeto indirecto)</v>
      </c>
      <c r="H319" s="0" t="str">
        <f aca="false">A319&amp;"|"&amp;B319</f>
        <v>you (plural) (indirect object)|os</v>
      </c>
    </row>
    <row r="320" customFormat="false" ht="15.75" hidden="false" customHeight="false" outlineLevel="0" collapsed="false">
      <c r="A320" s="4" t="s">
        <v>690</v>
      </c>
      <c r="B320" s="5" t="s">
        <v>691</v>
      </c>
      <c r="C320" s="5" t="s">
        <v>681</v>
      </c>
      <c r="D320" s="6"/>
      <c r="E320" s="7" t="str">
        <f aca="false">IFERROR(__xludf.dummyfunction("lower(GOOGLETRANSLATE(B320,""es"",""en""))"),"them")</f>
        <v>them</v>
      </c>
      <c r="F320" s="7" t="str">
        <f aca="false">IFERROR(__xludf.dummyfunction("lower(GOOGLETRANSLATE(A320,""en"",""es""))"),"ellos (objeto indirecto)")</f>
        <v>ellos (objeto indirecto)</v>
      </c>
      <c r="H320" s="0" t="str">
        <f aca="false">A320&amp;"|"&amp;B320</f>
        <v>they (indirect object)|les</v>
      </c>
    </row>
    <row r="321" customFormat="false" ht="15.75" hidden="false" customHeight="false" outlineLevel="0" collapsed="false">
      <c r="A321" s="4" t="s">
        <v>692</v>
      </c>
      <c r="B321" s="5" t="s">
        <v>693</v>
      </c>
      <c r="C321" s="5" t="s">
        <v>313</v>
      </c>
      <c r="D321" s="6"/>
      <c r="E321" s="7" t="str">
        <f aca="false">IFERROR(__xludf.dummyfunction("lower(GOOGLETRANSLATE(B321,""es"",""en""))"),"you love it")</f>
        <v>you love it</v>
      </c>
      <c r="F321" s="7" t="str">
        <f aca="false">IFERROR(__xludf.dummyfunction("lower(GOOGLETRANSLATE(A321,""en"",""es""))"),"se deleita (singular, objeto singular)")</f>
        <v>se deleita (singular, objeto singular)</v>
      </c>
      <c r="H321" s="0" t="str">
        <f aca="false">A321&amp;"|"&amp;B321</f>
        <v>delights you (singular, singular object)|te encanta</v>
      </c>
    </row>
    <row r="322" customFormat="false" ht="15.75" hidden="false" customHeight="false" outlineLevel="0" collapsed="false">
      <c r="A322" s="4" t="s">
        <v>694</v>
      </c>
      <c r="B322" s="5" t="s">
        <v>695</v>
      </c>
      <c r="C322" s="5" t="s">
        <v>313</v>
      </c>
      <c r="D322" s="6"/>
      <c r="E322" s="7" t="str">
        <f aca="false">IFERROR(__xludf.dummyfunction("lower(GOOGLETRANSLATE(B322,""es"",""en""))"),"you love them")</f>
        <v>you love them</v>
      </c>
      <c r="F322" s="7" t="str">
        <f aca="false">IFERROR(__xludf.dummyfunction("lower(GOOGLETRANSLATE(A322,""en"",""es""))"),"se deleita (singular, plural objeto)")</f>
        <v>se deleita (singular, plural objeto)</v>
      </c>
      <c r="H322" s="0" t="str">
        <f aca="false">A322&amp;"|"&amp;B322</f>
        <v>delights you (singular, plural object)|te encantan</v>
      </c>
    </row>
    <row r="323" customFormat="false" ht="15.75" hidden="false" customHeight="false" outlineLevel="0" collapsed="false">
      <c r="A323" s="4" t="s">
        <v>696</v>
      </c>
      <c r="B323" s="5" t="s">
        <v>697</v>
      </c>
      <c r="C323" s="5" t="s">
        <v>313</v>
      </c>
      <c r="D323" s="6"/>
      <c r="E323" s="7" t="str">
        <f aca="false">IFERROR(__xludf.dummyfunction("lower(GOOGLETRANSLATE(B323,""es"",""en""))"),"loves")</f>
        <v>loves</v>
      </c>
      <c r="F323" s="7" t="str">
        <f aca="false">IFERROR(__xludf.dummyfunction("lower(GOOGLETRANSLATE(A323,""en"",""es""))"),"delicias él / ella (singular)")</f>
        <v>delicias él / ella (singular)</v>
      </c>
      <c r="H323" s="0" t="str">
        <f aca="false">A323&amp;"|"&amp;B323</f>
        <v>delights him/her (singular)|le encanta</v>
      </c>
    </row>
    <row r="324" customFormat="false" ht="15.75" hidden="false" customHeight="false" outlineLevel="0" collapsed="false">
      <c r="A324" s="4" t="s">
        <v>698</v>
      </c>
      <c r="B324" s="5" t="s">
        <v>699</v>
      </c>
      <c r="C324" s="5" t="s">
        <v>313</v>
      </c>
      <c r="D324" s="6"/>
      <c r="E324" s="7" t="str">
        <f aca="false">IFERROR(__xludf.dummyfunction("lower(GOOGLETRANSLATE(B324,""es"",""en""))"),"loves")</f>
        <v>loves</v>
      </c>
      <c r="F324" s="7" t="str">
        <f aca="false">IFERROR(__xludf.dummyfunction("lower(GOOGLETRANSLATE(A324,""en"",""es""))"),"le deleita / ella (plural)")</f>
        <v>le deleita / ella (plural)</v>
      </c>
      <c r="H324" s="0" t="str">
        <f aca="false">A324&amp;"|"&amp;B324</f>
        <v>delights him/her (plural)|le encantan</v>
      </c>
    </row>
    <row r="325" customFormat="false" ht="15.75" hidden="false" customHeight="false" outlineLevel="0" collapsed="false">
      <c r="A325" s="4" t="s">
        <v>700</v>
      </c>
      <c r="B325" s="5" t="s">
        <v>701</v>
      </c>
      <c r="C325" s="5" t="s">
        <v>313</v>
      </c>
      <c r="D325" s="6"/>
      <c r="E325" s="7" t="str">
        <f aca="false">IFERROR(__xludf.dummyfunction("lower(GOOGLETRANSLATE(B325,""es"",""en""))"),"we love")</f>
        <v>we love</v>
      </c>
      <c r="F325" s="7" t="str">
        <f aca="false">IFERROR(__xludf.dummyfunction("lower(GOOGLETRANSLATE(A325,""en"",""es""))"),"nosotros (en singular) se deleita")</f>
        <v>nosotros (en singular) se deleita</v>
      </c>
      <c r="H325" s="0" t="str">
        <f aca="false">A325&amp;"|"&amp;B325</f>
        <v>delights us (singular)|nos encanta</v>
      </c>
    </row>
    <row r="326" customFormat="false" ht="15.75" hidden="false" customHeight="false" outlineLevel="0" collapsed="false">
      <c r="A326" s="4" t="s">
        <v>702</v>
      </c>
      <c r="B326" s="5" t="s">
        <v>703</v>
      </c>
      <c r="C326" s="5" t="s">
        <v>313</v>
      </c>
      <c r="D326" s="6"/>
      <c r="E326" s="7" t="str">
        <f aca="false">IFERROR(__xludf.dummyfunction("lower(GOOGLETRANSLATE(B326,""es"",""en""))"),"we love them")</f>
        <v>we love them</v>
      </c>
      <c r="F326" s="7" t="str">
        <f aca="false">IFERROR(__xludf.dummyfunction("lower(GOOGLETRANSLATE(A326,""en"",""es""))"),"nosotros (plural) deleita")</f>
        <v>nosotros (plural) deleita</v>
      </c>
      <c r="H326" s="0" t="str">
        <f aca="false">A326&amp;"|"&amp;B326</f>
        <v>delights us (plural)|nos encantan</v>
      </c>
    </row>
    <row r="327" customFormat="false" ht="15.75" hidden="false" customHeight="false" outlineLevel="0" collapsed="false">
      <c r="A327" s="4" t="s">
        <v>704</v>
      </c>
      <c r="B327" s="5" t="s">
        <v>705</v>
      </c>
      <c r="C327" s="5" t="s">
        <v>313</v>
      </c>
      <c r="D327" s="6"/>
      <c r="E327" s="7" t="str">
        <f aca="false">IFERROR(__xludf.dummyfunction("lower(GOOGLETRANSLATE(B327,""es"",""en""))"),"i love it")</f>
        <v>i love it</v>
      </c>
      <c r="F327" s="7" t="str">
        <f aca="false">IFERROR(__xludf.dummyfunction("lower(GOOGLETRANSLATE(A327,""en"",""es""))"),"se deleita (en plural, objeto singular)")</f>
        <v>se deleita (en plural, objeto singular)</v>
      </c>
      <c r="H327" s="0" t="str">
        <f aca="false">A327&amp;"|"&amp;B327</f>
        <v>delights you (plural, singular object)|os encanta</v>
      </c>
    </row>
    <row r="328" customFormat="false" ht="15.75" hidden="false" customHeight="false" outlineLevel="0" collapsed="false">
      <c r="A328" s="4" t="s">
        <v>706</v>
      </c>
      <c r="B328" s="5" t="s">
        <v>707</v>
      </c>
      <c r="C328" s="5" t="s">
        <v>313</v>
      </c>
      <c r="D328" s="6"/>
      <c r="E328" s="7" t="str">
        <f aca="false">IFERROR(__xludf.dummyfunction("lower(GOOGLETRANSLATE(B328,""es"",""en""))"),"i love")</f>
        <v>i love</v>
      </c>
      <c r="F328" s="7" t="str">
        <f aca="false">IFERROR(__xludf.dummyfunction("lower(GOOGLETRANSLATE(A328,""en"",""es""))"),"se deleita (en plural, objeto plural)")</f>
        <v>se deleita (en plural, objeto plural)</v>
      </c>
      <c r="H328" s="0" t="str">
        <f aca="false">A328&amp;"|"&amp;B328</f>
        <v>delights you (plural, plural object)|os encantan</v>
      </c>
    </row>
    <row r="329" customFormat="false" ht="15.75" hidden="false" customHeight="false" outlineLevel="0" collapsed="false">
      <c r="A329" s="4" t="s">
        <v>708</v>
      </c>
      <c r="B329" s="5" t="s">
        <v>709</v>
      </c>
      <c r="C329" s="5" t="s">
        <v>313</v>
      </c>
      <c r="D329" s="6"/>
      <c r="E329" s="7" t="str">
        <f aca="false">IFERROR(__xludf.dummyfunction("lower(GOOGLETRANSLATE(B329,""es"",""en""))"),"they love")</f>
        <v>they love</v>
      </c>
      <c r="F329" s="7" t="str">
        <f aca="false">IFERROR(__xludf.dummyfunction("lower(GOOGLETRANSLATE(A329,""en"",""es""))"),"los placeres (singular)")</f>
        <v>los placeres (singular)</v>
      </c>
      <c r="H329" s="0" t="str">
        <f aca="false">A329&amp;"|"&amp;B329</f>
        <v>delights them (singular)|les encanta</v>
      </c>
    </row>
    <row r="330" customFormat="false" ht="15.75" hidden="false" customHeight="false" outlineLevel="0" collapsed="false">
      <c r="A330" s="4" t="s">
        <v>710</v>
      </c>
      <c r="B330" s="5" t="s">
        <v>711</v>
      </c>
      <c r="C330" s="5" t="s">
        <v>313</v>
      </c>
      <c r="D330" s="6"/>
      <c r="E330" s="7" t="str">
        <f aca="false">IFERROR(__xludf.dummyfunction("lower(GOOGLETRANSLATE(B330,""es"",""en""))"),"they love them")</f>
        <v>they love them</v>
      </c>
      <c r="F330" s="7" t="str">
        <f aca="false">IFERROR(__xludf.dummyfunction("lower(GOOGLETRANSLATE(A330,""en"",""es""))"),"ellos delicias (plural)")</f>
        <v>ellos delicias (plural)</v>
      </c>
      <c r="H330" s="0" t="str">
        <f aca="false">A330&amp;"|"&amp;B330</f>
        <v>delights them (plural)|les encantan</v>
      </c>
    </row>
    <row r="331" customFormat="false" ht="15.75" hidden="false" customHeight="false" outlineLevel="0" collapsed="false">
      <c r="A331" s="4" t="s">
        <v>712</v>
      </c>
      <c r="B331" s="5" t="s">
        <v>713</v>
      </c>
      <c r="C331" s="5" t="s">
        <v>215</v>
      </c>
      <c r="D331" s="6"/>
      <c r="E331" s="7" t="str">
        <f aca="false">IFERROR(__xludf.dummyfunction("lower(GOOGLETRANSLATE(B331,""es"",""en""))"),"we love music")</f>
        <v>we love music</v>
      </c>
      <c r="F331" s="7" t="str">
        <f aca="false">IFERROR(__xludf.dummyfunction("lower(GOOGLETRANSLATE(A331,""en"",""es""))"),"la música nos deleita")</f>
        <v>la música nos deleita</v>
      </c>
      <c r="H331" s="0" t="str">
        <f aca="false">A331&amp;"|"&amp;B331</f>
        <v>the music delights us|nos encanta la música</v>
      </c>
    </row>
    <row r="332" customFormat="false" ht="15.75" hidden="false" customHeight="false" outlineLevel="0" collapsed="false">
      <c r="A332" s="4" t="s">
        <v>714</v>
      </c>
      <c r="B332" s="5" t="s">
        <v>715</v>
      </c>
      <c r="C332" s="5" t="s">
        <v>215</v>
      </c>
      <c r="D332" s="6"/>
      <c r="E332" s="7" t="str">
        <f aca="false">IFERROR(__xludf.dummyfunction("lower(GOOGLETRANSLATE(B332,""es"",""en""))"),"i'm stingy")</f>
        <v>i'm stingy</v>
      </c>
      <c r="F332" s="7" t="str">
        <f aca="false">IFERROR(__xludf.dummyfunction("lower(GOOGLETRANSLATE(A332,""en"",""es""))"),"soy barato / tacaños")</f>
        <v>soy barato / tacaños</v>
      </c>
      <c r="H332" s="0" t="str">
        <f aca="false">A332&amp;"|"&amp;B332</f>
        <v>i am cheap/stingy|soy tacaño</v>
      </c>
    </row>
    <row r="333" customFormat="false" ht="15.75" hidden="false" customHeight="false" outlineLevel="0" collapsed="false">
      <c r="A333" s="4" t="s">
        <v>716</v>
      </c>
      <c r="B333" s="5" t="s">
        <v>717</v>
      </c>
      <c r="C333" s="5" t="s">
        <v>215</v>
      </c>
      <c r="D333" s="6"/>
      <c r="E333" s="7" t="str">
        <f aca="false">IFERROR(__xludf.dummyfunction("lower(GOOGLETRANSLATE(B333,""es"",""en""))"),"we are bold")</f>
        <v>we are bold</v>
      </c>
      <c r="F333" s="7" t="str">
        <f aca="false">IFERROR(__xludf.dummyfunction("lower(GOOGLETRANSLATE(A333,""en"",""es""))"),"nos atrevemos")</f>
        <v>nos atrevemos</v>
      </c>
      <c r="H333" s="0" t="str">
        <f aca="false">A333&amp;"|"&amp;B333</f>
        <v>we are daring|nosotros somos atrevidos</v>
      </c>
    </row>
    <row r="334" customFormat="false" ht="15.75" hidden="false" customHeight="false" outlineLevel="0" collapsed="false">
      <c r="A334" s="4" t="s">
        <v>718</v>
      </c>
      <c r="B334" s="5" t="s">
        <v>719</v>
      </c>
      <c r="C334" s="5" t="s">
        <v>383</v>
      </c>
      <c r="D334" s="6"/>
      <c r="E334" s="7" t="str">
        <f aca="false">IFERROR(__xludf.dummyfunction("lower(GOOGLETRANSLATE(B334,""es"",""en""))"),"lunch")</f>
        <v>lunch</v>
      </c>
      <c r="F334" s="7" t="str">
        <f aca="false">IFERROR(__xludf.dummyfunction("lower(GOOGLETRANSLATE(A334,""en"",""es""))"),"almuerzo")</f>
        <v>almuerzo</v>
      </c>
      <c r="H334" s="0" t="str">
        <f aca="false">A334&amp;"|"&amp;B334</f>
        <v>lunch|el almuerzo</v>
      </c>
    </row>
    <row r="335" customFormat="false" ht="15.75" hidden="false" customHeight="false" outlineLevel="0" collapsed="false">
      <c r="A335" s="4" t="s">
        <v>720</v>
      </c>
      <c r="B335" s="5" t="s">
        <v>721</v>
      </c>
      <c r="C335" s="5" t="s">
        <v>383</v>
      </c>
      <c r="D335" s="6"/>
      <c r="E335" s="7" t="str">
        <f aca="false">IFERROR(__xludf.dummyfunction("lower(GOOGLETRANSLATE(B335,""es"",""en""))"),"the art")</f>
        <v>the art</v>
      </c>
      <c r="F335" s="7" t="str">
        <f aca="false">IFERROR(__xludf.dummyfunction("lower(GOOGLETRANSLATE(A335,""en"",""es""))"),"arte")</f>
        <v>arte</v>
      </c>
      <c r="H335" s="0" t="str">
        <f aca="false">A335&amp;"|"&amp;B335</f>
        <v>art|el arte</v>
      </c>
    </row>
    <row r="336" customFormat="false" ht="15.75" hidden="false" customHeight="false" outlineLevel="0" collapsed="false">
      <c r="A336" s="4" t="s">
        <v>722</v>
      </c>
      <c r="B336" s="5" t="s">
        <v>723</v>
      </c>
      <c r="C336" s="5" t="s">
        <v>383</v>
      </c>
      <c r="D336" s="6"/>
      <c r="E336" s="7" t="str">
        <f aca="false">IFERROR(__xludf.dummyfunction("lower(GOOGLETRANSLATE(B336,""es"",""en""))"),"science")</f>
        <v>science</v>
      </c>
      <c r="F336" s="7" t="str">
        <f aca="false">IFERROR(__xludf.dummyfunction("lower(GOOGLETRANSLATE(A336,""en"",""es""))"),"ciencias")</f>
        <v>ciencias</v>
      </c>
      <c r="H336" s="0" t="str">
        <f aca="false">A336&amp;"|"&amp;B336</f>
        <v>science|las ciencias</v>
      </c>
    </row>
    <row r="337" customFormat="false" ht="15.75" hidden="false" customHeight="false" outlineLevel="0" collapsed="false">
      <c r="A337" s="4" t="s">
        <v>724</v>
      </c>
      <c r="B337" s="5" t="s">
        <v>725</v>
      </c>
      <c r="C337" s="5" t="s">
        <v>383</v>
      </c>
      <c r="D337" s="6"/>
      <c r="E337" s="7" t="str">
        <f aca="false">IFERROR(__xludf.dummyfunction("lower(GOOGLETRANSLATE(B337,""es"",""en""))"),"social sciences")</f>
        <v>social sciences</v>
      </c>
      <c r="F337" s="7" t="str">
        <f aca="false">IFERROR(__xludf.dummyfunction("lower(GOOGLETRANSLATE(A337,""en"",""es""))"),"ciencias sociales")</f>
        <v>ciencias sociales</v>
      </c>
      <c r="H337" s="0" t="str">
        <f aca="false">A337&amp;"|"&amp;B337</f>
        <v>social sciences|las ciencias sociales</v>
      </c>
    </row>
    <row r="338" customFormat="false" ht="15.75" hidden="false" customHeight="false" outlineLevel="0" collapsed="false">
      <c r="A338" s="4" t="s">
        <v>726</v>
      </c>
      <c r="B338" s="5" t="s">
        <v>727</v>
      </c>
      <c r="C338" s="5" t="s">
        <v>383</v>
      </c>
      <c r="D338" s="6"/>
      <c r="E338" s="7" t="str">
        <f aca="false">IFERROR(__xludf.dummyfunction("lower(GOOGLETRANSLATE(B338,""es"",""en""))"),"kind of")</f>
        <v>kind of</v>
      </c>
      <c r="F338" s="7" t="str">
        <f aca="false">IFERROR(__xludf.dummyfunction("lower(GOOGLETRANSLATE(A338,""en"",""es""))"),"clase de")</f>
        <v>clase de</v>
      </c>
      <c r="H338" s="0" t="str">
        <f aca="false">A338&amp;"|"&amp;B338</f>
        <v>class of|la clase de</v>
      </c>
    </row>
    <row r="339" customFormat="false" ht="15.75" hidden="false" customHeight="false" outlineLevel="0" collapsed="false">
      <c r="A339" s="4" t="s">
        <v>728</v>
      </c>
      <c r="B339" s="5" t="s">
        <v>729</v>
      </c>
      <c r="C339" s="5" t="s">
        <v>383</v>
      </c>
      <c r="D339" s="6"/>
      <c r="E339" s="7" t="str">
        <f aca="false">IFERROR(__xludf.dummyfunction("lower(GOOGLETRANSLATE(B339,""es"",""en""))"),"physical education")</f>
        <v>physical education</v>
      </c>
      <c r="F339" s="7" t="str">
        <f aca="false">IFERROR(__xludf.dummyfunction("lower(GOOGLETRANSLATE(A339,""en"",""es""))"),"educación física.")</f>
        <v>educación física.</v>
      </c>
      <c r="H339" s="0" t="str">
        <f aca="false">A339&amp;"|"&amp;B339</f>
        <v>p.e.|la educación fisica</v>
      </c>
    </row>
    <row r="340" customFormat="false" ht="15.75" hidden="false" customHeight="false" outlineLevel="0" collapsed="false">
      <c r="A340" s="4" t="s">
        <v>730</v>
      </c>
      <c r="B340" s="5" t="s">
        <v>731</v>
      </c>
      <c r="C340" s="5" t="s">
        <v>383</v>
      </c>
      <c r="D340" s="6"/>
      <c r="E340" s="7" t="str">
        <f aca="false">IFERROR(__xludf.dummyfunction("lower(GOOGLETRANSLATE(B340,""es"",""en""))"),"(the spanish")</f>
        <v>(the spanish</v>
      </c>
      <c r="F340" s="7" t="str">
        <f aca="false">IFERROR(__xludf.dummyfunction("lower(GOOGLETRANSLATE(A340,""en"",""es""))"),"español")</f>
        <v>español</v>
      </c>
      <c r="H340" s="0" t="str">
        <f aca="false">A340&amp;"|"&amp;B340</f>
        <v>spanish|(el) español</v>
      </c>
    </row>
    <row r="341" customFormat="false" ht="15.75" hidden="false" customHeight="false" outlineLevel="0" collapsed="false">
      <c r="A341" s="4" t="s">
        <v>732</v>
      </c>
      <c r="B341" s="5" t="s">
        <v>733</v>
      </c>
      <c r="C341" s="5" t="s">
        <v>383</v>
      </c>
      <c r="D341" s="6"/>
      <c r="E341" s="7" t="str">
        <f aca="false">IFERROR(__xludf.dummyfunction("lower(GOOGLETRANSLATE(B341,""es"",""en""))"),"(english")</f>
        <v>(english</v>
      </c>
      <c r="F341" s="7" t="str">
        <f aca="false">IFERROR(__xludf.dummyfunction("lower(GOOGLETRANSLATE(A341,""en"",""es""))"),"inglés")</f>
        <v>inglés</v>
      </c>
      <c r="H341" s="0" t="str">
        <f aca="false">A341&amp;"|"&amp;B341</f>
        <v>english|(el) inglés</v>
      </c>
    </row>
    <row r="342" customFormat="false" ht="15.75" hidden="false" customHeight="false" outlineLevel="0" collapsed="false">
      <c r="A342" s="4" t="s">
        <v>734</v>
      </c>
      <c r="B342" s="5" t="s">
        <v>735</v>
      </c>
      <c r="C342" s="5" t="s">
        <v>383</v>
      </c>
      <c r="D342" s="6"/>
      <c r="E342" s="7" t="str">
        <f aca="false">IFERROR(__xludf.dummyfunction("lower(GOOGLETRANSLATE(B342,""es"",""en""))"),"the maths")</f>
        <v>the maths</v>
      </c>
      <c r="F342" s="7" t="str">
        <f aca="false">IFERROR(__xludf.dummyfunction("lower(GOOGLETRANSLATE(A342,""en"",""es""))"),"matemáticas")</f>
        <v>matemáticas</v>
      </c>
      <c r="H342" s="0" t="str">
        <f aca="false">A342&amp;"|"&amp;B342</f>
        <v>math|las matemáticas</v>
      </c>
    </row>
    <row r="343" customFormat="false" ht="15.75" hidden="false" customHeight="false" outlineLevel="0" collapsed="false">
      <c r="A343" s="4" t="s">
        <v>736</v>
      </c>
      <c r="B343" s="5" t="s">
        <v>737</v>
      </c>
      <c r="C343" s="5" t="s">
        <v>33</v>
      </c>
      <c r="D343" s="6"/>
      <c r="E343" s="7" t="str">
        <f aca="false">IFERROR(__xludf.dummyfunction("lower(GOOGLETRANSLATE(B343,""es"",""en""))"),"twenty six")</f>
        <v>twenty six</v>
      </c>
      <c r="F343" s="7" t="str">
        <f aca="false">IFERROR(__xludf.dummyfunction("lower(GOOGLETRANSLATE(A343,""en"",""es""))"),"veintiseis")</f>
        <v>veintiseis</v>
      </c>
      <c r="H343" s="0" t="str">
        <f aca="false">A343&amp;"|"&amp;B343</f>
        <v>twenty-six|veintiséis</v>
      </c>
    </row>
    <row r="344" customFormat="false" ht="15.75" hidden="false" customHeight="false" outlineLevel="0" collapsed="false">
      <c r="A344" s="4" t="s">
        <v>738</v>
      </c>
      <c r="B344" s="5" t="s">
        <v>739</v>
      </c>
      <c r="C344" s="5" t="s">
        <v>33</v>
      </c>
      <c r="D344" s="6"/>
      <c r="E344" s="7" t="str">
        <f aca="false">IFERROR(__xludf.dummyfunction("lower(GOOGLETRANSLATE(B344,""es"",""en""))"),"twenty seven")</f>
        <v>twenty seven</v>
      </c>
      <c r="F344" s="7" t="str">
        <f aca="false">IFERROR(__xludf.dummyfunction("lower(GOOGLETRANSLATE(A344,""en"",""es""))"),"veintisiete")</f>
        <v>veintisiete</v>
      </c>
      <c r="H344" s="0" t="str">
        <f aca="false">A344&amp;"|"&amp;B344</f>
        <v>twenty-seven|veintisiete</v>
      </c>
    </row>
    <row r="345" customFormat="false" ht="15.75" hidden="false" customHeight="false" outlineLevel="0" collapsed="false">
      <c r="A345" s="4" t="s">
        <v>740</v>
      </c>
      <c r="B345" s="5" t="s">
        <v>741</v>
      </c>
      <c r="C345" s="5" t="s">
        <v>33</v>
      </c>
      <c r="D345" s="6"/>
      <c r="E345" s="7" t="str">
        <f aca="false">IFERROR(__xludf.dummyfunction("lower(GOOGLETRANSLATE(B345,""es"",""en""))"),"twenty eight")</f>
        <v>twenty eight</v>
      </c>
      <c r="F345" s="7" t="str">
        <f aca="false">IFERROR(__xludf.dummyfunction("lower(GOOGLETRANSLATE(A345,""en"",""es""))"),"veintiocho")</f>
        <v>veintiocho</v>
      </c>
      <c r="H345" s="0" t="str">
        <f aca="false">A345&amp;"|"&amp;B345</f>
        <v>twenty-eight|veintiocho</v>
      </c>
    </row>
    <row r="346" customFormat="false" ht="15.75" hidden="false" customHeight="false" outlineLevel="0" collapsed="false">
      <c r="A346" s="4" t="s">
        <v>742</v>
      </c>
      <c r="B346" s="5" t="s">
        <v>743</v>
      </c>
      <c r="C346" s="5" t="s">
        <v>33</v>
      </c>
      <c r="D346" s="6"/>
      <c r="E346" s="7" t="str">
        <f aca="false">IFERROR(__xludf.dummyfunction("lower(GOOGLETRANSLATE(B346,""es"",""en""))"),"twenty nine")</f>
        <v>twenty nine</v>
      </c>
      <c r="F346" s="7" t="str">
        <f aca="false">IFERROR(__xludf.dummyfunction("lower(GOOGLETRANSLATE(A346,""en"",""es""))"),"veintinueve")</f>
        <v>veintinueve</v>
      </c>
      <c r="H346" s="0" t="str">
        <f aca="false">A346&amp;"|"&amp;B346</f>
        <v>twenty-nine|veintinueve</v>
      </c>
    </row>
    <row r="347" customFormat="false" ht="15.75" hidden="false" customHeight="false" outlineLevel="0" collapsed="false">
      <c r="A347" s="4" t="s">
        <v>744</v>
      </c>
      <c r="B347" s="5" t="s">
        <v>745</v>
      </c>
      <c r="C347" s="5" t="s">
        <v>33</v>
      </c>
      <c r="D347" s="6"/>
      <c r="E347" s="7" t="str">
        <f aca="false">IFERROR(__xludf.dummyfunction("lower(GOOGLETRANSLATE(B347,""es"",""en""))"),"thirty")</f>
        <v>thirty</v>
      </c>
      <c r="F347" s="7" t="str">
        <f aca="false">IFERROR(__xludf.dummyfunction("lower(GOOGLETRANSLATE(A347,""en"",""es""))"),"treinta")</f>
        <v>treinta</v>
      </c>
      <c r="H347" s="0" t="str">
        <f aca="false">A347&amp;"|"&amp;B347</f>
        <v>thirty|treinta</v>
      </c>
    </row>
    <row r="348" customFormat="false" ht="15.75" hidden="false" customHeight="false" outlineLevel="0" collapsed="false">
      <c r="A348" s="4" t="s">
        <v>746</v>
      </c>
      <c r="B348" s="5" t="s">
        <v>747</v>
      </c>
      <c r="C348" s="5" t="s">
        <v>33</v>
      </c>
      <c r="D348" s="6"/>
      <c r="E348" s="7" t="str">
        <f aca="false">IFERROR(__xludf.dummyfunction("lower(GOOGLETRANSLATE(B348,""es"",""en""))"),"thirty-one")</f>
        <v>thirty-one</v>
      </c>
      <c r="F348" s="7" t="str">
        <f aca="false">IFERROR(__xludf.dummyfunction("lower(GOOGLETRANSLATE(A348,""en"",""es""))"),"treinta y uno")</f>
        <v>treinta y uno</v>
      </c>
      <c r="H348" s="0" t="str">
        <f aca="false">A348&amp;"|"&amp;B348</f>
        <v>thirty-one|treinta y uno</v>
      </c>
    </row>
    <row r="349" customFormat="false" ht="15.75" hidden="false" customHeight="false" outlineLevel="0" collapsed="false">
      <c r="A349" s="4" t="s">
        <v>748</v>
      </c>
      <c r="B349" s="5" t="s">
        <v>749</v>
      </c>
      <c r="C349" s="5" t="s">
        <v>750</v>
      </c>
      <c r="D349" s="6"/>
      <c r="E349" s="7" t="str">
        <f aca="false">IFERROR(__xludf.dummyfunction("lower(GOOGLETRANSLATE(B349,""es"",""en""))"),"forty")</f>
        <v>forty</v>
      </c>
      <c r="F349" s="7" t="str">
        <f aca="false">IFERROR(__xludf.dummyfunction("lower(GOOGLETRANSLATE(A349,""en"",""es""))"),"cuarenta")</f>
        <v>cuarenta</v>
      </c>
      <c r="H349" s="0" t="str">
        <f aca="false">A349&amp;"|"&amp;B349</f>
        <v>fourty|cuarenta</v>
      </c>
    </row>
    <row r="350" customFormat="false" ht="15.75" hidden="false" customHeight="false" outlineLevel="0" collapsed="false">
      <c r="A350" s="4" t="s">
        <v>751</v>
      </c>
      <c r="B350" s="5" t="s">
        <v>752</v>
      </c>
      <c r="C350" s="5" t="s">
        <v>750</v>
      </c>
      <c r="D350" s="6"/>
      <c r="E350" s="7" t="str">
        <f aca="false">IFERROR(__xludf.dummyfunction("lower(GOOGLETRANSLATE(B350,""es"",""en""))"),"fifty")</f>
        <v>fifty</v>
      </c>
      <c r="F350" s="7" t="str">
        <f aca="false">IFERROR(__xludf.dummyfunction("lower(GOOGLETRANSLATE(A350,""en"",""es""))"),"cincuenta")</f>
        <v>cincuenta</v>
      </c>
      <c r="H350" s="0" t="str">
        <f aca="false">A350&amp;"|"&amp;B350</f>
        <v>fifty|cincuenta</v>
      </c>
    </row>
    <row r="351" customFormat="false" ht="15.75" hidden="false" customHeight="false" outlineLevel="0" collapsed="false">
      <c r="A351" s="4" t="s">
        <v>753</v>
      </c>
      <c r="B351" s="5" t="s">
        <v>754</v>
      </c>
      <c r="C351" s="5" t="s">
        <v>33</v>
      </c>
      <c r="D351" s="6"/>
      <c r="E351" s="7" t="str">
        <f aca="false">IFERROR(__xludf.dummyfunction("lower(GOOGLETRANSLATE(B351,""es"",""en""))"),"two thousand")</f>
        <v>two thousand</v>
      </c>
      <c r="F351" s="7" t="str">
        <f aca="false">IFERROR(__xludf.dummyfunction("lower(GOOGLETRANSLATE(A351,""en"",""es""))"),"dos mil")</f>
        <v>dos mil</v>
      </c>
      <c r="H351" s="0" t="str">
        <f aca="false">A351&amp;"|"&amp;B351</f>
        <v>two thousand|dos mil</v>
      </c>
    </row>
    <row r="352" customFormat="false" ht="15.75" hidden="false" customHeight="false" outlineLevel="0" collapsed="false">
      <c r="A352" s="4" t="s">
        <v>755</v>
      </c>
      <c r="B352" s="5" t="s">
        <v>756</v>
      </c>
      <c r="C352" s="5" t="s">
        <v>449</v>
      </c>
      <c r="D352" s="6"/>
      <c r="E352" s="7" t="str">
        <f aca="false">IFERROR(__xludf.dummyfunction("lower(GOOGLETRANSLATE(B352,""es"",""en""))"),"the agenda")</f>
        <v>the agenda</v>
      </c>
      <c r="F352" s="7" t="str">
        <f aca="false">IFERROR(__xludf.dummyfunction("lower(GOOGLETRANSLATE(A352,""en"",""es""))"),"la agenda diaria")</f>
        <v>la agenda diaria</v>
      </c>
      <c r="H352" s="0" t="str">
        <f aca="false">A352&amp;"|"&amp;B352</f>
        <v>the daily planner|la agenda</v>
      </c>
    </row>
    <row r="353" customFormat="false" ht="15.75" hidden="false" customHeight="false" outlineLevel="0" collapsed="false">
      <c r="A353" s="4" t="s">
        <v>757</v>
      </c>
      <c r="B353" s="5" t="s">
        <v>758</v>
      </c>
      <c r="C353" s="5" t="s">
        <v>449</v>
      </c>
      <c r="D353" s="6"/>
      <c r="E353" s="7" t="str">
        <f aca="false">IFERROR(__xludf.dummyfunction("lower(GOOGLETRANSLATE(B353,""es"",""en""))"),"the filer")</f>
        <v>the filer</v>
      </c>
      <c r="F353" s="7" t="str">
        <f aca="false">IFERROR(__xludf.dummyfunction("lower(GOOGLETRANSLATE(A353,""en"",""es""))"),"el archivador")</f>
        <v>el archivador</v>
      </c>
      <c r="H353" s="0" t="str">
        <f aca="false">A353&amp;"|"&amp;B353</f>
        <v>the filing cabinet|el archivador</v>
      </c>
    </row>
    <row r="354" customFormat="false" ht="15.75" hidden="false" customHeight="false" outlineLevel="0" collapsed="false">
      <c r="A354" s="4" t="s">
        <v>759</v>
      </c>
      <c r="B354" s="5" t="s">
        <v>760</v>
      </c>
      <c r="C354" s="5" t="s">
        <v>449</v>
      </c>
      <c r="D354" s="6"/>
      <c r="E354" s="7" t="str">
        <f aca="false">IFERROR(__xludf.dummyfunction("lower(GOOGLETRANSLATE(B354,""es"",""en""))"),"the calculator")</f>
        <v>the calculator</v>
      </c>
      <c r="F354" s="7" t="str">
        <f aca="false">IFERROR(__xludf.dummyfunction("lower(GOOGLETRANSLATE(A354,""en"",""es""))"),"la calculadora")</f>
        <v>la calculadora</v>
      </c>
      <c r="H354" s="0" t="str">
        <f aca="false">A354&amp;"|"&amp;B354</f>
        <v>the calculator|la calculadora</v>
      </c>
    </row>
    <row r="355" customFormat="false" ht="15.75" hidden="false" customHeight="false" outlineLevel="0" collapsed="false">
      <c r="A355" s="4" t="s">
        <v>761</v>
      </c>
      <c r="B355" s="5" t="s">
        <v>762</v>
      </c>
      <c r="C355" s="5" t="s">
        <v>449</v>
      </c>
      <c r="D355" s="6"/>
      <c r="E355" s="7" t="str">
        <f aca="false">IFERROR(__xludf.dummyfunction("lower(GOOGLETRANSLATE(B355,""es"",""en""))"),"the capeta")</f>
        <v>the capeta</v>
      </c>
      <c r="F355" s="7" t="str">
        <f aca="false">IFERROR(__xludf.dummyfunction("lower(GOOGLETRANSLATE(A355,""en"",""es""))"),"la carpeta de archivos")</f>
        <v>la carpeta de archivos</v>
      </c>
      <c r="H355" s="0" t="str">
        <f aca="false">A355&amp;"|"&amp;B355</f>
        <v>the file folder|la capeta</v>
      </c>
    </row>
    <row r="356" customFormat="false" ht="15.75" hidden="false" customHeight="false" outlineLevel="0" collapsed="false">
      <c r="A356" s="4" t="s">
        <v>763</v>
      </c>
      <c r="B356" s="5" t="s">
        <v>764</v>
      </c>
      <c r="C356" s="5" t="s">
        <v>449</v>
      </c>
      <c r="D356" s="6"/>
      <c r="E356" s="7" t="str">
        <f aca="false">IFERROR(__xludf.dummyfunction("lower(GOOGLETRANSLATE(B356,""es"",""en""))"),"the notebook")</f>
        <v>the notebook</v>
      </c>
      <c r="F356" s="7" t="str">
        <f aca="false">IFERROR(__xludf.dummyfunction("lower(GOOGLETRANSLATE(A356,""en"",""es""))"),"el cuaderno")</f>
        <v>el cuaderno</v>
      </c>
      <c r="H356" s="0" t="str">
        <f aca="false">A356&amp;"|"&amp;B356</f>
        <v>the notebook|el cuaderno</v>
      </c>
    </row>
    <row r="357" customFormat="false" ht="15.75" hidden="false" customHeight="false" outlineLevel="0" collapsed="false">
      <c r="A357" s="4" t="s">
        <v>765</v>
      </c>
      <c r="B357" s="5" t="s">
        <v>766</v>
      </c>
      <c r="C357" s="5" t="s">
        <v>449</v>
      </c>
      <c r="D357" s="6"/>
      <c r="E357" s="7" t="str">
        <f aca="false">IFERROR(__xludf.dummyfunction("lower(GOOGLETRANSLATE(B357,""es"",""en""))"),"dictionary")</f>
        <v>dictionary</v>
      </c>
      <c r="F357" s="7" t="str">
        <f aca="false">IFERROR(__xludf.dummyfunction("lower(GOOGLETRANSLATE(A357,""en"",""es""))"),"el diccionario")</f>
        <v>el diccionario</v>
      </c>
      <c r="H357" s="0" t="str">
        <f aca="false">A357&amp;"|"&amp;B357</f>
        <v>the dictionary|el diccionario</v>
      </c>
    </row>
    <row r="358" customFormat="false" ht="15.75" hidden="false" customHeight="false" outlineLevel="0" collapsed="false">
      <c r="A358" s="4" t="s">
        <v>767</v>
      </c>
      <c r="B358" s="5" t="s">
        <v>768</v>
      </c>
      <c r="C358" s="5" t="s">
        <v>449</v>
      </c>
      <c r="D358" s="6"/>
      <c r="E358" s="7" t="str">
        <f aca="false">IFERROR(__xludf.dummyfunction("lower(GOOGLETRANSLATE(B358,""es"",""en""))"),"schedule")</f>
        <v>schedule</v>
      </c>
      <c r="F358" s="7" t="str">
        <f aca="false">IFERROR(__xludf.dummyfunction("lower(GOOGLETRANSLATE(A358,""en"",""es""))"),"el horario")</f>
        <v>el horario</v>
      </c>
      <c r="H358" s="0" t="str">
        <f aca="false">A358&amp;"|"&amp;B358</f>
        <v>the schedule|el horario</v>
      </c>
    </row>
    <row r="359" customFormat="false" ht="15.75" hidden="false" customHeight="false" outlineLevel="0" collapsed="false">
      <c r="A359" s="4" t="s">
        <v>769</v>
      </c>
      <c r="B359" s="5" t="s">
        <v>770</v>
      </c>
      <c r="C359" s="5" t="s">
        <v>215</v>
      </c>
      <c r="D359" s="6"/>
      <c r="E359" s="7" t="str">
        <f aca="false">IFERROR(__xludf.dummyfunction("lower(GOOGLETRANSLATE(B359,""es"",""en""))"),"i'm in room")</f>
        <v>i'm in room</v>
      </c>
      <c r="F359" s="7" t="str">
        <f aca="false">IFERROR(__xludf.dummyfunction("lower(GOOGLETRANSLATE(A359,""en"",""es""))"),"estoy en el cuarto")</f>
        <v>estoy en el cuarto</v>
      </c>
      <c r="H359" s="0" t="str">
        <f aca="false">A359&amp;"|"&amp;B359</f>
        <v>i am in the room|yo estoy en la habitacion</v>
      </c>
    </row>
    <row r="360" customFormat="false" ht="15.75" hidden="false" customHeight="false" outlineLevel="0" collapsed="false">
      <c r="A360" s="4" t="s">
        <v>771</v>
      </c>
      <c r="B360" s="5" t="s">
        <v>772</v>
      </c>
      <c r="C360" s="5" t="s">
        <v>449</v>
      </c>
      <c r="D360" s="6"/>
      <c r="E360" s="7" t="str">
        <f aca="false">IFERROR(__xludf.dummyfunction("lower(GOOGLETRANSLATE(B360,""es"",""en""))"),"marker")</f>
        <v>marker</v>
      </c>
      <c r="F360" s="7" t="str">
        <f aca="false">IFERROR(__xludf.dummyfunction("lower(GOOGLETRANSLATE(A360,""en"",""es""))"),"el marcador")</f>
        <v>el marcador</v>
      </c>
      <c r="H360" s="0" t="str">
        <f aca="false">A360&amp;"|"&amp;B360</f>
        <v>the marker|el marcador</v>
      </c>
    </row>
    <row r="361" customFormat="false" ht="15.75" hidden="false" customHeight="false" outlineLevel="0" collapsed="false">
      <c r="A361" s="4" t="s">
        <v>773</v>
      </c>
      <c r="B361" s="5" t="s">
        <v>774</v>
      </c>
      <c r="C361" s="5" t="s">
        <v>449</v>
      </c>
      <c r="D361" s="6"/>
      <c r="E361" s="7" t="str">
        <f aca="false">IFERROR(__xludf.dummyfunction("lower(GOOGLETRANSLATE(B361,""es"",""en""))"),"backpack")</f>
        <v>backpack</v>
      </c>
      <c r="F361" s="7" t="str">
        <f aca="false">IFERROR(__xludf.dummyfunction("lower(GOOGLETRANSLATE(A361,""en"",""es""))"),"la mochila")</f>
        <v>la mochila</v>
      </c>
      <c r="H361" s="0" t="str">
        <f aca="false">A361&amp;"|"&amp;B361</f>
        <v>the backpack|la mochila</v>
      </c>
    </row>
    <row r="362" customFormat="false" ht="15.75" hidden="false" customHeight="false" outlineLevel="0" collapsed="false">
      <c r="A362" s="4" t="s">
        <v>775</v>
      </c>
      <c r="B362" s="5" t="s">
        <v>776</v>
      </c>
      <c r="C362" s="5" t="s">
        <v>449</v>
      </c>
      <c r="D362" s="6"/>
      <c r="E362" s="7" t="str">
        <f aca="false">IFERROR(__xludf.dummyfunction("lower(GOOGLETRANSLATE(B362,""es"",""en""))"),"rule")</f>
        <v>rule</v>
      </c>
      <c r="F362" s="7" t="str">
        <f aca="false">IFERROR(__xludf.dummyfunction("lower(GOOGLETRANSLATE(A362,""en"",""es""))"),"el gobernante / regla")</f>
        <v>el gobernante / regla</v>
      </c>
      <c r="H362" s="0" t="str">
        <f aca="false">A362&amp;"|"&amp;B362</f>
        <v>the ruler/rule|la regla</v>
      </c>
    </row>
    <row r="363" customFormat="false" ht="15.75" hidden="false" customHeight="false" outlineLevel="0" collapsed="false">
      <c r="A363" s="4" t="s">
        <v>777</v>
      </c>
      <c r="B363" s="5" t="s">
        <v>778</v>
      </c>
      <c r="C363" s="5" t="s">
        <v>779</v>
      </c>
      <c r="D363" s="6"/>
      <c r="E363" s="7" t="str">
        <f aca="false">IFERROR(__xludf.dummyfunction("lower(GOOGLETRANSLATE(B363,""es"",""en""))"),"the school")</f>
        <v>the school</v>
      </c>
      <c r="F363" s="7" t="str">
        <f aca="false">IFERROR(__xludf.dummyfunction("lower(GOOGLETRANSLATE(A363,""en"",""es""))"),"la escuela")</f>
        <v>la escuela</v>
      </c>
      <c r="H363" s="0" t="str">
        <f aca="false">A363&amp;"|"&amp;B363</f>
        <v>the school|la escuela</v>
      </c>
    </row>
    <row r="364" customFormat="false" ht="15.75" hidden="false" customHeight="false" outlineLevel="0" collapsed="false">
      <c r="A364" s="4" t="s">
        <v>780</v>
      </c>
      <c r="B364" s="5" t="s">
        <v>781</v>
      </c>
      <c r="C364" s="5" t="s">
        <v>509</v>
      </c>
      <c r="D364" s="6"/>
      <c r="E364" s="7" t="str">
        <f aca="false">IFERROR(__xludf.dummyfunction("lower(GOOGLETRANSLATE(B364,""es"",""en""))"),"(the / the) consejer @")</f>
        <v>(the / the) consejer @</v>
      </c>
      <c r="F364" s="7" t="str">
        <f aca="false">IFERROR(__xludf.dummyfunction("lower(GOOGLETRANSLATE(A364,""en"",""es""))"),"el consejero")</f>
        <v>el consejero</v>
      </c>
      <c r="H364" s="0" t="str">
        <f aca="false">A364&amp;"|"&amp;B364</f>
        <v>the counselor|(el/la) consejer@</v>
      </c>
    </row>
    <row r="365" customFormat="false" ht="15.75" hidden="false" customHeight="false" outlineLevel="0" collapsed="false">
      <c r="A365" s="4" t="s">
        <v>782</v>
      </c>
      <c r="B365" s="5" t="s">
        <v>783</v>
      </c>
      <c r="C365" s="5" t="s">
        <v>518</v>
      </c>
      <c r="D365" s="6"/>
      <c r="E365" s="7" t="str">
        <f aca="false">IFERROR(__xludf.dummyfunction("lower(GOOGLETRANSLATE(B365,""es"",""en""))"),"(mentor / mentor)")</f>
        <v>(mentor / mentor)</v>
      </c>
      <c r="F365" s="7" t="str">
        <f aca="false">IFERROR(__xludf.dummyfunction("lower(GOOGLETRANSLATE(A365,""en"",""es""))"),"el mentor")</f>
        <v>el mentor</v>
      </c>
      <c r="H365" s="0" t="str">
        <f aca="false">A365&amp;"|"&amp;B365</f>
        <v>the mentor|(el mentor/la mentora)</v>
      </c>
    </row>
    <row r="366" customFormat="false" ht="15.75" hidden="false" customHeight="false" outlineLevel="0" collapsed="false">
      <c r="A366" s="4" t="s">
        <v>784</v>
      </c>
      <c r="B366" s="5" t="s">
        <v>785</v>
      </c>
      <c r="C366" s="5" t="s">
        <v>518</v>
      </c>
      <c r="D366" s="6"/>
      <c r="E366" s="7" t="str">
        <f aca="false">IFERROR(__xludf.dummyfunction("lower(GOOGLETRANSLATE(B366,""es"",""en""))"),"(guardian / the turota)")</f>
        <v>(guardian / the turota)</v>
      </c>
      <c r="F366" s="7" t="str">
        <f aca="false">IFERROR(__xludf.dummyfunction("lower(GOOGLETRANSLATE(A366,""en"",""es""))"),"el tutor")</f>
        <v>el tutor</v>
      </c>
      <c r="H366" s="0" t="str">
        <f aca="false">A366&amp;"|"&amp;B366</f>
        <v>the tutor|(el tutor/la turota)</v>
      </c>
    </row>
    <row r="367" customFormat="false" ht="15.75" hidden="false" customHeight="false" outlineLevel="0" collapsed="false">
      <c r="A367" s="4" t="s">
        <v>786</v>
      </c>
      <c r="B367" s="5" t="s">
        <v>787</v>
      </c>
      <c r="C367" s="5" t="s">
        <v>788</v>
      </c>
      <c r="D367" s="6"/>
      <c r="E367" s="7" t="str">
        <f aca="false">IFERROR(__xludf.dummyfunction("lower(GOOGLETRANSLATE(B367,""es"",""en""))"),"important")</f>
        <v>important</v>
      </c>
      <c r="F367" s="7" t="str">
        <f aca="false">IFERROR(__xludf.dummyfunction("lower(GOOGLETRANSLATE(A367,""en"",""es""))"),"importante")</f>
        <v>importante</v>
      </c>
      <c r="H367" s="0" t="str">
        <f aca="false">A367&amp;"|"&amp;B367</f>
        <v>important|importante</v>
      </c>
    </row>
    <row r="368" customFormat="false" ht="15.75" hidden="false" customHeight="false" outlineLevel="0" collapsed="false">
      <c r="A368" s="4" t="s">
        <v>789</v>
      </c>
      <c r="B368" s="5" t="s">
        <v>790</v>
      </c>
      <c r="C368" s="5" t="s">
        <v>215</v>
      </c>
      <c r="D368" s="6"/>
      <c r="E368" s="7" t="str">
        <f aca="false">IFERROR(__xludf.dummyfunction("lower(GOOGLETRANSLATE(B368,""es"",""en""))"),"the class is at noon")</f>
        <v>the class is at noon</v>
      </c>
      <c r="F368" s="7" t="str">
        <f aca="false">IFERROR(__xludf.dummyfunction("lower(GOOGLETRANSLATE(A368,""en"",""es""))"),"la clase es al mediodía")</f>
        <v>la clase es al mediodía</v>
      </c>
      <c r="H368" s="0" t="str">
        <f aca="false">A368&amp;"|"&amp;B368</f>
        <v>the class is at midday|la clase es en la mediodía</v>
      </c>
    </row>
    <row r="369" customFormat="false" ht="15.75" hidden="false" customHeight="false" outlineLevel="0" collapsed="false">
      <c r="A369" s="4" t="s">
        <v>791</v>
      </c>
      <c r="B369" s="5" t="s">
        <v>792</v>
      </c>
      <c r="C369" s="5" t="s">
        <v>215</v>
      </c>
      <c r="D369" s="6"/>
      <c r="E369" s="7" t="str">
        <f aca="false">IFERROR(__xludf.dummyfunction("lower(GOOGLETRANSLATE(B369,""es"",""en""))"),"you're infermo")</f>
        <v>you're infermo</v>
      </c>
      <c r="F369" s="7" t="str">
        <f aca="false">IFERROR(__xludf.dummyfunction("lower(GOOGLETRANSLATE(A369,""en"",""es""))"),"estás enfermo")</f>
        <v>estás enfermo</v>
      </c>
      <c r="H369" s="0" t="str">
        <f aca="false">A369&amp;"|"&amp;B369</f>
        <v>you are ill|tu estas infermo</v>
      </c>
    </row>
    <row r="370" customFormat="false" ht="15.75" hidden="false" customHeight="false" outlineLevel="0" collapsed="false">
      <c r="A370" s="4" t="s">
        <v>793</v>
      </c>
      <c r="B370" s="5" t="s">
        <v>794</v>
      </c>
      <c r="C370" s="5" t="s">
        <v>493</v>
      </c>
      <c r="D370" s="6"/>
      <c r="E370" s="7" t="str">
        <f aca="false">IFERROR(__xludf.dummyfunction("lower(GOOGLETRANSLATE(B370,""es"",""en""))"),"the rule is on the table")</f>
        <v>the rule is on the table</v>
      </c>
      <c r="F370" s="7" t="str">
        <f aca="false">IFERROR(__xludf.dummyfunction("lower(GOOGLETRANSLATE(A370,""en"",""es""))"),"la regla está sobre la mesa")</f>
        <v>la regla está sobre la mesa</v>
      </c>
      <c r="H370" s="0" t="str">
        <f aca="false">A370&amp;"|"&amp;B370</f>
        <v>the ruler is on the table|la regla esta en la mesa</v>
      </c>
    </row>
    <row r="371" customFormat="false" ht="15.75" hidden="false" customHeight="false" outlineLevel="0" collapsed="false">
      <c r="A371" s="4" t="s">
        <v>795</v>
      </c>
      <c r="B371" s="5" t="s">
        <v>796</v>
      </c>
      <c r="C371" s="5" t="s">
        <v>215</v>
      </c>
      <c r="D371" s="6"/>
      <c r="E371" s="7" t="str">
        <f aca="false">IFERROR(__xludf.dummyfunction("lower(GOOGLETRANSLATE(B371,""es"",""en""))"),"we like to watch tv")</f>
        <v>we like to watch tv</v>
      </c>
      <c r="F371" s="7" t="str">
        <f aca="false">IFERROR(__xludf.dummyfunction("lower(GOOGLETRANSLATE(A371,""en"",""es""))"),"nos gusta ver la televisión")</f>
        <v>nos gusta ver la televisión</v>
      </c>
      <c r="H371" s="0" t="str">
        <f aca="false">A371&amp;"|"&amp;B371</f>
        <v>we like to watch television|nos gusta ver la televisión</v>
      </c>
    </row>
    <row r="372" customFormat="false" ht="15.75" hidden="false" customHeight="false" outlineLevel="0" collapsed="false">
      <c r="A372" s="4" t="s">
        <v>797</v>
      </c>
      <c r="B372" s="5" t="s">
        <v>798</v>
      </c>
      <c r="C372" s="5" t="s">
        <v>215</v>
      </c>
      <c r="D372" s="6"/>
      <c r="E372" s="7" t="str">
        <f aca="false">IFERROR(__xludf.dummyfunction("lower(GOOGLETRANSLATE(B372,""es"",""en""))"),"i love watch tv")</f>
        <v>i love watch tv</v>
      </c>
      <c r="F372" s="7" t="str">
        <f aca="false">IFERROR(__xludf.dummyfunction("lower(GOOGLETRANSLATE(A372,""en"",""es""))"),"viendo la televisión me encanta")</f>
        <v>viendo la televisión me encanta</v>
      </c>
      <c r="H372" s="0" t="str">
        <f aca="false">A372&amp;"|"&amp;B372</f>
        <v>watching tv delights me|me encanta ver la televisión</v>
      </c>
    </row>
    <row r="373" customFormat="false" ht="15.75" hidden="false" customHeight="false" outlineLevel="0" collapsed="false">
      <c r="A373" s="4" t="s">
        <v>799</v>
      </c>
      <c r="B373" s="5" t="s">
        <v>800</v>
      </c>
      <c r="C373" s="5" t="s">
        <v>215</v>
      </c>
      <c r="D373" s="6"/>
      <c r="E373" s="7" t="str">
        <f aca="false">IFERROR(__xludf.dummyfunction("lower(GOOGLETRANSLATE(B373,""es"",""en""))"),"class ends at two")</f>
        <v>class ends at two</v>
      </c>
      <c r="F373" s="7" t="str">
        <f aca="false">IFERROR(__xludf.dummyfunction("lower(GOOGLETRANSLATE(A373,""en"",""es""))"),"los extremos de las clases de dos")</f>
        <v>los extremos de las clases de dos</v>
      </c>
      <c r="H373" s="0" t="str">
        <f aca="false">A373&amp;"|"&amp;B373</f>
        <v>the class ends at two|la clase termina a las dos</v>
      </c>
    </row>
    <row r="374" customFormat="false" ht="15.75" hidden="false" customHeight="false" outlineLevel="0" collapsed="false">
      <c r="A374" s="4" t="s">
        <v>801</v>
      </c>
      <c r="B374" s="5" t="s">
        <v>802</v>
      </c>
      <c r="C374" s="5" t="s">
        <v>215</v>
      </c>
      <c r="D374" s="6"/>
      <c r="E374" s="7" t="str">
        <f aca="false">IFERROR(__xludf.dummyfunction("lower(GOOGLETRANSLATE(B374,""es"",""en""))"),"he is handsome")</f>
        <v>he is handsome</v>
      </c>
      <c r="F374" s="7" t="str">
        <f aca="false">IFERROR(__xludf.dummyfunction("lower(GOOGLETRANSLATE(A374,""en"",""es""))"),"es guapo")</f>
        <v>es guapo</v>
      </c>
      <c r="H374" s="0" t="str">
        <f aca="false">A374&amp;"|"&amp;B374</f>
        <v>he is handsome|el esta guapo</v>
      </c>
    </row>
    <row r="375" customFormat="false" ht="15.75" hidden="false" customHeight="false" outlineLevel="0" collapsed="false">
      <c r="A375" s="4" t="s">
        <v>803</v>
      </c>
      <c r="B375" s="5" t="s">
        <v>804</v>
      </c>
      <c r="C375" s="5" t="s">
        <v>215</v>
      </c>
      <c r="D375" s="6"/>
      <c r="E375" s="7" t="str">
        <f aca="false">IFERROR(__xludf.dummyfunction("lower(GOOGLETRANSLATE(B375,""es"",""en""))"),"i love the theater")</f>
        <v>i love the theater</v>
      </c>
      <c r="F375" s="7" t="str">
        <f aca="false">IFERROR(__xludf.dummyfunction("lower(GOOGLETRANSLATE(A375,""en"",""es""))"),"el teatro me encanta")</f>
        <v>el teatro me encanta</v>
      </c>
      <c r="H375" s="0" t="str">
        <f aca="false">A375&amp;"|"&amp;B375</f>
        <v>the theater delights me|me encanta el teatro</v>
      </c>
    </row>
    <row r="376" customFormat="false" ht="15.75" hidden="false" customHeight="false" outlineLevel="0" collapsed="false">
      <c r="A376" s="4" t="s">
        <v>805</v>
      </c>
      <c r="B376" s="5" t="s">
        <v>806</v>
      </c>
      <c r="C376" s="5" t="s">
        <v>215</v>
      </c>
      <c r="D376" s="6"/>
      <c r="E376" s="7" t="str">
        <f aca="false">IFERROR(__xludf.dummyfunction("lower(GOOGLETRANSLATE(B376,""es"",""en""))"),"i want to do something")</f>
        <v>i want to do something</v>
      </c>
      <c r="F376" s="7" t="str">
        <f aca="false">IFERROR(__xludf.dummyfunction("lower(GOOGLETRANSLATE(A376,""en"",""es""))"),"quiero hacer algo")</f>
        <v>quiero hacer algo</v>
      </c>
      <c r="H376" s="0" t="str">
        <f aca="false">A376&amp;"|"&amp;B376</f>
        <v>i want to do something|yo quiero hacer algo</v>
      </c>
    </row>
    <row r="377" customFormat="false" ht="15.75" hidden="false" customHeight="false" outlineLevel="0" collapsed="false">
      <c r="A377" s="4" t="s">
        <v>807</v>
      </c>
      <c r="B377" s="5" t="s">
        <v>808</v>
      </c>
      <c r="C377" s="5" t="s">
        <v>215</v>
      </c>
      <c r="D377" s="6"/>
      <c r="E377" s="7" t="str">
        <f aca="false">IFERROR(__xludf.dummyfunction("lower(GOOGLETRANSLATE(B377,""es"",""en""))"),"i am quiet")</f>
        <v>i am quiet</v>
      </c>
      <c r="F377" s="7" t="str">
        <f aca="false">IFERROR(__xludf.dummyfunction("lower(GOOGLETRANSLATE(A377,""en"",""es""))"),"estoy en silencio")</f>
        <v>estoy en silencio</v>
      </c>
      <c r="H377" s="0" t="str">
        <f aca="false">A377&amp;"|"&amp;B377</f>
        <v>i'm quiet|soy callado</v>
      </c>
    </row>
    <row r="378" customFormat="false" ht="15.75" hidden="false" customHeight="false" outlineLevel="0" collapsed="false">
      <c r="A378" s="4" t="s">
        <v>809</v>
      </c>
      <c r="B378" s="5" t="s">
        <v>810</v>
      </c>
      <c r="C378" s="5" t="s">
        <v>215</v>
      </c>
      <c r="D378" s="6"/>
      <c r="E378" s="7" t="str">
        <f aca="false">IFERROR(__xludf.dummyfunction("lower(GOOGLETRANSLATE(B378,""es"",""en""))"),"i do not really like swimming")</f>
        <v>i do not really like swimming</v>
      </c>
      <c r="F378" s="7" t="str">
        <f aca="false">IFERROR(__xludf.dummyfunction("lower(GOOGLETRANSLATE(A378,""en"",""es""))"),"no me gusta mucho a nadar")</f>
        <v>no me gusta mucho a nadar</v>
      </c>
      <c r="H378" s="0" t="str">
        <f aca="false">A378&amp;"|"&amp;B378</f>
        <v>i don't like to swim very much|no me gusta mucho nadar</v>
      </c>
    </row>
    <row r="379" customFormat="false" ht="15.75" hidden="false" customHeight="false" outlineLevel="0" collapsed="false">
      <c r="A379" s="4" t="s">
        <v>811</v>
      </c>
      <c r="B379" s="5" t="s">
        <v>812</v>
      </c>
      <c r="C379" s="5" t="s">
        <v>215</v>
      </c>
      <c r="D379" s="6"/>
      <c r="E379" s="7" t="str">
        <f aca="false">IFERROR(__xludf.dummyfunction("lower(GOOGLETRANSLATE(B379,""es"",""en""))"),"we are commanded")</f>
        <v>we are commanded</v>
      </c>
      <c r="F379" s="7" t="str">
        <f aca="false">IFERROR(__xludf.dummyfunction("lower(GOOGLETRANSLATE(A379,""en"",""es""))"),"estamos organizados")</f>
        <v>estamos organizados</v>
      </c>
      <c r="H379" s="0" t="str">
        <f aca="false">A379&amp;"|"&amp;B379</f>
        <v>we are organized|nosotros somos ordenados</v>
      </c>
    </row>
    <row r="380" customFormat="false" ht="15.75" hidden="false" customHeight="false" outlineLevel="0" collapsed="false">
      <c r="A380" s="4" t="s">
        <v>813</v>
      </c>
      <c r="B380" s="5" t="s">
        <v>814</v>
      </c>
      <c r="C380" s="5" t="s">
        <v>215</v>
      </c>
      <c r="D380" s="6"/>
      <c r="E380" s="7" t="str">
        <f aca="false">IFERROR(__xludf.dummyfunction("lower(GOOGLETRANSLATE(B380,""es"",""en""))"),"like cats")</f>
        <v>like cats</v>
      </c>
      <c r="F380" s="7" t="str">
        <f aca="false">IFERROR(__xludf.dummyfunction("lower(GOOGLETRANSLATE(A380,""en"",""es""))"),"les gustan los gatos")</f>
        <v>les gustan los gatos</v>
      </c>
      <c r="H380" s="0" t="str">
        <f aca="false">A380&amp;"|"&amp;B380</f>
        <v>they like the cats|les gustan los gatos</v>
      </c>
    </row>
    <row r="381" customFormat="false" ht="15.75" hidden="false" customHeight="false" outlineLevel="0" collapsed="false">
      <c r="A381" s="4" t="s">
        <v>815</v>
      </c>
      <c r="B381" s="5" t="s">
        <v>816</v>
      </c>
      <c r="C381" s="5" t="s">
        <v>215</v>
      </c>
      <c r="D381" s="6"/>
      <c r="E381" s="7" t="str">
        <f aca="false">IFERROR(__xludf.dummyfunction("lower(GOOGLETRANSLATE(B381,""es"",""en""))"),"me neither like to write me")</f>
        <v>me neither like to write me</v>
      </c>
      <c r="F381" s="7" t="str">
        <f aca="false">IFERROR(__xludf.dummyfunction("lower(GOOGLETRANSLATE(A381,""en"",""es""))"),"no me gusta escribir, ya sea")</f>
        <v>no me gusta escribir, ya sea</v>
      </c>
      <c r="H381" s="0" t="str">
        <f aca="false">A381&amp;"|"&amp;B381</f>
        <v>i don't like to write either|a mi tampoco me gusta escribir</v>
      </c>
    </row>
    <row r="382" customFormat="false" ht="15.75" hidden="false" customHeight="false" outlineLevel="0" collapsed="false">
      <c r="A382" s="4" t="s">
        <v>817</v>
      </c>
      <c r="B382" s="5" t="s">
        <v>818</v>
      </c>
      <c r="C382" s="5" t="s">
        <v>215</v>
      </c>
      <c r="D382" s="6"/>
      <c r="E382" s="7" t="str">
        <f aca="false">IFERROR(__xludf.dummyfunction("lower(GOOGLETRANSLATE(B382,""es"",""en""))"),"he is serious")</f>
        <v>he is serious</v>
      </c>
      <c r="F382" s="7" t="str">
        <f aca="false">IFERROR(__xludf.dummyfunction("lower(GOOGLETRANSLATE(A382,""en"",""es""))"),"el es serio")</f>
        <v>el es serio</v>
      </c>
      <c r="H382" s="0" t="str">
        <f aca="false">A382&amp;"|"&amp;B382</f>
        <v>he is serious|el es serio</v>
      </c>
    </row>
    <row r="383" customFormat="false" ht="15.75" hidden="false" customHeight="false" outlineLevel="0" collapsed="false">
      <c r="A383" s="4" t="s">
        <v>819</v>
      </c>
      <c r="B383" s="5" t="s">
        <v>820</v>
      </c>
      <c r="C383" s="5" t="s">
        <v>215</v>
      </c>
      <c r="D383" s="6"/>
      <c r="E383" s="7" t="str">
        <f aca="false">IFERROR(__xludf.dummyfunction("lower(GOOGLETRANSLATE(B383,""es"",""en""))"),"i like to paint the house")</f>
        <v>i like to paint the house</v>
      </c>
      <c r="F383" s="7" t="str">
        <f aca="false">IFERROR(__xludf.dummyfunction("lower(GOOGLETRANSLATE(A383,""en"",""es""))"),"me gusta pintar la casa")</f>
        <v>me gusta pintar la casa</v>
      </c>
      <c r="H383" s="0" t="str">
        <f aca="false">A383&amp;"|"&amp;B383</f>
        <v>i like to paint the house|me gusta pintar la casa</v>
      </c>
    </row>
    <row r="384" customFormat="false" ht="15.75" hidden="false" customHeight="false" outlineLevel="0" collapsed="false">
      <c r="A384" s="4" t="s">
        <v>821</v>
      </c>
      <c r="B384" s="5" t="s">
        <v>822</v>
      </c>
      <c r="C384" s="5" t="s">
        <v>215</v>
      </c>
      <c r="D384" s="6"/>
      <c r="E384" s="7" t="str">
        <f aca="false">IFERROR(__xludf.dummyfunction("lower(GOOGLETRANSLATE(B384,""es"",""en""))"),"i like my hair")</f>
        <v>i like my hair</v>
      </c>
      <c r="F384" s="7" t="str">
        <f aca="false">IFERROR(__xludf.dummyfunction("lower(GOOGLETRANSLATE(A384,""en"",""es""))"),"que (todos) como mi pelo")</f>
        <v>que (todos) como mi pelo</v>
      </c>
      <c r="H384" s="0" t="str">
        <f aca="false">A384&amp;"|"&amp;B384</f>
        <v>you (all) like my hair|os gusta mi pelo</v>
      </c>
    </row>
    <row r="385" customFormat="false" ht="15.75" hidden="false" customHeight="false" outlineLevel="0" collapsed="false">
      <c r="A385" s="4" t="s">
        <v>823</v>
      </c>
      <c r="B385" s="5" t="s">
        <v>824</v>
      </c>
      <c r="C385" s="5" t="s">
        <v>215</v>
      </c>
      <c r="D385" s="6"/>
      <c r="E385" s="7" t="str">
        <f aca="false">IFERROR(__xludf.dummyfunction("lower(GOOGLETRANSLATE(B385,""es"",""en""))"),"they are serious")</f>
        <v>they are serious</v>
      </c>
      <c r="F385" s="7" t="str">
        <f aca="false">IFERROR(__xludf.dummyfunction("lower(GOOGLETRANSLATE(A385,""en"",""es""))"),"que (hembra) son graves")</f>
        <v>que (hembra) son graves</v>
      </c>
      <c r="H385" s="0" t="str">
        <f aca="false">A385&amp;"|"&amp;B385</f>
        <v>they (female) are serious|ellas son serias</v>
      </c>
    </row>
    <row r="386" customFormat="false" ht="15.75" hidden="false" customHeight="false" outlineLevel="0" collapsed="false">
      <c r="A386" s="4" t="s">
        <v>825</v>
      </c>
      <c r="B386" s="5" t="s">
        <v>826</v>
      </c>
      <c r="C386" s="5" t="s">
        <v>215</v>
      </c>
      <c r="D386" s="6"/>
      <c r="E386" s="7" t="str">
        <f aca="false">IFERROR(__xludf.dummyfunction("lower(GOOGLETRANSLATE(B386,""es"",""en""))"),"she is bold")</f>
        <v>she is bold</v>
      </c>
      <c r="F386" s="7" t="str">
        <f aca="false">IFERROR(__xludf.dummyfunction("lower(GOOGLETRANSLATE(A386,""en"",""es""))"),"ella es atrevida")</f>
        <v>ella es atrevida</v>
      </c>
      <c r="H386" s="0" t="str">
        <f aca="false">A386&amp;"|"&amp;B386</f>
        <v>she is daring|ella es atrevida</v>
      </c>
    </row>
    <row r="387" customFormat="false" ht="15.75" hidden="false" customHeight="false" outlineLevel="0" collapsed="false">
      <c r="A387" s="4" t="s">
        <v>827</v>
      </c>
      <c r="B387" s="5" t="s">
        <v>828</v>
      </c>
      <c r="C387" s="5" t="s">
        <v>215</v>
      </c>
      <c r="D387" s="6"/>
      <c r="E387" s="7" t="str">
        <f aca="false">IFERROR(__xludf.dummyfunction("lower(GOOGLETRANSLATE(B387,""es"",""en""))"),"she is stingy")</f>
        <v>she is stingy</v>
      </c>
      <c r="F387" s="7" t="str">
        <f aca="false">IFERROR(__xludf.dummyfunction("lower(GOOGLETRANSLATE(A387,""en"",""es""))"),"que es barato")</f>
        <v>que es barato</v>
      </c>
      <c r="H387" s="0" t="str">
        <f aca="false">A387&amp;"|"&amp;B387</f>
        <v>she is cheap|ella es tacaña</v>
      </c>
    </row>
    <row r="388" customFormat="false" ht="15.75" hidden="false" customHeight="false" outlineLevel="0" collapsed="false">
      <c r="A388" s="4" t="s">
        <v>829</v>
      </c>
      <c r="B388" s="5" t="s">
        <v>830</v>
      </c>
      <c r="C388" s="5" t="s">
        <v>126</v>
      </c>
      <c r="D388" s="6"/>
      <c r="E388" s="7" t="str">
        <f aca="false">IFERROR(__xludf.dummyfunction("lower(GOOGLETRANSLATE(B388,""es"",""en""))"),"the clown is funny")</f>
        <v>the clown is funny</v>
      </c>
      <c r="F388" s="7" t="str">
        <f aca="false">IFERROR(__xludf.dummyfunction("lower(GOOGLETRANSLATE(A388,""en"",""es""))"),"el payaso es divertido")</f>
        <v>el payaso es divertido</v>
      </c>
      <c r="H388" s="0" t="str">
        <f aca="false">A388&amp;"|"&amp;B388</f>
        <v>the clown is funny|el payaso es gracioso</v>
      </c>
    </row>
    <row r="389" customFormat="false" ht="15.75" hidden="false" customHeight="false" outlineLevel="0" collapsed="false">
      <c r="A389" s="4" t="s">
        <v>831</v>
      </c>
      <c r="B389" s="5" t="s">
        <v>832</v>
      </c>
      <c r="C389" s="5" t="s">
        <v>493</v>
      </c>
      <c r="D389" s="6"/>
      <c r="E389" s="7" t="str">
        <f aca="false">IFERROR(__xludf.dummyfunction("lower(GOOGLETRANSLATE(B389,""es"",""en""))"),"i swim in the water")</f>
        <v>i swim in the water</v>
      </c>
      <c r="F389" s="7" t="str">
        <f aca="false">IFERROR(__xludf.dummyfunction("lower(GOOGLETRANSLATE(A389,""en"",""es""))"),"i nadar en el agua")</f>
        <v>i nadar en el agua</v>
      </c>
      <c r="H389" s="0" t="str">
        <f aca="false">A389&amp;"|"&amp;B389</f>
        <v>i swim in the water|yo nado en el agua</v>
      </c>
    </row>
    <row r="390" customFormat="false" ht="15.75" hidden="false" customHeight="false" outlineLevel="0" collapsed="false">
      <c r="A390" s="4" t="s">
        <v>833</v>
      </c>
      <c r="B390" s="5" t="s">
        <v>834</v>
      </c>
      <c r="C390" s="5" t="s">
        <v>126</v>
      </c>
      <c r="D390" s="5" t="s">
        <v>835</v>
      </c>
      <c r="E390" s="7" t="str">
        <f aca="false">IFERROR(__xludf.dummyfunction("lower(GOOGLETRANSLATE(B390,""es"",""en""))"),"where are you from?")</f>
        <v>where are you from?</v>
      </c>
      <c r="F390" s="7" t="str">
        <f aca="false">IFERROR(__xludf.dummyfunction("lower(GOOGLETRANSLATE(A390,""en"",""es""))"),"¿dónde estás (formal) de?")</f>
        <v>¿dónde estás (formal) de?</v>
      </c>
      <c r="H390" s="0" t="str">
        <f aca="false">A390&amp;"|"&amp;B390</f>
        <v>where are you (formal) from?|de dónde es usted?</v>
      </c>
    </row>
    <row r="391" customFormat="false" ht="15.75" hidden="false" customHeight="false" outlineLevel="0" collapsed="false">
      <c r="A391" s="4" t="s">
        <v>836</v>
      </c>
      <c r="B391" s="5" t="s">
        <v>837</v>
      </c>
      <c r="C391" s="5" t="s">
        <v>493</v>
      </c>
      <c r="D391" s="6"/>
      <c r="E391" s="7" t="str">
        <f aca="false">IFERROR(__xludf.dummyfunction("lower(GOOGLETRANSLATE(B391,""es"",""en""))"),"the meastro is very intelligent")</f>
        <v>the meastro is very intelligent</v>
      </c>
      <c r="F391" s="7" t="str">
        <f aca="false">IFERROR(__xludf.dummyfunction("lower(GOOGLETRANSLATE(A391,""en"",""es""))"),"el maestro es muy inteligente")</f>
        <v>el maestro es muy inteligente</v>
      </c>
      <c r="H391" s="0" t="str">
        <f aca="false">A391&amp;"|"&amp;B391</f>
        <v>the teacher is very smart|el meastro es muy inteligente</v>
      </c>
    </row>
    <row r="392" customFormat="false" ht="15.75" hidden="false" customHeight="false" outlineLevel="0" collapsed="false">
      <c r="A392" s="4" t="s">
        <v>838</v>
      </c>
      <c r="B392" s="5" t="s">
        <v>839</v>
      </c>
      <c r="C392" s="5" t="s">
        <v>493</v>
      </c>
      <c r="D392" s="6"/>
      <c r="E392" s="7" t="str">
        <f aca="false">IFERROR(__xludf.dummyfunction("lower(GOOGLETRANSLATE(B392,""es"",""en""))"),"happy may 5")</f>
        <v>happy may 5</v>
      </c>
      <c r="F392" s="7" t="str">
        <f aca="false">IFERROR(__xludf.dummyfunction("lower(GOOGLETRANSLATE(A392,""en"",""es""))"),"feliz cinco de mayo")</f>
        <v>feliz cinco de mayo</v>
      </c>
      <c r="H392" s="0" t="str">
        <f aca="false">A392&amp;"|"&amp;B392</f>
        <v>happy cinco de mayo|feliz de cinco de mayo</v>
      </c>
    </row>
    <row r="393" customFormat="false" ht="15.75" hidden="false" customHeight="false" outlineLevel="0" collapsed="false">
      <c r="A393" s="4" t="s">
        <v>840</v>
      </c>
      <c r="B393" s="5" t="s">
        <v>841</v>
      </c>
      <c r="C393" s="5" t="s">
        <v>493</v>
      </c>
      <c r="D393" s="6"/>
      <c r="E393" s="7" t="str">
        <f aca="false">IFERROR(__xludf.dummyfunction("lower(GOOGLETRANSLATE(B393,""es"",""en""))"),"the marker is green")</f>
        <v>the marker is green</v>
      </c>
      <c r="F393" s="7" t="str">
        <f aca="false">IFERROR(__xludf.dummyfunction("lower(GOOGLETRANSLATE(A393,""en"",""es""))"),"el marcador es verde")</f>
        <v>el marcador es verde</v>
      </c>
      <c r="H393" s="0" t="str">
        <f aca="false">A393&amp;"|"&amp;B393</f>
        <v>the marker is green|el marcador es verde</v>
      </c>
    </row>
    <row r="394" customFormat="false" ht="15.75" hidden="false" customHeight="false" outlineLevel="0" collapsed="false">
      <c r="A394" s="4" t="s">
        <v>842</v>
      </c>
      <c r="B394" s="5" t="s">
        <v>843</v>
      </c>
      <c r="C394" s="5" t="s">
        <v>493</v>
      </c>
      <c r="D394" s="6"/>
      <c r="E394" s="7" t="str">
        <f aca="false">IFERROR(__xludf.dummyfunction("lower(GOOGLETRANSLATE(B394,""es"",""en""))"),"the class is easy")</f>
        <v>the class is easy</v>
      </c>
      <c r="F394" s="7" t="str">
        <f aca="false">IFERROR(__xludf.dummyfunction("lower(GOOGLETRANSLATE(A394,""en"",""es""))"),"la clase es fácil")</f>
        <v>la clase es fácil</v>
      </c>
      <c r="H394" s="0" t="str">
        <f aca="false">A394&amp;"|"&amp;B394</f>
        <v>the class is easy|la clase es facil</v>
      </c>
    </row>
    <row r="395" customFormat="false" ht="15.75" hidden="false" customHeight="false" outlineLevel="0" collapsed="false">
      <c r="A395" s="4" t="s">
        <v>844</v>
      </c>
      <c r="B395" s="5" t="s">
        <v>845</v>
      </c>
      <c r="C395" s="5" t="s">
        <v>493</v>
      </c>
      <c r="D395" s="6"/>
      <c r="E395" s="7" t="str">
        <f aca="false">IFERROR(__xludf.dummyfunction("lower(GOOGLETRANSLATE(B395,""es"",""en""))"),"the pencil is yellow")</f>
        <v>the pencil is yellow</v>
      </c>
      <c r="F395" s="7" t="str">
        <f aca="false">IFERROR(__xludf.dummyfunction("lower(GOOGLETRANSLATE(A395,""en"",""es""))"),"el lápiz es de color amarillo")</f>
        <v>el lápiz es de color amarillo</v>
      </c>
      <c r="H395" s="0" t="str">
        <f aca="false">A395&amp;"|"&amp;B395</f>
        <v>the pencil is yellow|el lapiz es amarillo</v>
      </c>
    </row>
    <row r="396" customFormat="false" ht="15.75" hidden="false" customHeight="false" outlineLevel="0" collapsed="false">
      <c r="A396" s="4" t="s">
        <v>846</v>
      </c>
      <c r="B396" s="5" t="s">
        <v>847</v>
      </c>
      <c r="C396" s="5" t="s">
        <v>215</v>
      </c>
      <c r="D396" s="6"/>
      <c r="E396" s="7" t="str">
        <f aca="false">IFERROR(__xludf.dummyfunction("lower(GOOGLETRANSLATE(B396,""es"",""en""))"),"they are green")</f>
        <v>they are green</v>
      </c>
      <c r="F396" s="7" t="str">
        <f aca="false">IFERROR(__xludf.dummyfunction("lower(GOOGLETRANSLATE(A396,""en"",""es""))"),"ellos son verdes")</f>
        <v>ellos son verdes</v>
      </c>
      <c r="H396" s="0" t="str">
        <f aca="false">A396&amp;"|"&amp;B396</f>
        <v>they are green|ellos son verde</v>
      </c>
    </row>
    <row r="397" customFormat="false" ht="15.75" hidden="false" customHeight="false" outlineLevel="0" collapsed="false">
      <c r="A397" s="4" t="s">
        <v>848</v>
      </c>
      <c r="B397" s="5" t="s">
        <v>849</v>
      </c>
      <c r="C397" s="5" t="s">
        <v>850</v>
      </c>
      <c r="D397" s="6"/>
      <c r="E397" s="7" t="str">
        <f aca="false">IFERROR(__xludf.dummyfunction("lower(GOOGLETRANSLATE(B397,""es"",""en""))"),"i have nine pesos")</f>
        <v>i have nine pesos</v>
      </c>
      <c r="F397" s="7" t="str">
        <f aca="false">IFERROR(__xludf.dummyfunction("lower(GOOGLETRANSLATE(A397,""en"",""es""))"),"tengo nueve pesos")</f>
        <v>tengo nueve pesos</v>
      </c>
      <c r="H397" s="0" t="str">
        <f aca="false">A397&amp;"|"&amp;B397</f>
        <v>i have nine pesos|yo tengo nueve pesos</v>
      </c>
    </row>
    <row r="398" customFormat="false" ht="15.75" hidden="false" customHeight="false" outlineLevel="0" collapsed="false">
      <c r="A398" s="4" t="s">
        <v>851</v>
      </c>
      <c r="B398" s="5" t="s">
        <v>852</v>
      </c>
      <c r="C398" s="5" t="s">
        <v>493</v>
      </c>
      <c r="D398" s="6"/>
      <c r="E398" s="7" t="str">
        <f aca="false">IFERROR(__xludf.dummyfunction("lower(GOOGLETRANSLATE(B398,""es"",""en""))"),"the pencil is on the desk")</f>
        <v>the pencil is on the desk</v>
      </c>
      <c r="F398" s="7" t="str">
        <f aca="false">IFERROR(__xludf.dummyfunction("lower(GOOGLETRANSLATE(A398,""en"",""es""))"),"el lapiz esta en la mesa")</f>
        <v>el lapiz esta en la mesa</v>
      </c>
      <c r="H398" s="0" t="str">
        <f aca="false">A398&amp;"|"&amp;B398</f>
        <v>the pencil is on the table|el lápiz esta en el escritorio</v>
      </c>
    </row>
    <row r="399" customFormat="false" ht="15.75" hidden="false" customHeight="false" outlineLevel="0" collapsed="false">
      <c r="A399" s="4" t="s">
        <v>853</v>
      </c>
      <c r="B399" s="5" t="s">
        <v>854</v>
      </c>
      <c r="C399" s="5" t="s">
        <v>215</v>
      </c>
      <c r="D399" s="6"/>
      <c r="E399" s="7" t="str">
        <f aca="false">IFERROR(__xludf.dummyfunction("lower(GOOGLETRANSLATE(B399,""es"",""en""))"),"she is sitting")</f>
        <v>she is sitting</v>
      </c>
      <c r="F399" s="7" t="str">
        <f aca="false">IFERROR(__xludf.dummyfunction("lower(GOOGLETRANSLATE(A399,""en"",""es""))"),"está sentada")</f>
        <v>está sentada</v>
      </c>
      <c r="H399" s="0" t="str">
        <f aca="false">A399&amp;"|"&amp;B399</f>
        <v>she is seated|ella esta sentada</v>
      </c>
    </row>
    <row r="400" customFormat="false" ht="15.75" hidden="false" customHeight="false" outlineLevel="0" collapsed="false">
      <c r="A400" s="4" t="s">
        <v>855</v>
      </c>
      <c r="B400" s="5" t="s">
        <v>856</v>
      </c>
      <c r="C400" s="5" t="s">
        <v>215</v>
      </c>
      <c r="D400" s="6"/>
      <c r="E400" s="7" t="str">
        <f aca="false">IFERROR(__xludf.dummyfunction("lower(GOOGLETRANSLATE(B400,""es"",""en""))"),"it is the january 29")</f>
        <v>it is the january 29</v>
      </c>
      <c r="F400" s="7" t="str">
        <f aca="false">IFERROR(__xludf.dummyfunction("lower(GOOGLETRANSLATE(A400,""en"",""es""))"),"es 29no de enero de")</f>
        <v>es 29no de enero de</v>
      </c>
      <c r="H400" s="0" t="str">
        <f aca="false">A400&amp;"|"&amp;B400</f>
        <v>it is january 29th|es el veintinueve de enero</v>
      </c>
    </row>
    <row r="401" customFormat="false" ht="15.75" hidden="false" customHeight="false" outlineLevel="0" collapsed="false">
      <c r="A401" s="4" t="s">
        <v>857</v>
      </c>
      <c r="B401" s="5" t="s">
        <v>858</v>
      </c>
      <c r="C401" s="5" t="s">
        <v>493</v>
      </c>
      <c r="D401" s="6"/>
      <c r="E401" s="7" t="str">
        <f aca="false">IFERROR(__xludf.dummyfunction("lower(GOOGLETRANSLATE(B401,""es"",""en""))"),"(i) have my cuardernos in my backpack")</f>
        <v>(i) have my cuardernos in my backpack</v>
      </c>
      <c r="F401" s="7" t="str">
        <f aca="false">IFERROR(__xludf.dummyfunction("lower(GOOGLETRANSLATE(A401,""en"",""es""))"),"tengo mis cuadernos en la mochila")</f>
        <v>tengo mis cuadernos en la mochila</v>
      </c>
      <c r="H401" s="0" t="str">
        <f aca="false">A401&amp;"|"&amp;B401</f>
        <v>i have my notebooks in my backpack|(yo) tengo mis cuardernos en mi mochila</v>
      </c>
    </row>
    <row r="402" customFormat="false" ht="15.75" hidden="false" customHeight="false" outlineLevel="0" collapsed="false">
      <c r="A402" s="4" t="s">
        <v>42</v>
      </c>
      <c r="B402" s="5" t="s">
        <v>44</v>
      </c>
      <c r="C402" s="5" t="s">
        <v>493</v>
      </c>
      <c r="D402" s="5" t="s">
        <v>43</v>
      </c>
      <c r="E402" s="7" t="str">
        <f aca="false">IFERROR(__xludf.dummyfunction("lower(GOOGLETRANSLATE(B402,""es"",""en""))"),"my name is")</f>
        <v>my name is</v>
      </c>
      <c r="F402" s="7" t="str">
        <f aca="false">IFERROR(__xludf.dummyfunction("lower(GOOGLETRANSLATE(A402,""en"",""es""))"),"me llamo")</f>
        <v>me llamo</v>
      </c>
      <c r="H402" s="0" t="str">
        <f aca="false">A402&amp;"|"&amp;B402</f>
        <v>my name is|mi nombre es</v>
      </c>
    </row>
    <row r="403" customFormat="false" ht="15.75" hidden="false" customHeight="false" outlineLevel="0" collapsed="false">
      <c r="A403" s="4" t="s">
        <v>859</v>
      </c>
      <c r="B403" s="5" t="s">
        <v>860</v>
      </c>
      <c r="C403" s="5" t="s">
        <v>493</v>
      </c>
      <c r="D403" s="6"/>
      <c r="E403" s="7" t="str">
        <f aca="false">IFERROR(__xludf.dummyfunction("lower(GOOGLETRANSLATE(B403,""es"",""en""))"),"what her name?")</f>
        <v>what her name?</v>
      </c>
      <c r="F403" s="7" t="str">
        <f aca="false">IFERROR(__xludf.dummyfunction("lower(GOOGLETRANSLATE(A403,""en"",""es""))"),"¿cual es su nombre?")</f>
        <v>¿cual es su nombre?</v>
      </c>
      <c r="H403" s="0" t="str">
        <f aca="false">A403&amp;"|"&amp;B403</f>
        <v>what is his/her name?|cuál es su nombre?</v>
      </c>
    </row>
    <row r="404" customFormat="false" ht="15.75" hidden="false" customHeight="false" outlineLevel="0" collapsed="false">
      <c r="A404" s="4" t="s">
        <v>861</v>
      </c>
      <c r="B404" s="5" t="s">
        <v>862</v>
      </c>
      <c r="C404" s="5" t="s">
        <v>578</v>
      </c>
      <c r="D404" s="6"/>
      <c r="E404" s="7" t="str">
        <f aca="false">IFERROR(__xludf.dummyfunction("lower(GOOGLETRANSLATE(B404,""es"",""en""))"),"jef is how your call @?")</f>
        <v>jef is how your call @?</v>
      </c>
      <c r="F404" s="7" t="str">
        <f aca="false">IFERROR(__xludf.dummyfunction("lower(GOOGLETRANSLATE(A404,""en"",""es""))"),"lo que se llama su jefe?")</f>
        <v>lo que se llama su jefe?</v>
      </c>
      <c r="H404" s="0" t="str">
        <f aca="false">A404&amp;"|"&amp;B404</f>
        <v>what is your boss called?|cómo se llame tu jef@?</v>
      </c>
    </row>
    <row r="405" customFormat="false" ht="15.75" hidden="false" customHeight="false" outlineLevel="0" collapsed="false">
      <c r="A405" s="4" t="s">
        <v>863</v>
      </c>
      <c r="B405" s="5" t="s">
        <v>864</v>
      </c>
      <c r="C405" s="5" t="s">
        <v>578</v>
      </c>
      <c r="D405" s="6"/>
      <c r="E405" s="7" t="str">
        <f aca="false">IFERROR(__xludf.dummyfunction("lower(GOOGLETRANSLATE(B405,""es"",""en""))"),"what is the name of your jef @?")</f>
        <v>what is the name of your jef @?</v>
      </c>
      <c r="F405" s="7" t="str">
        <f aca="false">IFERROR(__xludf.dummyfunction("lower(GOOGLETRANSLATE(A405,""en"",""es""))"),"lo que es el nombre de su jefe")</f>
        <v>lo que es el nombre de su jefe</v>
      </c>
      <c r="H405" s="0" t="str">
        <f aca="false">A405&amp;"|"&amp;B405</f>
        <v>what is the name of your boss|cuál es el nombre de tu jef@?</v>
      </c>
    </row>
    <row r="406" customFormat="false" ht="15.75" hidden="false" customHeight="false" outlineLevel="0" collapsed="false">
      <c r="A406" s="4" t="s">
        <v>865</v>
      </c>
      <c r="B406" s="5" t="s">
        <v>866</v>
      </c>
      <c r="C406" s="5" t="s">
        <v>578</v>
      </c>
      <c r="D406" s="5" t="s">
        <v>867</v>
      </c>
      <c r="E406" s="7" t="str">
        <f aca="false">IFERROR(__xludf.dummyfunction("lower(GOOGLETRANSLATE(B406,""es"",""en""))"),"the nickname")</f>
        <v>the nickname</v>
      </c>
      <c r="F406" s="7" t="str">
        <f aca="false">IFERROR(__xludf.dummyfunction("lower(GOOGLETRANSLATE(A406,""en"",""es""))"),"el sobrenombre")</f>
        <v>el sobrenombre</v>
      </c>
      <c r="H406" s="0" t="str">
        <f aca="false">A406&amp;"|"&amp;B406</f>
        <v>the nickname|el apodo</v>
      </c>
    </row>
    <row r="407" customFormat="false" ht="15.75" hidden="false" customHeight="false" outlineLevel="0" collapsed="false">
      <c r="A407" s="4" t="s">
        <v>868</v>
      </c>
      <c r="B407" s="5" t="s">
        <v>869</v>
      </c>
      <c r="C407" s="5" t="s">
        <v>578</v>
      </c>
      <c r="D407" s="6"/>
      <c r="E407" s="7" t="str">
        <f aca="false">IFERROR(__xludf.dummyfunction("lower(GOOGLETRANSLATE(B407,""es"",""en""))"),"for")</f>
        <v>for</v>
      </c>
      <c r="F407" s="7" t="str">
        <f aca="false">IFERROR(__xludf.dummyfunction("lower(GOOGLETRANSLATE(A407,""en"",""es""))"),"para")</f>
        <v>para</v>
      </c>
      <c r="H407" s="0" t="str">
        <f aca="false">A407&amp;"|"&amp;B407</f>
        <v>for|para</v>
      </c>
    </row>
    <row r="408" customFormat="false" ht="15.75" hidden="false" customHeight="false" outlineLevel="0" collapsed="false">
      <c r="A408" s="4" t="s">
        <v>870</v>
      </c>
      <c r="B408" s="5" t="s">
        <v>871</v>
      </c>
      <c r="C408" s="5" t="s">
        <v>493</v>
      </c>
      <c r="D408" s="6"/>
      <c r="E408" s="7" t="str">
        <f aca="false">IFERROR(__xludf.dummyfunction("lower(GOOGLETRANSLATE(B408,""es"",""en""))"),"i have a pencil to class")</f>
        <v>i have a pencil to class</v>
      </c>
      <c r="F408" s="7" t="str">
        <f aca="false">IFERROR(__xludf.dummyfunction("lower(GOOGLETRANSLATE(A408,""en"",""es""))"),"tengo un lápiz para la clase")</f>
        <v>tengo un lápiz para la clase</v>
      </c>
      <c r="H408" s="0" t="str">
        <f aca="false">A408&amp;"|"&amp;B408</f>
        <v>i have a pencil for the class|tengo un lápiz para la clase</v>
      </c>
    </row>
    <row r="409" customFormat="false" ht="15.75" hidden="false" customHeight="false" outlineLevel="0" collapsed="false">
      <c r="A409" s="4" t="s">
        <v>872</v>
      </c>
      <c r="B409" s="5" t="s">
        <v>873</v>
      </c>
      <c r="C409" s="5" t="s">
        <v>493</v>
      </c>
      <c r="D409" s="6"/>
      <c r="E409" s="7" t="str">
        <f aca="false">IFERROR(__xludf.dummyfunction("lower(GOOGLETRANSLATE(B409,""es"",""en""))"),"you have your computer for the meeting?")</f>
        <v>you have your computer for the meeting?</v>
      </c>
      <c r="F409" s="7" t="str">
        <f aca="false">IFERROR(__xludf.dummyfunction("lower(GOOGLETRANSLATE(A409,""en"",""es""))"),"¿tiene el equipo para la reunión?")</f>
        <v>¿tiene el equipo para la reunión?</v>
      </c>
      <c r="H409" s="0" t="str">
        <f aca="false">A409&amp;"|"&amp;B409</f>
        <v>do you have your computer for the meeting?|tienes tu computadora para la reunión?</v>
      </c>
    </row>
    <row r="410" customFormat="false" ht="15.75" hidden="false" customHeight="false" outlineLevel="0" collapsed="false">
      <c r="A410" s="4" t="s">
        <v>874</v>
      </c>
      <c r="B410" s="5" t="s">
        <v>875</v>
      </c>
      <c r="C410" s="5" t="s">
        <v>493</v>
      </c>
      <c r="D410" s="6"/>
      <c r="E410" s="7" t="str">
        <f aca="false">IFERROR(__xludf.dummyfunction("lower(GOOGLETRANSLATE(B410,""es"",""en""))"),"i need a notebook for the meeting")</f>
        <v>i need a notebook for the meeting</v>
      </c>
      <c r="F410" s="7" t="str">
        <f aca="false">IFERROR(__xludf.dummyfunction("lower(GOOGLETRANSLATE(A410,""en"",""es""))"),"necesito un notebood para la reunión")</f>
        <v>necesito un notebood para la reunión</v>
      </c>
      <c r="H410" s="0" t="str">
        <f aca="false">A410&amp;"|"&amp;B410</f>
        <v>i need a notebood for the meeting|necesito un cuaderno para la reunión</v>
      </c>
    </row>
    <row r="411" customFormat="false" ht="15.75" hidden="false" customHeight="false" outlineLevel="0" collapsed="false">
      <c r="A411" s="4" t="s">
        <v>876</v>
      </c>
      <c r="B411" s="5" t="s">
        <v>877</v>
      </c>
      <c r="C411" s="5" t="s">
        <v>493</v>
      </c>
      <c r="D411" s="6"/>
      <c r="E411" s="7" t="str">
        <f aca="false">IFERROR(__xludf.dummyfunction("lower(GOOGLETRANSLATE(B411,""es"",""en""))"),"you necsitas an agenda for work?")</f>
        <v>you necsitas an agenda for work?</v>
      </c>
      <c r="F411" s="7" t="str">
        <f aca="false">IFERROR(__xludf.dummyfunction("lower(GOOGLETRANSLATE(A411,""en"",""es""))"),"qué necesita una agenda diaria para el trabajo?")</f>
        <v>qué necesita una agenda diaria para el trabajo?</v>
      </c>
      <c r="H411" s="0" t="str">
        <f aca="false">A411&amp;"|"&amp;B411</f>
        <v>do you need a daily planner for work?|necsitas una agenda para el trabajo?</v>
      </c>
    </row>
    <row r="412" customFormat="false" ht="15.75" hidden="false" customHeight="false" outlineLevel="0" collapsed="false">
      <c r="A412" s="4" t="s">
        <v>878</v>
      </c>
      <c r="B412" s="5" t="s">
        <v>879</v>
      </c>
      <c r="C412" s="5" t="s">
        <v>880</v>
      </c>
      <c r="D412" s="6"/>
      <c r="E412" s="7" t="str">
        <f aca="false">IFERROR(__xludf.dummyfunction("lower(GOOGLETRANSLATE(B412,""es"",""en""))"),"i eat")</f>
        <v>i eat</v>
      </c>
      <c r="F412" s="7" t="str">
        <f aca="false">IFERROR(__xludf.dummyfunction("lower(GOOGLETRANSLATE(A412,""en"",""es""))"),"yo como")</f>
        <v>yo como</v>
      </c>
      <c r="H412" s="0" t="str">
        <f aca="false">A412&amp;"|"&amp;B412</f>
        <v>i eat|yo como</v>
      </c>
    </row>
    <row r="413" customFormat="false" ht="15.75" hidden="false" customHeight="false" outlineLevel="0" collapsed="false">
      <c r="A413" s="4" t="s">
        <v>881</v>
      </c>
      <c r="B413" s="5" t="s">
        <v>882</v>
      </c>
      <c r="C413" s="5" t="s">
        <v>880</v>
      </c>
      <c r="D413" s="6"/>
      <c r="E413" s="7" t="str">
        <f aca="false">IFERROR(__xludf.dummyfunction("lower(GOOGLETRANSLATE(B413,""es"",""en""))"),"you eat")</f>
        <v>you eat</v>
      </c>
      <c r="F413" s="7" t="str">
        <f aca="false">IFERROR(__xludf.dummyfunction("lower(GOOGLETRANSLATE(A413,""en"",""es""))"),"comes")</f>
        <v>comes</v>
      </c>
      <c r="H413" s="0" t="str">
        <f aca="false">A413&amp;"|"&amp;B413</f>
        <v>you eat|tú comes</v>
      </c>
    </row>
    <row r="414" customFormat="false" ht="15.75" hidden="false" customHeight="false" outlineLevel="0" collapsed="false">
      <c r="A414" s="4" t="s">
        <v>883</v>
      </c>
      <c r="B414" s="5" t="s">
        <v>884</v>
      </c>
      <c r="C414" s="5" t="s">
        <v>880</v>
      </c>
      <c r="D414" s="6"/>
      <c r="E414" s="7" t="str">
        <f aca="false">IFERROR(__xludf.dummyfunction("lower(GOOGLETRANSLATE(B414,""es"",""en""))"),"he eats")</f>
        <v>he eats</v>
      </c>
      <c r="F414" s="7" t="str">
        <f aca="false">IFERROR(__xludf.dummyfunction("lower(GOOGLETRANSLATE(A414,""en"",""es""))"),"él come")</f>
        <v>él come</v>
      </c>
      <c r="H414" s="0" t="str">
        <f aca="false">A414&amp;"|"&amp;B414</f>
        <v>he eats|el come</v>
      </c>
    </row>
    <row r="415" customFormat="false" ht="15.75" hidden="false" customHeight="false" outlineLevel="0" collapsed="false">
      <c r="A415" s="4" t="s">
        <v>885</v>
      </c>
      <c r="B415" s="5" t="s">
        <v>886</v>
      </c>
      <c r="C415" s="5" t="s">
        <v>880</v>
      </c>
      <c r="D415" s="6"/>
      <c r="E415" s="7" t="str">
        <f aca="false">IFERROR(__xludf.dummyfunction("lower(GOOGLETRANSLATE(B415,""es"",""en""))"),"she eats")</f>
        <v>she eats</v>
      </c>
      <c r="F415" s="7" t="str">
        <f aca="false">IFERROR(__xludf.dummyfunction("lower(GOOGLETRANSLATE(A415,""en"",""es""))"),"ella come")</f>
        <v>ella come</v>
      </c>
      <c r="H415" s="0" t="str">
        <f aca="false">A415&amp;"|"&amp;B415</f>
        <v>she eats|ella come</v>
      </c>
    </row>
    <row r="416" customFormat="false" ht="15.75" hidden="false" customHeight="false" outlineLevel="0" collapsed="false">
      <c r="A416" s="4" t="s">
        <v>887</v>
      </c>
      <c r="B416" s="5" t="s">
        <v>888</v>
      </c>
      <c r="C416" s="5" t="s">
        <v>880</v>
      </c>
      <c r="D416" s="6"/>
      <c r="E416" s="7" t="str">
        <f aca="false">IFERROR(__xludf.dummyfunction("lower(GOOGLETRANSLATE(B416,""es"",""en""))"),"you eat")</f>
        <v>you eat</v>
      </c>
      <c r="F416" s="7" t="str">
        <f aca="false">IFERROR(__xludf.dummyfunction("lower(GOOGLETRANSLATE(A416,""en"",""es""))"),"usted (formal) come")</f>
        <v>usted (formal) come</v>
      </c>
      <c r="H416" s="0" t="str">
        <f aca="false">A416&amp;"|"&amp;B416</f>
        <v>you (formal) eat|usted come</v>
      </c>
    </row>
    <row r="417" customFormat="false" ht="15.75" hidden="false" customHeight="false" outlineLevel="0" collapsed="false">
      <c r="A417" s="4" t="s">
        <v>889</v>
      </c>
      <c r="B417" s="5" t="s">
        <v>890</v>
      </c>
      <c r="C417" s="5" t="s">
        <v>880</v>
      </c>
      <c r="D417" s="6"/>
      <c r="E417" s="7" t="str">
        <f aca="false">IFERROR(__xludf.dummyfunction("lower(GOOGLETRANSLATE(B417,""es"",""en""))"),"we comenos")</f>
        <v>we comenos</v>
      </c>
      <c r="F417" s="7" t="str">
        <f aca="false">IFERROR(__xludf.dummyfunction("lower(GOOGLETRANSLATE(A417,""en"",""es""))"),"comemos")</f>
        <v>comemos</v>
      </c>
      <c r="H417" s="0" t="str">
        <f aca="false">A417&amp;"|"&amp;B417</f>
        <v>we eat|nosotros comenos</v>
      </c>
    </row>
    <row r="418" customFormat="false" ht="15.75" hidden="false" customHeight="false" outlineLevel="0" collapsed="false">
      <c r="A418" s="4" t="s">
        <v>891</v>
      </c>
      <c r="B418" s="5" t="s">
        <v>892</v>
      </c>
      <c r="C418" s="5" t="s">
        <v>880</v>
      </c>
      <c r="D418" s="6"/>
      <c r="E418" s="7" t="str">
        <f aca="false">IFERROR(__xludf.dummyfunction("lower(GOOGLETRANSLATE(B418,""es"",""en""))"),"you eat")</f>
        <v>you eat</v>
      </c>
      <c r="F418" s="7" t="str">
        <f aca="false">IFERROR(__xludf.dummyfunction("lower(GOOGLETRANSLATE(A418,""en"",""es""))"),"usted (plural) come")</f>
        <v>usted (plural) come</v>
      </c>
      <c r="H418" s="0" t="str">
        <f aca="false">A418&amp;"|"&amp;B418</f>
        <v>you (plural) eat|vosotros coméis</v>
      </c>
    </row>
    <row r="419" customFormat="false" ht="15.75" hidden="false" customHeight="false" outlineLevel="0" collapsed="false">
      <c r="A419" s="4" t="s">
        <v>893</v>
      </c>
      <c r="B419" s="5" t="s">
        <v>894</v>
      </c>
      <c r="C419" s="5" t="s">
        <v>880</v>
      </c>
      <c r="D419" s="5"/>
      <c r="E419" s="7" t="str">
        <f aca="false">IFERROR(__xludf.dummyfunction("lower(GOOGLETRANSLATE(B419,""es"",""en""))"),"(they / them) eat")</f>
        <v>(they / them) eat</v>
      </c>
      <c r="F419" s="7" t="str">
        <f aca="false">IFERROR(__xludf.dummyfunction("lower(GOOGLETRANSLATE(A419,""en"",""es""))"),"ellos comen")</f>
        <v>ellos comen</v>
      </c>
      <c r="H419" s="0" t="str">
        <f aca="false">A419&amp;"|"&amp;B419</f>
        <v>they eat|(ellos/ellas) comen</v>
      </c>
    </row>
    <row r="420" customFormat="false" ht="15.75" hidden="false" customHeight="false" outlineLevel="0" collapsed="false">
      <c r="A420" s="4" t="s">
        <v>895</v>
      </c>
      <c r="B420" s="5" t="s">
        <v>896</v>
      </c>
      <c r="C420" s="5" t="s">
        <v>880</v>
      </c>
      <c r="D420" s="6"/>
      <c r="E420" s="7" t="str">
        <f aca="false">IFERROR(__xludf.dummyfunction("lower(GOOGLETRANSLATE(B420,""es"",""en""))"),"you eat")</f>
        <v>you eat</v>
      </c>
      <c r="F420" s="7" t="str">
        <f aca="false">IFERROR(__xludf.dummyfunction("lower(GOOGLETRANSLATE(A420,""en"",""es""))"),"usted (plural, formal) come")</f>
        <v>usted (plural, formal) come</v>
      </c>
      <c r="H420" s="0" t="str">
        <f aca="false">A420&amp;"|"&amp;B420</f>
        <v>you (plural, formal) eat|ustedes comen</v>
      </c>
    </row>
    <row r="421" customFormat="false" ht="15.75" hidden="false" customHeight="false" outlineLevel="0" collapsed="false">
      <c r="A421" s="4" t="s">
        <v>897</v>
      </c>
      <c r="B421" s="5" t="s">
        <v>898</v>
      </c>
      <c r="C421" s="5" t="s">
        <v>899</v>
      </c>
      <c r="D421" s="6"/>
      <c r="E421" s="7" t="str">
        <f aca="false">IFERROR(__xludf.dummyfunction("lower(GOOGLETRANSLATE(B421,""es"",""en""))"),"live")</f>
        <v>live</v>
      </c>
      <c r="F421" s="7" t="str">
        <f aca="false">IFERROR(__xludf.dummyfunction("lower(GOOGLETRANSLATE(A421,""en"",""es""))"),"vivir")</f>
        <v>vivir</v>
      </c>
      <c r="H421" s="0" t="str">
        <f aca="false">A421&amp;"|"&amp;B421</f>
        <v>to live|vivir</v>
      </c>
    </row>
    <row r="422" customFormat="false" ht="15.75" hidden="false" customHeight="false" outlineLevel="0" collapsed="false">
      <c r="A422" s="4" t="s">
        <v>900</v>
      </c>
      <c r="B422" s="5" t="s">
        <v>901</v>
      </c>
      <c r="C422" s="5" t="s">
        <v>902</v>
      </c>
      <c r="D422" s="6"/>
      <c r="E422" s="7" t="str">
        <f aca="false">IFERROR(__xludf.dummyfunction("lower(GOOGLETRANSLATE(B422,""es"",""en""))"),"i live")</f>
        <v>i live</v>
      </c>
      <c r="F422" s="7" t="str">
        <f aca="false">IFERROR(__xludf.dummyfunction("lower(GOOGLETRANSLATE(A422,""en"",""es""))"),"yo vivo")</f>
        <v>yo vivo</v>
      </c>
      <c r="H422" s="0" t="str">
        <f aca="false">A422&amp;"|"&amp;B422</f>
        <v>i live|yo vivo</v>
      </c>
    </row>
    <row r="423" customFormat="false" ht="15.75" hidden="false" customHeight="false" outlineLevel="0" collapsed="false">
      <c r="A423" s="4" t="s">
        <v>903</v>
      </c>
      <c r="B423" s="5" t="s">
        <v>904</v>
      </c>
      <c r="C423" s="5" t="s">
        <v>902</v>
      </c>
      <c r="D423" s="6"/>
      <c r="E423" s="7" t="str">
        <f aca="false">IFERROR(__xludf.dummyfunction("lower(GOOGLETRANSLATE(B423,""es"",""en""))"),"you live")</f>
        <v>you live</v>
      </c>
      <c r="F423" s="7" t="str">
        <f aca="false">IFERROR(__xludf.dummyfunction("lower(GOOGLETRANSLATE(A423,""en"",""es""))"),"tu vives")</f>
        <v>tu vives</v>
      </c>
      <c r="H423" s="0" t="str">
        <f aca="false">A423&amp;"|"&amp;B423</f>
        <v>you live|tú vives</v>
      </c>
    </row>
    <row r="424" customFormat="false" ht="15.75" hidden="false" customHeight="false" outlineLevel="0" collapsed="false">
      <c r="A424" s="4" t="s">
        <v>905</v>
      </c>
      <c r="B424" s="5" t="s">
        <v>906</v>
      </c>
      <c r="C424" s="5" t="s">
        <v>902</v>
      </c>
      <c r="D424" s="6"/>
      <c r="E424" s="7" t="str">
        <f aca="false">IFERROR(__xludf.dummyfunction("lower(GOOGLETRANSLATE(B424,""es"",""en""))"),"he lives")</f>
        <v>he lives</v>
      </c>
      <c r="F424" s="7" t="str">
        <f aca="false">IFERROR(__xludf.dummyfunction("lower(GOOGLETRANSLATE(A424,""en"",""es""))"),"el vive")</f>
        <v>el vive</v>
      </c>
      <c r="H424" s="0" t="str">
        <f aca="false">A424&amp;"|"&amp;B424</f>
        <v>he lives|el vive</v>
      </c>
    </row>
    <row r="425" customFormat="false" ht="15.75" hidden="false" customHeight="false" outlineLevel="0" collapsed="false">
      <c r="A425" s="4" t="s">
        <v>907</v>
      </c>
      <c r="B425" s="5" t="s">
        <v>908</v>
      </c>
      <c r="C425" s="5" t="s">
        <v>902</v>
      </c>
      <c r="D425" s="6"/>
      <c r="E425" s="7" t="str">
        <f aca="false">IFERROR(__xludf.dummyfunction("lower(GOOGLETRANSLATE(B425,""es"",""en""))"),"she lives")</f>
        <v>she lives</v>
      </c>
      <c r="F425" s="7" t="str">
        <f aca="false">IFERROR(__xludf.dummyfunction("lower(GOOGLETRANSLATE(A425,""en"",""es""))"),"ella vive")</f>
        <v>ella vive</v>
      </c>
      <c r="H425" s="0" t="str">
        <f aca="false">A425&amp;"|"&amp;B425</f>
        <v>she lives|ella vive</v>
      </c>
    </row>
    <row r="426" customFormat="false" ht="15.75" hidden="false" customHeight="false" outlineLevel="0" collapsed="false">
      <c r="A426" s="4" t="s">
        <v>909</v>
      </c>
      <c r="B426" s="5" t="s">
        <v>910</v>
      </c>
      <c r="C426" s="5" t="s">
        <v>902</v>
      </c>
      <c r="D426" s="6"/>
      <c r="E426" s="7" t="str">
        <f aca="false">IFERROR(__xludf.dummyfunction("lower(GOOGLETRANSLATE(B426,""es"",""en""))"),"you live")</f>
        <v>you live</v>
      </c>
      <c r="F426" s="7" t="str">
        <f aca="false">IFERROR(__xludf.dummyfunction("lower(GOOGLETRANSLATE(A426,""en"",""es""))"),"usted (formal) en vivo")</f>
        <v>usted (formal) en vivo</v>
      </c>
      <c r="H426" s="0" t="str">
        <f aca="false">A426&amp;"|"&amp;B426</f>
        <v>you (formal) live|usted vive</v>
      </c>
    </row>
    <row r="427" customFormat="false" ht="15.75" hidden="false" customHeight="false" outlineLevel="0" collapsed="false">
      <c r="A427" s="4" t="s">
        <v>911</v>
      </c>
      <c r="B427" s="5" t="s">
        <v>912</v>
      </c>
      <c r="C427" s="5" t="s">
        <v>902</v>
      </c>
      <c r="D427" s="6"/>
      <c r="E427" s="7" t="str">
        <f aca="false">IFERROR(__xludf.dummyfunction("lower(GOOGLETRANSLATE(B427,""es"",""en""))"),"we live")</f>
        <v>we live</v>
      </c>
      <c r="F427" s="7" t="str">
        <f aca="false">IFERROR(__xludf.dummyfunction("lower(GOOGLETRANSLATE(A427,""en"",""es""))"),"vivimos")</f>
        <v>vivimos</v>
      </c>
      <c r="H427" s="0" t="str">
        <f aca="false">A427&amp;"|"&amp;B427</f>
        <v>we live|nosotros vivimos</v>
      </c>
    </row>
    <row r="428" customFormat="false" ht="15.75" hidden="false" customHeight="false" outlineLevel="0" collapsed="false">
      <c r="A428" s="4" t="s">
        <v>913</v>
      </c>
      <c r="B428" s="5" t="s">
        <v>914</v>
      </c>
      <c r="C428" s="5" t="s">
        <v>902</v>
      </c>
      <c r="D428" s="6"/>
      <c r="E428" s="7" t="str">
        <f aca="false">IFERROR(__xludf.dummyfunction("lower(GOOGLETRANSLATE(B428,""es"",""en""))"),"you live")</f>
        <v>you live</v>
      </c>
      <c r="F428" s="7" t="str">
        <f aca="false">IFERROR(__xludf.dummyfunction("lower(GOOGLETRANSLATE(A428,""en"",""es""))"),"usted (plural) en vivo")</f>
        <v>usted (plural) en vivo</v>
      </c>
      <c r="H428" s="0" t="str">
        <f aca="false">A428&amp;"|"&amp;B428</f>
        <v>you (plural) live|vosotros vivis</v>
      </c>
    </row>
    <row r="429" customFormat="false" ht="15.75" hidden="false" customHeight="false" outlineLevel="0" collapsed="false">
      <c r="A429" s="4" t="s">
        <v>915</v>
      </c>
      <c r="B429" s="5" t="s">
        <v>916</v>
      </c>
      <c r="C429" s="5" t="s">
        <v>902</v>
      </c>
      <c r="D429" s="6"/>
      <c r="E429" s="7" t="str">
        <f aca="false">IFERROR(__xludf.dummyfunction("lower(GOOGLETRANSLATE(B429,""es"",""en""))"),"(they / them) live")</f>
        <v>(they / them) live</v>
      </c>
      <c r="F429" s="7" t="str">
        <f aca="false">IFERROR(__xludf.dummyfunction("lower(GOOGLETRANSLATE(A429,""en"",""es""))"),"ellos viven")</f>
        <v>ellos viven</v>
      </c>
      <c r="H429" s="0" t="str">
        <f aca="false">A429&amp;"|"&amp;B429</f>
        <v>they live|(ellos/ellas) viven</v>
      </c>
    </row>
    <row r="430" customFormat="false" ht="15.75" hidden="false" customHeight="false" outlineLevel="0" collapsed="false">
      <c r="A430" s="4" t="s">
        <v>917</v>
      </c>
      <c r="B430" s="5" t="s">
        <v>918</v>
      </c>
      <c r="C430" s="5" t="s">
        <v>902</v>
      </c>
      <c r="D430" s="6"/>
      <c r="E430" s="7" t="str">
        <f aca="false">IFERROR(__xludf.dummyfunction("lower(GOOGLETRANSLATE(B430,""es"",""en""))"),"you live")</f>
        <v>you live</v>
      </c>
      <c r="F430" s="7" t="str">
        <f aca="false">IFERROR(__xludf.dummyfunction("lower(GOOGLETRANSLATE(A430,""en"",""es""))"),"usted (plural, formal) en vivo")</f>
        <v>usted (plural, formal) en vivo</v>
      </c>
      <c r="H430" s="0" t="str">
        <f aca="false">A430&amp;"|"&amp;B430</f>
        <v>you (plural, formal) live|ustedes viven</v>
      </c>
    </row>
    <row r="431" customFormat="false" ht="15.75" hidden="false" customHeight="false" outlineLevel="0" collapsed="false">
      <c r="A431" s="4" t="s">
        <v>919</v>
      </c>
      <c r="B431" s="5" t="s">
        <v>920</v>
      </c>
      <c r="C431" s="5" t="s">
        <v>921</v>
      </c>
      <c r="D431" s="6"/>
      <c r="E431" s="7" t="str">
        <f aca="false">IFERROR(__xludf.dummyfunction("lower(GOOGLETRANSLATE(B431,""es"",""en""))"),"to go")</f>
        <v>to go</v>
      </c>
      <c r="F431" s="7" t="str">
        <f aca="false">IFERROR(__xludf.dummyfunction("lower(GOOGLETRANSLATE(A431,""en"",""es""))"),"ir")</f>
        <v>ir</v>
      </c>
      <c r="H431" s="0" t="str">
        <f aca="false">A431&amp;"|"&amp;B431</f>
        <v>to go|ir</v>
      </c>
    </row>
    <row r="432" customFormat="false" ht="15.75" hidden="false" customHeight="false" outlineLevel="0" collapsed="false">
      <c r="A432" s="4" t="s">
        <v>922</v>
      </c>
      <c r="B432" s="5" t="s">
        <v>923</v>
      </c>
      <c r="C432" s="5" t="s">
        <v>921</v>
      </c>
      <c r="D432" s="6"/>
      <c r="E432" s="7" t="str">
        <f aca="false">IFERROR(__xludf.dummyfunction("lower(GOOGLETRANSLATE(B432,""es"",""en""))"),"i am going")</f>
        <v>i am going</v>
      </c>
      <c r="F432" s="7" t="str">
        <f aca="false">IFERROR(__xludf.dummyfunction("lower(GOOGLETRANSLATE(A432,""en"",""es""))"),"yo voy")</f>
        <v>yo voy</v>
      </c>
      <c r="H432" s="0" t="str">
        <f aca="false">A432&amp;"|"&amp;B432</f>
        <v>i go|yo voy</v>
      </c>
    </row>
    <row r="433" customFormat="false" ht="15.75" hidden="false" customHeight="false" outlineLevel="0" collapsed="false">
      <c r="A433" s="4" t="s">
        <v>924</v>
      </c>
      <c r="B433" s="5" t="s">
        <v>925</v>
      </c>
      <c r="C433" s="5" t="s">
        <v>921</v>
      </c>
      <c r="D433" s="6"/>
      <c r="E433" s="7" t="str">
        <f aca="false">IFERROR(__xludf.dummyfunction("lower(GOOGLETRANSLATE(B433,""es"",""en""))"),"you go")</f>
        <v>you go</v>
      </c>
      <c r="F433" s="7" t="str">
        <f aca="false">IFERROR(__xludf.dummyfunction("lower(GOOGLETRANSLATE(A433,""en"",""es""))"),"anda tu")</f>
        <v>anda tu</v>
      </c>
      <c r="H433" s="0" t="str">
        <f aca="false">A433&amp;"|"&amp;B433</f>
        <v>you go|tú vas</v>
      </c>
    </row>
    <row r="434" customFormat="false" ht="15.75" hidden="false" customHeight="false" outlineLevel="0" collapsed="false">
      <c r="A434" s="4" t="s">
        <v>926</v>
      </c>
      <c r="B434" s="5" t="s">
        <v>927</v>
      </c>
      <c r="C434" s="5" t="s">
        <v>921</v>
      </c>
      <c r="D434" s="6"/>
      <c r="E434" s="7" t="str">
        <f aca="false">IFERROR(__xludf.dummyfunction("lower(GOOGLETRANSLATE(B434,""es"",""en""))"),"he goes")</f>
        <v>he goes</v>
      </c>
      <c r="F434" s="7" t="str">
        <f aca="false">IFERROR(__xludf.dummyfunction("lower(GOOGLETRANSLATE(A434,""en"",""es""))"),"el va")</f>
        <v>el va</v>
      </c>
      <c r="H434" s="0" t="str">
        <f aca="false">A434&amp;"|"&amp;B434</f>
        <v>he goes|el va</v>
      </c>
    </row>
    <row r="435" customFormat="false" ht="15.75" hidden="false" customHeight="false" outlineLevel="0" collapsed="false">
      <c r="A435" s="4" t="s">
        <v>928</v>
      </c>
      <c r="B435" s="5" t="s">
        <v>929</v>
      </c>
      <c r="C435" s="5" t="s">
        <v>921</v>
      </c>
      <c r="D435" s="6"/>
      <c r="E435" s="7" t="str">
        <f aca="false">IFERROR(__xludf.dummyfunction("lower(GOOGLETRANSLATE(B435,""es"",""en""))"),"she goes")</f>
        <v>she goes</v>
      </c>
      <c r="F435" s="7" t="str">
        <f aca="false">IFERROR(__xludf.dummyfunction("lower(GOOGLETRANSLATE(A435,""en"",""es""))"),"ella va")</f>
        <v>ella va</v>
      </c>
      <c r="H435" s="0" t="str">
        <f aca="false">A435&amp;"|"&amp;B435</f>
        <v>she goes|ella va</v>
      </c>
    </row>
    <row r="436" customFormat="false" ht="15.75" hidden="false" customHeight="false" outlineLevel="0" collapsed="false">
      <c r="A436" s="4" t="s">
        <v>930</v>
      </c>
      <c r="B436" s="5" t="s">
        <v>931</v>
      </c>
      <c r="C436" s="5" t="s">
        <v>921</v>
      </c>
      <c r="D436" s="6"/>
      <c r="E436" s="7" t="str">
        <f aca="false">IFERROR(__xludf.dummyfunction("lower(GOOGLETRANSLATE(B436,""es"",""en""))"),"you go")</f>
        <v>you go</v>
      </c>
      <c r="F436" s="7" t="str">
        <f aca="false">IFERROR(__xludf.dummyfunction("lower(GOOGLETRANSLATE(A436,""en"",""es""))"),"ir (formal)")</f>
        <v>ir (formal)</v>
      </c>
      <c r="H436" s="0" t="str">
        <f aca="false">A436&amp;"|"&amp;B436</f>
        <v>you (formal) go|usted va</v>
      </c>
    </row>
    <row r="437" customFormat="false" ht="15.75" hidden="false" customHeight="false" outlineLevel="0" collapsed="false">
      <c r="A437" s="4" t="s">
        <v>932</v>
      </c>
      <c r="B437" s="5" t="s">
        <v>933</v>
      </c>
      <c r="C437" s="5" t="s">
        <v>921</v>
      </c>
      <c r="D437" s="6"/>
      <c r="E437" s="7" t="str">
        <f aca="false">IFERROR(__xludf.dummyfunction("lower(GOOGLETRANSLATE(B437,""es"",""en""))"),"we go")</f>
        <v>we go</v>
      </c>
      <c r="F437" s="7" t="str">
        <f aca="false">IFERROR(__xludf.dummyfunction("lower(GOOGLETRANSLATE(A437,""en"",""es""))"),"nosotros vamos")</f>
        <v>nosotros vamos</v>
      </c>
      <c r="H437" s="0" t="str">
        <f aca="false">A437&amp;"|"&amp;B437</f>
        <v>we go|nosotros vamos</v>
      </c>
    </row>
    <row r="438" customFormat="false" ht="15.75" hidden="false" customHeight="false" outlineLevel="0" collapsed="false">
      <c r="A438" s="4" t="s">
        <v>934</v>
      </c>
      <c r="B438" s="5" t="s">
        <v>935</v>
      </c>
      <c r="C438" s="5" t="s">
        <v>921</v>
      </c>
      <c r="D438" s="6"/>
      <c r="E438" s="7" t="str">
        <f aca="false">IFERROR(__xludf.dummyfunction("lower(GOOGLETRANSLATE(B438,""es"",""en""))"),"you go")</f>
        <v>you go</v>
      </c>
      <c r="F438" s="7" t="str">
        <f aca="false">IFERROR(__xludf.dummyfunction("lower(GOOGLETRANSLATE(A438,""en"",""es""))"),"usted (plural) go")</f>
        <v>usted (plural) go</v>
      </c>
      <c r="H438" s="0" t="str">
        <f aca="false">A438&amp;"|"&amp;B438</f>
        <v>you (plural) go|vosotros vais</v>
      </c>
    </row>
    <row r="439" customFormat="false" ht="15.75" hidden="false" customHeight="false" outlineLevel="0" collapsed="false">
      <c r="A439" s="4" t="s">
        <v>936</v>
      </c>
      <c r="B439" s="5" t="s">
        <v>937</v>
      </c>
      <c r="C439" s="5" t="s">
        <v>921</v>
      </c>
      <c r="D439" s="6"/>
      <c r="E439" s="7" t="str">
        <f aca="false">IFERROR(__xludf.dummyfunction("lower(GOOGLETRANSLATE(B439,""es"",""en""))"),"they go")</f>
        <v>they go</v>
      </c>
      <c r="F439" s="7" t="str">
        <f aca="false">IFERROR(__xludf.dummyfunction("lower(GOOGLETRANSLATE(A439,""en"",""es""))"),"ellos (macho) go")</f>
        <v>ellos (macho) go</v>
      </c>
      <c r="H439" s="0" t="str">
        <f aca="false">A439&amp;"|"&amp;B439</f>
        <v>they (male) go|ellos van</v>
      </c>
    </row>
    <row r="440" customFormat="false" ht="15.75" hidden="false" customHeight="false" outlineLevel="0" collapsed="false">
      <c r="A440" s="4" t="s">
        <v>938</v>
      </c>
      <c r="B440" s="5" t="s">
        <v>939</v>
      </c>
      <c r="C440" s="5" t="s">
        <v>921</v>
      </c>
      <c r="D440" s="6"/>
      <c r="E440" s="7" t="str">
        <f aca="false">IFERROR(__xludf.dummyfunction("lower(GOOGLETRANSLATE(B440,""es"",""en""))"),"they go")</f>
        <v>they go</v>
      </c>
      <c r="F440" s="7" t="str">
        <f aca="false">IFERROR(__xludf.dummyfunction("lower(GOOGLETRANSLATE(A440,""en"",""es""))"),"que (hembra) go")</f>
        <v>que (hembra) go</v>
      </c>
      <c r="H440" s="0" t="str">
        <f aca="false">A440&amp;"|"&amp;B440</f>
        <v>they (female) go|ellas van</v>
      </c>
    </row>
    <row r="441" customFormat="false" ht="15.75" hidden="false" customHeight="false" outlineLevel="0" collapsed="false">
      <c r="A441" s="4" t="s">
        <v>940</v>
      </c>
      <c r="B441" s="5" t="s">
        <v>941</v>
      </c>
      <c r="C441" s="5" t="s">
        <v>921</v>
      </c>
      <c r="D441" s="6"/>
      <c r="E441" s="7" t="str">
        <f aca="false">IFERROR(__xludf.dummyfunction("lower(GOOGLETRANSLATE(B441,""es"",""en""))"),"you go")</f>
        <v>you go</v>
      </c>
      <c r="F441" s="7" t="str">
        <f aca="false">IFERROR(__xludf.dummyfunction("lower(GOOGLETRANSLATE(A441,""en"",""es""))"),"usted (formal plural) go")</f>
        <v>usted (formal plural) go</v>
      </c>
      <c r="H441" s="0" t="str">
        <f aca="false">A441&amp;"|"&amp;B441</f>
        <v>you (plural formal) go|ustedes van</v>
      </c>
    </row>
    <row r="442" customFormat="false" ht="15.75" hidden="false" customHeight="false" outlineLevel="0" collapsed="false">
      <c r="A442" s="4" t="s">
        <v>942</v>
      </c>
      <c r="B442" s="5" t="s">
        <v>943</v>
      </c>
      <c r="C442" s="5" t="s">
        <v>944</v>
      </c>
      <c r="D442" s="6"/>
      <c r="E442" s="7" t="str">
        <f aca="false">IFERROR(__xludf.dummyfunction("lower(GOOGLETRANSLATE(B442,""es"",""en""))"),"power")</f>
        <v>power</v>
      </c>
      <c r="F442" s="7" t="str">
        <f aca="false">IFERROR(__xludf.dummyfunction("lower(GOOGLETRANSLATE(A442,""en"",""es""))"),"ser capaz")</f>
        <v>ser capaz</v>
      </c>
      <c r="H442" s="0" t="str">
        <f aca="false">A442&amp;"|"&amp;B442</f>
        <v>to be able|poder</v>
      </c>
    </row>
    <row r="443" customFormat="false" ht="15.75" hidden="false" customHeight="false" outlineLevel="0" collapsed="false">
      <c r="A443" s="4" t="s">
        <v>945</v>
      </c>
      <c r="B443" s="5" t="s">
        <v>946</v>
      </c>
      <c r="C443" s="5" t="s">
        <v>944</v>
      </c>
      <c r="D443" s="6"/>
      <c r="E443" s="7" t="str">
        <f aca="false">IFERROR(__xludf.dummyfunction("lower(GOOGLETRANSLATE(B443,""es"",""en""))"),"i pudeo")</f>
        <v>i pudeo</v>
      </c>
      <c r="F443" s="7" t="str">
        <f aca="false">IFERROR(__xludf.dummyfunction("lower(GOOGLETRANSLATE(A443,""en"",""es""))"),"soy capaz")</f>
        <v>soy capaz</v>
      </c>
      <c r="H443" s="0" t="str">
        <f aca="false">A443&amp;"|"&amp;B443</f>
        <v>i am able|yo pudeo</v>
      </c>
    </row>
    <row r="444" customFormat="false" ht="15.75" hidden="false" customHeight="false" outlineLevel="0" collapsed="false">
      <c r="A444" s="4" t="s">
        <v>947</v>
      </c>
      <c r="B444" s="5" t="s">
        <v>948</v>
      </c>
      <c r="C444" s="5" t="s">
        <v>944</v>
      </c>
      <c r="D444" s="6"/>
      <c r="E444" s="7" t="str">
        <f aca="false">IFERROR(__xludf.dummyfunction("lower(GOOGLETRANSLATE(B444,""es"",""en""))"),"you can")</f>
        <v>you can</v>
      </c>
      <c r="F444" s="7" t="str">
        <f aca="false">IFERROR(__xludf.dummyfunction("lower(GOOGLETRANSLATE(A444,""en"",""es""))"),"tu eres capaz")</f>
        <v>tu eres capaz</v>
      </c>
      <c r="H444" s="0" t="str">
        <f aca="false">A444&amp;"|"&amp;B444</f>
        <v>you are able|tú puedes</v>
      </c>
    </row>
    <row r="445" customFormat="false" ht="15.75" hidden="false" customHeight="false" outlineLevel="0" collapsed="false">
      <c r="A445" s="4" t="s">
        <v>949</v>
      </c>
      <c r="B445" s="5" t="s">
        <v>950</v>
      </c>
      <c r="C445" s="5" t="s">
        <v>944</v>
      </c>
      <c r="D445" s="6"/>
      <c r="E445" s="7" t="str">
        <f aca="false">IFERROR(__xludf.dummyfunction("lower(GOOGLETRANSLATE(B445,""es"",""en""))"),"he can")</f>
        <v>he can</v>
      </c>
      <c r="F445" s="7" t="str">
        <f aca="false">IFERROR(__xludf.dummyfunction("lower(GOOGLETRANSLATE(A445,""en"",""es""))"),"el es capaz")</f>
        <v>el es capaz</v>
      </c>
      <c r="H445" s="0" t="str">
        <f aca="false">A445&amp;"|"&amp;B445</f>
        <v>he is able|el puede</v>
      </c>
    </row>
    <row r="446" customFormat="false" ht="15.75" hidden="false" customHeight="false" outlineLevel="0" collapsed="false">
      <c r="A446" s="4" t="s">
        <v>951</v>
      </c>
      <c r="B446" s="5" t="s">
        <v>952</v>
      </c>
      <c r="C446" s="5" t="s">
        <v>944</v>
      </c>
      <c r="D446" s="6"/>
      <c r="E446" s="7" t="str">
        <f aca="false">IFERROR(__xludf.dummyfunction("lower(GOOGLETRANSLATE(B446,""es"",""en""))"),"she can")</f>
        <v>she can</v>
      </c>
      <c r="F446" s="7" t="str">
        <f aca="false">IFERROR(__xludf.dummyfunction("lower(GOOGLETRANSLATE(A446,""en"",""es""))"),"ella es capaz")</f>
        <v>ella es capaz</v>
      </c>
      <c r="H446" s="0" t="str">
        <f aca="false">A446&amp;"|"&amp;B446</f>
        <v>she is able|ella puede</v>
      </c>
    </row>
    <row r="447" customFormat="false" ht="15.75" hidden="false" customHeight="false" outlineLevel="0" collapsed="false">
      <c r="A447" s="4" t="s">
        <v>953</v>
      </c>
      <c r="B447" s="5" t="s">
        <v>954</v>
      </c>
      <c r="C447" s="5" t="s">
        <v>944</v>
      </c>
      <c r="D447" s="6"/>
      <c r="E447" s="7" t="str">
        <f aca="false">IFERROR(__xludf.dummyfunction("lower(GOOGLETRANSLATE(B447,""es"",""en""))"),"you can")</f>
        <v>you can</v>
      </c>
      <c r="F447" s="7" t="str">
        <f aca="false">IFERROR(__xludf.dummyfunction("lower(GOOGLETRANSLATE(A447,""en"",""es""))"),"usted (formal) es capaz")</f>
        <v>usted (formal) es capaz</v>
      </c>
      <c r="H447" s="0" t="str">
        <f aca="false">A447&amp;"|"&amp;B447</f>
        <v>you (formal) are able|usted puede</v>
      </c>
    </row>
    <row r="448" customFormat="false" ht="15.75" hidden="false" customHeight="false" outlineLevel="0" collapsed="false">
      <c r="A448" s="4" t="s">
        <v>955</v>
      </c>
      <c r="B448" s="5" t="s">
        <v>956</v>
      </c>
      <c r="C448" s="5" t="s">
        <v>944</v>
      </c>
      <c r="D448" s="6"/>
      <c r="E448" s="7" t="str">
        <f aca="false">IFERROR(__xludf.dummyfunction("lower(GOOGLETRANSLATE(B448,""es"",""en""))"),"we can")</f>
        <v>we can</v>
      </c>
      <c r="F448" s="7" t="str">
        <f aca="false">IFERROR(__xludf.dummyfunction("lower(GOOGLETRANSLATE(A448,""en"",""es""))"),"estamos disponibles")</f>
        <v>estamos disponibles</v>
      </c>
      <c r="H448" s="0" t="str">
        <f aca="false">A448&amp;"|"&amp;B448</f>
        <v>we are able|nosotros podemos</v>
      </c>
    </row>
    <row r="449" customFormat="false" ht="15.75" hidden="false" customHeight="false" outlineLevel="0" collapsed="false">
      <c r="A449" s="4" t="s">
        <v>957</v>
      </c>
      <c r="B449" s="5" t="s">
        <v>958</v>
      </c>
      <c r="C449" s="5" t="s">
        <v>944</v>
      </c>
      <c r="D449" s="6"/>
      <c r="E449" s="7" t="str">
        <f aca="false">IFERROR(__xludf.dummyfunction("lower(GOOGLETRANSLATE(B449,""es"",""en""))"),"you can")</f>
        <v>you can</v>
      </c>
      <c r="F449" s="7" t="str">
        <f aca="false">IFERROR(__xludf.dummyfunction("lower(GOOGLETRANSLATE(A449,""en"",""es""))"),"usted (plural) es capaz")</f>
        <v>usted (plural) es capaz</v>
      </c>
      <c r="H449" s="0" t="str">
        <f aca="false">A449&amp;"|"&amp;B449</f>
        <v>you (plural) are able|vosotros podéis</v>
      </c>
    </row>
    <row r="450" customFormat="false" ht="15.75" hidden="false" customHeight="false" outlineLevel="0" collapsed="false">
      <c r="A450" s="4" t="s">
        <v>959</v>
      </c>
      <c r="B450" s="5" t="s">
        <v>960</v>
      </c>
      <c r="C450" s="5" t="s">
        <v>944</v>
      </c>
      <c r="D450" s="6"/>
      <c r="E450" s="7" t="str">
        <f aca="false">IFERROR(__xludf.dummyfunction("lower(GOOGLETRANSLATE(B450,""es"",""en""))"),"they can")</f>
        <v>they can</v>
      </c>
      <c r="F450" s="7" t="str">
        <f aca="false">IFERROR(__xludf.dummyfunction("lower(GOOGLETRANSLATE(A450,""en"",""es""))"),"ellos (masculin) son capaces")</f>
        <v>ellos (masculin) son capaces</v>
      </c>
      <c r="H450" s="0" t="str">
        <f aca="false">A450&amp;"|"&amp;B450</f>
        <v>they (masculin) are able|ellos pueden</v>
      </c>
    </row>
    <row r="451" customFormat="false" ht="15.75" hidden="false" customHeight="false" outlineLevel="0" collapsed="false">
      <c r="A451" s="4" t="s">
        <v>961</v>
      </c>
      <c r="B451" s="5" t="s">
        <v>962</v>
      </c>
      <c r="C451" s="5" t="s">
        <v>944</v>
      </c>
      <c r="D451" s="6"/>
      <c r="E451" s="7" t="str">
        <f aca="false">IFERROR(__xludf.dummyfunction("lower(GOOGLETRANSLATE(B451,""es"",""en""))"),"they can")</f>
        <v>they can</v>
      </c>
      <c r="F451" s="7" t="str">
        <f aca="false">IFERROR(__xludf.dummyfunction("lower(GOOGLETRANSLATE(A451,""en"",""es""))"),"ellos (femenino) son capaces")</f>
        <v>ellos (femenino) son capaces</v>
      </c>
      <c r="H451" s="0" t="str">
        <f aca="false">A451&amp;"|"&amp;B451</f>
        <v>they (feminine) are able|ellas pueden</v>
      </c>
    </row>
    <row r="452" customFormat="false" ht="15.75" hidden="false" customHeight="false" outlineLevel="0" collapsed="false">
      <c r="A452" s="4" t="s">
        <v>963</v>
      </c>
      <c r="B452" s="5" t="s">
        <v>964</v>
      </c>
      <c r="C452" s="5" t="s">
        <v>944</v>
      </c>
      <c r="D452" s="6"/>
      <c r="E452" s="7" t="str">
        <f aca="false">IFERROR(__xludf.dummyfunction("lower(GOOGLETRANSLATE(B452,""es"",""en""))"),"you can")</f>
        <v>you can</v>
      </c>
      <c r="F452" s="7" t="str">
        <f aca="false">IFERROR(__xludf.dummyfunction("lower(GOOGLETRANSLATE(A452,""en"",""es""))"),"usted (plural, formal) es capaz")</f>
        <v>usted (plural, formal) es capaz</v>
      </c>
      <c r="H452" s="0" t="str">
        <f aca="false">A452&amp;"|"&amp;B452</f>
        <v>you (plural,formal) are able|ustedes pueden</v>
      </c>
    </row>
    <row r="453" customFormat="false" ht="15.75" hidden="false" customHeight="false" outlineLevel="0" collapsed="false">
      <c r="A453" s="4" t="s">
        <v>965</v>
      </c>
      <c r="B453" s="5" t="s">
        <v>966</v>
      </c>
      <c r="C453" s="5" t="s">
        <v>967</v>
      </c>
      <c r="D453" s="6"/>
      <c r="E453" s="7" t="str">
        <f aca="false">IFERROR(__xludf.dummyfunction("lower(GOOGLETRANSLATE(B453,""es"",""en""))"),"want")</f>
        <v>want</v>
      </c>
      <c r="F453" s="7" t="str">
        <f aca="false">IFERROR(__xludf.dummyfunction("lower(GOOGLETRANSLATE(A453,""en"",""es""))"),"querer")</f>
        <v>querer</v>
      </c>
      <c r="H453" s="0" t="str">
        <f aca="false">A453&amp;"|"&amp;B453</f>
        <v>to want|querer</v>
      </c>
    </row>
    <row r="454" customFormat="false" ht="15.75" hidden="false" customHeight="false" outlineLevel="0" collapsed="false">
      <c r="A454" s="4" t="s">
        <v>968</v>
      </c>
      <c r="B454" s="5" t="s">
        <v>969</v>
      </c>
      <c r="C454" s="5" t="s">
        <v>967</v>
      </c>
      <c r="D454" s="6"/>
      <c r="E454" s="7" t="str">
        <f aca="false">IFERROR(__xludf.dummyfunction("lower(GOOGLETRANSLATE(B454,""es"",""en""))"),"i want")</f>
        <v>i want</v>
      </c>
      <c r="F454" s="7" t="str">
        <f aca="false">IFERROR(__xludf.dummyfunction("lower(GOOGLETRANSLATE(A454,""en"",""es""))"),"quiero")</f>
        <v>quiero</v>
      </c>
      <c r="H454" s="0" t="str">
        <f aca="false">A454&amp;"|"&amp;B454</f>
        <v>i want|yo quiero</v>
      </c>
    </row>
    <row r="455" customFormat="false" ht="15.75" hidden="false" customHeight="false" outlineLevel="0" collapsed="false">
      <c r="A455" s="4" t="s">
        <v>970</v>
      </c>
      <c r="B455" s="5" t="s">
        <v>971</v>
      </c>
      <c r="C455" s="5" t="s">
        <v>967</v>
      </c>
      <c r="D455" s="6"/>
      <c r="E455" s="7" t="str">
        <f aca="false">IFERROR(__xludf.dummyfunction("lower(GOOGLETRANSLATE(B455,""es"",""en""))"),"you want to")</f>
        <v>you want to</v>
      </c>
      <c r="F455" s="7" t="str">
        <f aca="false">IFERROR(__xludf.dummyfunction("lower(GOOGLETRANSLATE(A455,""en"",""es""))"),"usted quiere")</f>
        <v>usted quiere</v>
      </c>
      <c r="H455" s="0" t="str">
        <f aca="false">A455&amp;"|"&amp;B455</f>
        <v>you want|tú quieres</v>
      </c>
    </row>
    <row r="456" customFormat="false" ht="15.75" hidden="false" customHeight="false" outlineLevel="0" collapsed="false">
      <c r="A456" s="4" t="s">
        <v>972</v>
      </c>
      <c r="B456" s="5" t="s">
        <v>973</v>
      </c>
      <c r="C456" s="5" t="s">
        <v>967</v>
      </c>
      <c r="D456" s="6"/>
      <c r="E456" s="7" t="str">
        <f aca="false">IFERROR(__xludf.dummyfunction("lower(GOOGLETRANSLATE(B456,""es"",""en""))"),"he wants")</f>
        <v>he wants</v>
      </c>
      <c r="F456" s="7" t="str">
        <f aca="false">IFERROR(__xludf.dummyfunction("lower(GOOGLETRANSLATE(A456,""en"",""es""))"),"el quiere")</f>
        <v>el quiere</v>
      </c>
      <c r="H456" s="0" t="str">
        <f aca="false">A456&amp;"|"&amp;B456</f>
        <v>he wants|el quiere</v>
      </c>
    </row>
    <row r="457" customFormat="false" ht="15.75" hidden="false" customHeight="false" outlineLevel="0" collapsed="false">
      <c r="A457" s="4" t="s">
        <v>974</v>
      </c>
      <c r="B457" s="5" t="s">
        <v>975</v>
      </c>
      <c r="C457" s="5" t="s">
        <v>967</v>
      </c>
      <c r="D457" s="6"/>
      <c r="E457" s="7" t="str">
        <f aca="false">IFERROR(__xludf.dummyfunction("lower(GOOGLETRANSLATE(B457,""es"",""en""))"),"she wants")</f>
        <v>she wants</v>
      </c>
      <c r="F457" s="7" t="str">
        <f aca="false">IFERROR(__xludf.dummyfunction("lower(GOOGLETRANSLATE(A457,""en"",""es""))"),"ella quiere")</f>
        <v>ella quiere</v>
      </c>
      <c r="H457" s="0" t="str">
        <f aca="false">A457&amp;"|"&amp;B457</f>
        <v>she wants|ella quiere</v>
      </c>
    </row>
    <row r="458" customFormat="false" ht="15.75" hidden="false" customHeight="false" outlineLevel="0" collapsed="false">
      <c r="A458" s="4" t="s">
        <v>976</v>
      </c>
      <c r="B458" s="5" t="s">
        <v>977</v>
      </c>
      <c r="C458" s="5" t="s">
        <v>967</v>
      </c>
      <c r="D458" s="6"/>
      <c r="E458" s="7" t="str">
        <f aca="false">IFERROR(__xludf.dummyfunction("lower(GOOGLETRANSLATE(B458,""es"",""en""))"),"you want")</f>
        <v>you want</v>
      </c>
      <c r="F458" s="7" t="str">
        <f aca="false">IFERROR(__xludf.dummyfunction("lower(GOOGLETRANSLATE(A458,""en"",""es""))"),"usted (formal) falta")</f>
        <v>usted (formal) falta</v>
      </c>
      <c r="H458" s="0" t="str">
        <f aca="false">A458&amp;"|"&amp;B458</f>
        <v>you (formal) want|usted quiere</v>
      </c>
    </row>
    <row r="459" customFormat="false" ht="15.75" hidden="false" customHeight="false" outlineLevel="0" collapsed="false">
      <c r="A459" s="4" t="s">
        <v>978</v>
      </c>
      <c r="B459" s="5" t="s">
        <v>979</v>
      </c>
      <c r="C459" s="5" t="s">
        <v>967</v>
      </c>
      <c r="D459" s="6"/>
      <c r="E459" s="7" t="str">
        <f aca="false">IFERROR(__xludf.dummyfunction("lower(GOOGLETRANSLATE(B459,""es"",""en""))"),"we want")</f>
        <v>we want</v>
      </c>
      <c r="F459" s="7" t="str">
        <f aca="false">IFERROR(__xludf.dummyfunction("lower(GOOGLETRANSLATE(A459,""en"",""es""))"),"queremos")</f>
        <v>queremos</v>
      </c>
      <c r="H459" s="0" t="str">
        <f aca="false">A459&amp;"|"&amp;B459</f>
        <v>we want|nosotros queremos</v>
      </c>
    </row>
    <row r="460" customFormat="false" ht="15.75" hidden="false" customHeight="false" outlineLevel="0" collapsed="false">
      <c r="A460" s="4" t="s">
        <v>980</v>
      </c>
      <c r="B460" s="5" t="s">
        <v>981</v>
      </c>
      <c r="C460" s="5" t="s">
        <v>967</v>
      </c>
      <c r="D460" s="6"/>
      <c r="E460" s="7" t="str">
        <f aca="false">IFERROR(__xludf.dummyfunction("lower(GOOGLETRANSLATE(B460,""es"",""en""))"),"you want")</f>
        <v>you want</v>
      </c>
      <c r="F460" s="7" t="str">
        <f aca="false">IFERROR(__xludf.dummyfunction("lower(GOOGLETRANSLATE(A460,""en"",""es""))"),"usted (plural) falta")</f>
        <v>usted (plural) falta</v>
      </c>
      <c r="H460" s="0" t="str">
        <f aca="false">A460&amp;"|"&amp;B460</f>
        <v>you (plural) want|vosotros queréis</v>
      </c>
    </row>
    <row r="461" customFormat="false" ht="15.75" hidden="false" customHeight="false" outlineLevel="0" collapsed="false">
      <c r="A461" s="4" t="s">
        <v>982</v>
      </c>
      <c r="B461" s="5" t="s">
        <v>983</v>
      </c>
      <c r="C461" s="5" t="s">
        <v>967</v>
      </c>
      <c r="D461" s="6"/>
      <c r="E461" s="7" t="str">
        <f aca="false">IFERROR(__xludf.dummyfunction("lower(GOOGLETRANSLATE(B461,""es"",""en""))"),"they want")</f>
        <v>they want</v>
      </c>
      <c r="F461" s="7" t="str">
        <f aca="false">IFERROR(__xludf.dummyfunction("lower(GOOGLETRANSLATE(A461,""en"",""es""))"),"ellos (masculin) falta")</f>
        <v>ellos (masculin) falta</v>
      </c>
      <c r="H461" s="0" t="str">
        <f aca="false">A461&amp;"|"&amp;B461</f>
        <v>they (masculin) want|ellos quieren</v>
      </c>
    </row>
    <row r="462" customFormat="false" ht="15.75" hidden="false" customHeight="false" outlineLevel="0" collapsed="false">
      <c r="A462" s="4" t="s">
        <v>984</v>
      </c>
      <c r="B462" s="5" t="s">
        <v>985</v>
      </c>
      <c r="C462" s="5" t="s">
        <v>967</v>
      </c>
      <c r="D462" s="6"/>
      <c r="E462" s="7" t="str">
        <f aca="false">IFERROR(__xludf.dummyfunction("lower(GOOGLETRANSLATE(B462,""es"",""en""))"),"they want")</f>
        <v>they want</v>
      </c>
      <c r="F462" s="7" t="str">
        <f aca="false">IFERROR(__xludf.dummyfunction("lower(GOOGLETRANSLATE(A462,""en"",""es""))"),"ellos (femenino) falta")</f>
        <v>ellos (femenino) falta</v>
      </c>
      <c r="H462" s="0" t="str">
        <f aca="false">A462&amp;"|"&amp;B462</f>
        <v>they (feminine) want|ellas quieren</v>
      </c>
    </row>
    <row r="463" customFormat="false" ht="15.75" hidden="false" customHeight="false" outlineLevel="0" collapsed="false">
      <c r="A463" s="4" t="s">
        <v>986</v>
      </c>
      <c r="B463" s="5" t="s">
        <v>987</v>
      </c>
      <c r="C463" s="5" t="s">
        <v>967</v>
      </c>
      <c r="D463" s="6"/>
      <c r="E463" s="7" t="str">
        <f aca="false">IFERROR(__xludf.dummyfunction("lower(GOOGLETRANSLATE(B463,""es"",""en""))"),"you want")</f>
        <v>you want</v>
      </c>
      <c r="F463" s="7" t="str">
        <f aca="false">IFERROR(__xludf.dummyfunction("lower(GOOGLETRANSLATE(A463,""en"",""es""))"),"usted (plural, formal) falta")</f>
        <v>usted (plural, formal) falta</v>
      </c>
      <c r="H463" s="0" t="str">
        <f aca="false">A463&amp;"|"&amp;B463</f>
        <v>you (plural,formal) want|ustedes quieren</v>
      </c>
    </row>
    <row r="464" customFormat="false" ht="15.75" hidden="false" customHeight="false" outlineLevel="0" collapsed="false">
      <c r="A464" s="4" t="s">
        <v>988</v>
      </c>
      <c r="B464" s="5" t="s">
        <v>989</v>
      </c>
      <c r="C464" s="5" t="s">
        <v>493</v>
      </c>
      <c r="D464" s="6"/>
      <c r="E464" s="7" t="str">
        <f aca="false">IFERROR(__xludf.dummyfunction("lower(GOOGLETRANSLATE(B464,""es"",""en""))"),"i listen to music")</f>
        <v>i listen to music</v>
      </c>
      <c r="F464" s="7" t="str">
        <f aca="false">IFERROR(__xludf.dummyfunction("lower(GOOGLETRANSLATE(A464,""en"",""es""))"),"escucho música")</f>
        <v>escucho música</v>
      </c>
      <c r="H464" s="0" t="str">
        <f aca="false">A464&amp;"|"&amp;B464</f>
        <v>i listen to music|yo escucho musica</v>
      </c>
    </row>
    <row r="465" customFormat="false" ht="15.75" hidden="false" customHeight="false" outlineLevel="0" collapsed="false">
      <c r="A465" s="4" t="s">
        <v>990</v>
      </c>
      <c r="B465" s="5" t="s">
        <v>991</v>
      </c>
      <c r="C465" s="5" t="s">
        <v>493</v>
      </c>
      <c r="D465" s="6"/>
      <c r="E465" s="7" t="str">
        <f aca="false">IFERROR(__xludf.dummyfunction("lower(GOOGLETRANSLATE(B465,""es"",""en""))"),"you like to work?")</f>
        <v>you like to work?</v>
      </c>
      <c r="F465" s="7" t="str">
        <f aca="false">IFERROR(__xludf.dummyfunction("lower(GOOGLETRANSLATE(A465,""en"",""es""))"),"¿te gusta trabajar?")</f>
        <v>¿te gusta trabajar?</v>
      </c>
      <c r="H465" s="0" t="str">
        <f aca="false">A465&amp;"|"&amp;B465</f>
        <v>do you like to work?|te gusta trabajar?</v>
      </c>
    </row>
    <row r="466" customFormat="false" ht="15.75" hidden="false" customHeight="false" outlineLevel="0" collapsed="false">
      <c r="A466" s="4" t="s">
        <v>992</v>
      </c>
      <c r="B466" s="5" t="s">
        <v>993</v>
      </c>
      <c r="C466" s="5" t="s">
        <v>493</v>
      </c>
      <c r="D466" s="6"/>
      <c r="E466" s="7" t="str">
        <f aca="false">IFERROR(__xludf.dummyfunction("lower(GOOGLETRANSLATE(B466,""es"",""en""))"),"we arrived late by appointment")</f>
        <v>we arrived late by appointment</v>
      </c>
      <c r="F466" s="7" t="str">
        <f aca="false">IFERROR(__xludf.dummyfunction("lower(GOOGLETRANSLATE(A466,""en"",""es""))"),"llegamos tarde a la cita")</f>
        <v>llegamos tarde a la cita</v>
      </c>
      <c r="H466" s="0" t="str">
        <f aca="false">A466&amp;"|"&amp;B466</f>
        <v>we arrived late for the appointment|nosotros llegamos tarde por la cita</v>
      </c>
    </row>
    <row r="467" customFormat="false" ht="15.75" hidden="false" customHeight="false" outlineLevel="0" collapsed="false">
      <c r="A467" s="4" t="s">
        <v>994</v>
      </c>
      <c r="B467" s="5" t="s">
        <v>995</v>
      </c>
      <c r="C467" s="5" t="s">
        <v>493</v>
      </c>
      <c r="D467" s="6"/>
      <c r="E467" s="7" t="str">
        <f aca="false">IFERROR(__xludf.dummyfunction("lower(GOOGLETRANSLATE(B467,""es"",""en""))"),"student studying art")</f>
        <v>student studying art</v>
      </c>
      <c r="F467" s="7" t="str">
        <f aca="false">IFERROR(__xludf.dummyfunction("lower(GOOGLETRANSLATE(A467,""en"",""es""))"),"la técnica (f) estudiante estudios")</f>
        <v>la técnica (f) estudiante estudios</v>
      </c>
      <c r="H467" s="0" t="str">
        <f aca="false">A467&amp;"|"&amp;B467</f>
        <v>the student (f) studies art|la estudiante estudia arte</v>
      </c>
    </row>
    <row r="468" customFormat="false" ht="15.75" hidden="false" customHeight="false" outlineLevel="0" collapsed="false">
      <c r="A468" s="4" t="s">
        <v>996</v>
      </c>
      <c r="B468" s="5" t="s">
        <v>997</v>
      </c>
      <c r="C468" s="5" t="s">
        <v>493</v>
      </c>
      <c r="D468" s="6"/>
      <c r="E468" s="7" t="str">
        <f aca="false">IFERROR(__xludf.dummyfunction("lower(GOOGLETRANSLATE(B468,""es"",""en""))"),"maybe later")</f>
        <v>maybe later</v>
      </c>
      <c r="F468" s="7" t="str">
        <f aca="false">IFERROR(__xludf.dummyfunction("lower(GOOGLETRANSLATE(A468,""en"",""es""))"),"quizas mas tarde")</f>
        <v>quizas mas tarde</v>
      </c>
      <c r="H468" s="0" t="str">
        <f aca="false">A468&amp;"|"&amp;B468</f>
        <v>maybe later|quizas mas tarde</v>
      </c>
    </row>
    <row r="469" customFormat="false" ht="15.75" hidden="false" customHeight="false" outlineLevel="0" collapsed="false">
      <c r="A469" s="4" t="s">
        <v>998</v>
      </c>
      <c r="B469" s="5" t="s">
        <v>999</v>
      </c>
      <c r="C469" s="5" t="s">
        <v>493</v>
      </c>
      <c r="D469" s="6"/>
      <c r="E469" s="7" t="str">
        <f aca="false">IFERROR(__xludf.dummyfunction("lower(GOOGLETRANSLATE(B469,""es"",""en""))"),"matimaticas class")</f>
        <v>matimaticas class</v>
      </c>
      <c r="F469" s="7" t="str">
        <f aca="false">IFERROR(__xludf.dummyfunction("lower(GOOGLETRANSLATE(A469,""en"",""es""))"),"clase de matemáticas")</f>
        <v>clase de matemáticas</v>
      </c>
      <c r="H469" s="0" t="str">
        <f aca="false">A469&amp;"|"&amp;B469</f>
        <v>math class|la clase de matimaticas</v>
      </c>
    </row>
    <row r="470" customFormat="false" ht="15.75" hidden="false" customHeight="false" outlineLevel="0" collapsed="false">
      <c r="A470" s="4" t="s">
        <v>1000</v>
      </c>
      <c r="B470" s="5" t="s">
        <v>1001</v>
      </c>
      <c r="C470" s="5" t="s">
        <v>493</v>
      </c>
      <c r="D470" s="6"/>
      <c r="E470" s="7" t="str">
        <f aca="false">IFERROR(__xludf.dummyfunction("lower(GOOGLETRANSLATE(B470,""es"",""en""))"),"we are late for an appointment")</f>
        <v>we are late for an appointment</v>
      </c>
      <c r="F470" s="7" t="str">
        <f aca="false">IFERROR(__xludf.dummyfunction("lower(GOOGLETRANSLATE(A470,""en"",""es""))"),"somos tarde a la cita")</f>
        <v>somos tarde a la cita</v>
      </c>
      <c r="H470" s="0" t="str">
        <f aca="false">A470&amp;"|"&amp;B470</f>
        <v>we are late for the appointment|nosotros estamos tarde para la cita</v>
      </c>
    </row>
    <row r="471" customFormat="false" ht="15.75" hidden="false" customHeight="false" outlineLevel="0" collapsed="false">
      <c r="A471" s="4" t="s">
        <v>1002</v>
      </c>
      <c r="B471" s="5" t="s">
        <v>1003</v>
      </c>
      <c r="C471" s="5" t="s">
        <v>493</v>
      </c>
      <c r="D471" s="6"/>
      <c r="E471" s="7" t="str">
        <f aca="false">IFERROR(__xludf.dummyfunction("lower(GOOGLETRANSLATE(B471,""es"",""en""))"),"i can look at cats")</f>
        <v>i can look at cats</v>
      </c>
      <c r="F471" s="7" t="str">
        <f aca="false">IFERROR(__xludf.dummyfunction("lower(GOOGLETRANSLATE(A471,""en"",""es""))"),"puedo mirar los gatos")</f>
        <v>puedo mirar los gatos</v>
      </c>
      <c r="H471" s="0" t="str">
        <f aca="false">A471&amp;"|"&amp;B471</f>
        <v>i can look at cats|yo puedo mirar a gatos</v>
      </c>
    </row>
    <row r="472" customFormat="false" ht="15.75" hidden="false" customHeight="false" outlineLevel="0" collapsed="false">
      <c r="A472" s="4" t="s">
        <v>1004</v>
      </c>
      <c r="B472" s="5" t="s">
        <v>1005</v>
      </c>
      <c r="C472" s="5" t="s">
        <v>493</v>
      </c>
      <c r="D472" s="6"/>
      <c r="E472" s="7" t="str">
        <f aca="false">IFERROR(__xludf.dummyfunction("lower(GOOGLETRANSLATE(B472,""es"",""en""))"),"you can not even look at cats")</f>
        <v>you can not even look at cats</v>
      </c>
      <c r="F472" s="7" t="str">
        <f aca="false">IFERROR(__xludf.dummyfunction("lower(GOOGLETRANSLATE(A472,""en"",""es""))"),"no usted no puede mirar a los gatos")</f>
        <v>no usted no puede mirar a los gatos</v>
      </c>
      <c r="H472" s="0" t="str">
        <f aca="false">A472&amp;"|"&amp;B472</f>
        <v>no you can not look at cats|no tú ni puedes mirar a gatos</v>
      </c>
    </row>
    <row r="473" customFormat="false" ht="15.75" hidden="false" customHeight="false" outlineLevel="0" collapsed="false">
      <c r="A473" s="4" t="s">
        <v>1006</v>
      </c>
      <c r="B473" s="5" t="s">
        <v>1007</v>
      </c>
      <c r="C473" s="5" t="s">
        <v>493</v>
      </c>
      <c r="D473" s="6"/>
      <c r="E473" s="7" t="str">
        <f aca="false">IFERROR(__xludf.dummyfunction("lower(GOOGLETRANSLATE(B473,""es"",""en""))"),"here is the estudianta with computer")</f>
        <v>here is the estudianta with computer</v>
      </c>
      <c r="F473" s="7" t="str">
        <f aca="false">IFERROR(__xludf.dummyfunction("lower(GOOGLETRANSLATE(A473,""en"",""es""))"),"aquí está el estudiante (f) con el ordenador")</f>
        <v>aquí está el estudiante (f) con el ordenador</v>
      </c>
      <c r="H473" s="0" t="str">
        <f aca="false">A473&amp;"|"&amp;B473</f>
        <v>here is the student (f) with the computer|aqui esta la estudianta con la computadora</v>
      </c>
    </row>
    <row r="474" customFormat="false" ht="15.75" hidden="false" customHeight="false" outlineLevel="0" collapsed="false">
      <c r="A474" s="4" t="s">
        <v>1008</v>
      </c>
      <c r="B474" s="5" t="s">
        <v>1009</v>
      </c>
      <c r="C474" s="5" t="s">
        <v>493</v>
      </c>
      <c r="D474" s="6"/>
      <c r="E474" s="7" t="str">
        <f aca="false">IFERROR(__xludf.dummyfunction("lower(GOOGLETRANSLATE(B474,""es"",""en""))"),"perhaps i speak spanish")</f>
        <v>perhaps i speak spanish</v>
      </c>
      <c r="F474" s="7" t="str">
        <f aca="false">IFERROR(__xludf.dummyfunction("lower(GOOGLETRANSLATE(A474,""en"",""es""))"),"tal vez hable español.")</f>
        <v>tal vez hable español.</v>
      </c>
      <c r="H474" s="0" t="str">
        <f aca="false">A474&amp;"|"&amp;B474</f>
        <v>maybe i speak spanish.|quiza yo hablo espanol</v>
      </c>
    </row>
    <row r="475" customFormat="false" ht="15.75" hidden="false" customHeight="false" outlineLevel="0" collapsed="false">
      <c r="A475" s="4" t="s">
        <v>1010</v>
      </c>
      <c r="B475" s="5" t="s">
        <v>1011</v>
      </c>
      <c r="C475" s="5" t="s">
        <v>493</v>
      </c>
      <c r="D475" s="6"/>
      <c r="E475" s="7" t="str">
        <f aca="false">IFERROR(__xludf.dummyfunction("lower(GOOGLETRANSLATE(B475,""es"",""en""))"),"you like beer?")</f>
        <v>you like beer?</v>
      </c>
      <c r="F475" s="7" t="str">
        <f aca="false">IFERROR(__xludf.dummyfunction("lower(GOOGLETRANSLATE(A475,""en"",""es""))"),"¿te gusta la cerveza?")</f>
        <v>¿te gusta la cerveza?</v>
      </c>
      <c r="H475" s="0" t="str">
        <f aca="false">A475&amp;"|"&amp;B475</f>
        <v>do you like beer?|te gusta cerveza?</v>
      </c>
    </row>
    <row r="476" customFormat="false" ht="15.75" hidden="false" customHeight="false" outlineLevel="0" collapsed="false">
      <c r="A476" s="4" t="s">
        <v>1012</v>
      </c>
      <c r="B476" s="5" t="s">
        <v>1013</v>
      </c>
      <c r="C476" s="5" t="s">
        <v>493</v>
      </c>
      <c r="D476" s="6"/>
      <c r="E476" s="7" t="str">
        <f aca="false">IFERROR(__xludf.dummyfunction("lower(GOOGLETRANSLATE(B476,""es"",""en""))"),"they are both on fridays")</f>
        <v>they are both on fridays</v>
      </c>
      <c r="F476" s="7" t="str">
        <f aca="false">IFERROR(__xludf.dummyfunction("lower(GOOGLETRANSLATE(A476,""en"",""es""))"),"2 es un viernes.")</f>
        <v>2 es un viernes.</v>
      </c>
      <c r="H476" s="0" t="str">
        <f aca="false">A476&amp;"|"&amp;B476</f>
        <v>it's 2 on a friday.|son los dos en viernes</v>
      </c>
    </row>
    <row r="477" customFormat="false" ht="15.75" hidden="false" customHeight="false" outlineLevel="0" collapsed="false">
      <c r="A477" s="4" t="s">
        <v>1014</v>
      </c>
      <c r="B477" s="5" t="s">
        <v>1015</v>
      </c>
      <c r="C477" s="5" t="s">
        <v>493</v>
      </c>
      <c r="D477" s="6"/>
      <c r="E477" s="7" t="str">
        <f aca="false">IFERROR(__xludf.dummyfunction("lower(GOOGLETRANSLATE(B477,""es"",""en""))"),"i have nineteen today!")</f>
        <v>i have nineteen today!</v>
      </c>
      <c r="F477" s="7" t="str">
        <f aca="false">IFERROR(__xludf.dummyfunction("lower(GOOGLETRANSLATE(A477,""en"",""es""))"),"tengo 19 años hoy!")</f>
        <v>tengo 19 años hoy!</v>
      </c>
      <c r="H477" s="0" t="str">
        <f aca="false">A477&amp;"|"&amp;B477</f>
        <v>i am 19 today!|yo tengo diecinueve anos hoy!</v>
      </c>
    </row>
    <row r="478" customFormat="false" ht="15.75" hidden="false" customHeight="false" outlineLevel="0" collapsed="false">
      <c r="A478" s="4" t="s">
        <v>1016</v>
      </c>
      <c r="B478" s="5" t="s">
        <v>1017</v>
      </c>
      <c r="C478" s="5" t="s">
        <v>493</v>
      </c>
      <c r="D478" s="6"/>
      <c r="E478" s="7" t="str">
        <f aca="false">IFERROR(__xludf.dummyfunction("lower(GOOGLETRANSLATE(B478,""es"",""en""))"),"speech cats")</f>
        <v>speech cats</v>
      </c>
      <c r="F478" s="7" t="str">
        <f aca="false">IFERROR(__xludf.dummyfunction("lower(GOOGLETRANSLATE(A478,""en"",""es""))"),"habla de gatos")</f>
        <v>habla de gatos</v>
      </c>
      <c r="H478" s="0" t="str">
        <f aca="false">A478&amp;"|"&amp;B478</f>
        <v>he talks about cats|el habla de gatos</v>
      </c>
    </row>
    <row r="479" customFormat="false" ht="15.75" hidden="false" customHeight="false" outlineLevel="0" collapsed="false">
      <c r="A479" s="4" t="s">
        <v>1018</v>
      </c>
      <c r="B479" s="5" t="s">
        <v>1019</v>
      </c>
      <c r="C479" s="5" t="s">
        <v>493</v>
      </c>
      <c r="D479" s="6"/>
      <c r="E479" s="7" t="str">
        <f aca="false">IFERROR(__xludf.dummyfunction("lower(GOOGLETRANSLATE(B479,""es"",""en""))"),"he is happy")</f>
        <v>he is happy</v>
      </c>
      <c r="F479" s="7" t="str">
        <f aca="false">IFERROR(__xludf.dummyfunction("lower(GOOGLETRANSLATE(A479,""en"",""es""))"),"él es feliz")</f>
        <v>él es feliz</v>
      </c>
      <c r="H479" s="0" t="str">
        <f aca="false">A479&amp;"|"&amp;B479</f>
        <v>he is happy|el esta contento</v>
      </c>
    </row>
    <row r="480" customFormat="false" ht="15.75" hidden="false" customHeight="false" outlineLevel="0" collapsed="false">
      <c r="A480" s="4" t="s">
        <v>1020</v>
      </c>
      <c r="B480" s="5" t="s">
        <v>1021</v>
      </c>
      <c r="C480" s="5" t="s">
        <v>493</v>
      </c>
      <c r="D480" s="6"/>
      <c r="E480" s="7" t="str">
        <f aca="false">IFERROR(__xludf.dummyfunction("lower(GOOGLETRANSLATE(B480,""es"",""en""))"),"they want to party")</f>
        <v>they want to party</v>
      </c>
      <c r="F480" s="7" t="str">
        <f aca="false">IFERROR(__xludf.dummyfunction("lower(GOOGLETRANSLATE(A480,""en"",""es""))"),"que quieren a la fiesta")</f>
        <v>que quieren a la fiesta</v>
      </c>
      <c r="H480" s="0" t="str">
        <f aca="false">A480&amp;"|"&amp;B480</f>
        <v>they want to party|ellos quieren fiesta</v>
      </c>
    </row>
    <row r="481" customFormat="false" ht="15.75" hidden="false" customHeight="false" outlineLevel="0" collapsed="false">
      <c r="A481" s="4" t="s">
        <v>1022</v>
      </c>
      <c r="B481" s="5" t="s">
        <v>1023</v>
      </c>
      <c r="C481" s="5" t="s">
        <v>493</v>
      </c>
      <c r="D481" s="6"/>
      <c r="E481" s="7" t="str">
        <f aca="false">IFERROR(__xludf.dummyfunction("lower(GOOGLETRANSLATE(B481,""es"",""en""))"),"i have a meeting with my mentor")</f>
        <v>i have a meeting with my mentor</v>
      </c>
      <c r="F481" s="7" t="str">
        <f aca="false">IFERROR(__xludf.dummyfunction("lower(GOOGLETRANSLATE(A481,""en"",""es""))"),"tengo una reunión con mi mentor")</f>
        <v>tengo una reunión con mi mentor</v>
      </c>
      <c r="H481" s="0" t="str">
        <f aca="false">A481&amp;"|"&amp;B481</f>
        <v>i have a meeting with my mentor|yo tengo un reunion con mi mentor</v>
      </c>
    </row>
    <row r="482" customFormat="false" ht="15.75" hidden="false" customHeight="false" outlineLevel="0" collapsed="false">
      <c r="A482" s="4" t="s">
        <v>1024</v>
      </c>
      <c r="B482" s="5" t="s">
        <v>1025</v>
      </c>
      <c r="C482" s="5" t="s">
        <v>493</v>
      </c>
      <c r="D482" s="6"/>
      <c r="E482" s="7" t="str">
        <f aca="false">IFERROR(__xludf.dummyfunction("lower(GOOGLETRANSLATE(B482,""es"",""en""))"),"i believe in science")</f>
        <v>i believe in science</v>
      </c>
      <c r="F482" s="7" t="str">
        <f aca="false">IFERROR(__xludf.dummyfunction("lower(GOOGLETRANSLATE(A482,""en"",""es""))"),"creo en la ciencia")</f>
        <v>creo en la ciencia</v>
      </c>
      <c r="H482" s="0" t="str">
        <f aca="false">A482&amp;"|"&amp;B482</f>
        <v>i believe in science|yo creo en la ciencia</v>
      </c>
    </row>
    <row r="483" customFormat="false" ht="15.75" hidden="false" customHeight="false" outlineLevel="0" collapsed="false">
      <c r="A483" s="4" t="s">
        <v>1026</v>
      </c>
      <c r="B483" s="5" t="s">
        <v>1027</v>
      </c>
      <c r="C483" s="5" t="s">
        <v>493</v>
      </c>
      <c r="D483" s="6"/>
      <c r="E483" s="7" t="str">
        <f aca="false">IFERROR(__xludf.dummyfunction("lower(GOOGLETRANSLATE(B483,""es"",""en""))"),"i read the book")</f>
        <v>i read the book</v>
      </c>
      <c r="F483" s="7" t="str">
        <f aca="false">IFERROR(__xludf.dummyfunction("lower(GOOGLETRANSLATE(A483,""en"",""es""))"),"leí el libro")</f>
        <v>leí el libro</v>
      </c>
      <c r="H483" s="0" t="str">
        <f aca="false">A483&amp;"|"&amp;B483</f>
        <v>i read the book|yo leo el libro</v>
      </c>
    </row>
    <row r="484" customFormat="false" ht="15.75" hidden="false" customHeight="false" outlineLevel="0" collapsed="false">
      <c r="A484" s="4" t="s">
        <v>1028</v>
      </c>
      <c r="B484" s="8" t="s">
        <v>1029</v>
      </c>
      <c r="C484" s="5"/>
      <c r="D484" s="6"/>
      <c r="E484" s="7" t="str">
        <f aca="false">IFERROR(__xludf.dummyfunction("lower(GOOGLETRANSLATE(B484,""es"",""en""))"),"the accident is horrible")</f>
        <v>the accident is horrible</v>
      </c>
      <c r="F484" s="7" t="str">
        <f aca="false">IFERROR(__xludf.dummyfunction("lower(GOOGLETRANSLATE(A484,""en"",""es""))"),"el accidente es horrible")</f>
        <v>el accidente es horrible</v>
      </c>
      <c r="H484" s="0" t="str">
        <f aca="false">A484&amp;"|"&amp;B484</f>
        <v>the accident is horrible|el accidente es horrible</v>
      </c>
    </row>
    <row r="485" customFormat="false" ht="15.75" hidden="false" customHeight="false" outlineLevel="0" collapsed="false">
      <c r="A485" s="4" t="s">
        <v>1030</v>
      </c>
      <c r="B485" s="8" t="s">
        <v>1031</v>
      </c>
      <c r="C485" s="5"/>
      <c r="D485" s="6"/>
      <c r="E485" s="7" t="str">
        <f aca="false">IFERROR(__xludf.dummyfunction("lower(GOOGLETRANSLATE(B485,""es"",""en""))"),"the tv is big")</f>
        <v>the tv is big</v>
      </c>
      <c r="F485" s="7" t="str">
        <f aca="false">IFERROR(__xludf.dummyfunction("lower(GOOGLETRANSLATE(A485,""en"",""es""))"),"la televisión es grande")</f>
        <v>la televisión es grande</v>
      </c>
      <c r="H485" s="0" t="str">
        <f aca="false">A485&amp;"|"&amp;B485</f>
        <v>the television is big|la televisión es grande</v>
      </c>
    </row>
    <row r="486" customFormat="false" ht="15.75" hidden="false" customHeight="false" outlineLevel="0" collapsed="false">
      <c r="A486" s="4" t="s">
        <v>1032</v>
      </c>
      <c r="B486" s="8" t="s">
        <v>1033</v>
      </c>
      <c r="C486" s="5"/>
      <c r="D486" s="6"/>
      <c r="E486" s="7" t="str">
        <f aca="false">IFERROR(__xludf.dummyfunction("lower(GOOGLETRANSLATE(B486,""es"",""en""))"),"the animal is small")</f>
        <v>the animal is small</v>
      </c>
      <c r="F486" s="7" t="str">
        <f aca="false">IFERROR(__xludf.dummyfunction("lower(GOOGLETRANSLATE(A486,""en"",""es""))"),"el animal es pequeña")</f>
        <v>el animal es pequeña</v>
      </c>
      <c r="H486" s="0" t="str">
        <f aca="false">A486&amp;"|"&amp;B486</f>
        <v>the animal is small|el animal es pequeña</v>
      </c>
    </row>
    <row r="487" customFormat="false" ht="15.75" hidden="false" customHeight="false" outlineLevel="0" collapsed="false">
      <c r="A487" s="4" t="s">
        <v>1034</v>
      </c>
      <c r="B487" s="8" t="s">
        <v>1035</v>
      </c>
      <c r="C487" s="5"/>
      <c r="D487" s="6"/>
      <c r="E487" s="7" t="str">
        <f aca="false">IFERROR(__xludf.dummyfunction("lower(GOOGLETRANSLATE(B487,""es"",""en""))"),"cycling is good")</f>
        <v>cycling is good</v>
      </c>
      <c r="F487" s="7" t="str">
        <f aca="false">IFERROR(__xludf.dummyfunction("lower(GOOGLETRANSLATE(A487,""en"",""es""))"),"la bicicleta es buena")</f>
        <v>la bicicleta es buena</v>
      </c>
      <c r="H487" s="0" t="str">
        <f aca="false">A487&amp;"|"&amp;B487</f>
        <v>the bicycle is good|la bicicleta es buena</v>
      </c>
    </row>
    <row r="488" customFormat="false" ht="15.75" hidden="false" customHeight="false" outlineLevel="0" collapsed="false">
      <c r="A488" s="4" t="s">
        <v>1036</v>
      </c>
      <c r="B488" s="8" t="s">
        <v>1037</v>
      </c>
      <c r="C488" s="5"/>
      <c r="D488" s="6"/>
      <c r="E488" s="7" t="str">
        <f aca="false">IFERROR(__xludf.dummyfunction("lower(GOOGLETRANSLATE(B488,""es"",""en""))"),"coffee is exotic")</f>
        <v>coffee is exotic</v>
      </c>
      <c r="F488" s="7" t="str">
        <f aca="false">IFERROR(__xludf.dummyfunction("lower(GOOGLETRANSLATE(A488,""en"",""es""))"),"el café es exótica")</f>
        <v>el café es exótica</v>
      </c>
      <c r="H488" s="0" t="str">
        <f aca="false">A488&amp;"|"&amp;B488</f>
        <v>the café is exotic|el café es exótica</v>
      </c>
    </row>
    <row r="489" customFormat="false" ht="15.75" hidden="false" customHeight="false" outlineLevel="0" collapsed="false">
      <c r="A489" s="4" t="s">
        <v>1038</v>
      </c>
      <c r="B489" s="8" t="s">
        <v>1039</v>
      </c>
      <c r="C489" s="5"/>
      <c r="D489" s="6"/>
      <c r="E489" s="7" t="str">
        <f aca="false">IFERROR(__xludf.dummyfunction("lower(GOOGLETRANSLATE(B489,""es"",""en""))"),"the camera is expensive")</f>
        <v>the camera is expensive</v>
      </c>
      <c r="F489" s="7" t="str">
        <f aca="false">IFERROR(__xludf.dummyfunction("lower(GOOGLETRANSLATE(A489,""en"",""es""))"),"la cámara es caro")</f>
        <v>la cámara es caro</v>
      </c>
      <c r="H489" s="0" t="str">
        <f aca="false">A489&amp;"|"&amp;B489</f>
        <v>the camera is expensive|la cámara es caro</v>
      </c>
    </row>
    <row r="490" customFormat="false" ht="15.75" hidden="false" customHeight="false" outlineLevel="0" collapsed="false">
      <c r="A490" s="4" t="s">
        <v>1040</v>
      </c>
      <c r="B490" s="8" t="s">
        <v>1041</v>
      </c>
      <c r="C490" s="5"/>
      <c r="D490" s="6"/>
      <c r="E490" s="7" t="str">
        <f aca="false">IFERROR(__xludf.dummyfunction("lower(GOOGLETRANSLATE(B490,""es"",""en""))"),"the sofa is comfortable")</f>
        <v>the sofa is comfortable</v>
      </c>
      <c r="F490" s="7" t="str">
        <f aca="false">IFERROR(__xludf.dummyfunction("lower(GOOGLETRANSLATE(A490,""en"",""es""))"),"el sofá es cómodo")</f>
        <v>el sofá es cómodo</v>
      </c>
      <c r="H490" s="0" t="str">
        <f aca="false">A490&amp;"|"&amp;B490</f>
        <v>the sofa is comfortable|el sofá es cómodo</v>
      </c>
    </row>
    <row r="491" customFormat="false" ht="15.75" hidden="false" customHeight="false" outlineLevel="0" collapsed="false">
      <c r="A491" s="4" t="s">
        <v>1042</v>
      </c>
      <c r="B491" s="8" t="s">
        <v>1043</v>
      </c>
      <c r="C491" s="5"/>
      <c r="D491" s="6"/>
      <c r="E491" s="7" t="str">
        <f aca="false">IFERROR(__xludf.dummyfunction("lower(GOOGLETRANSLATE(B491,""es"",""en""))"),"the crocodile is great")</f>
        <v>the crocodile is great</v>
      </c>
      <c r="F491" s="7" t="str">
        <f aca="false">IFERROR(__xludf.dummyfunction("lower(GOOGLETRANSLATE(A491,""en"",""es""))"),"el cocodrilo es grande")</f>
        <v>el cocodrilo es grande</v>
      </c>
      <c r="H491" s="0" t="str">
        <f aca="false">A491&amp;"|"&amp;B491</f>
        <v>the crocodile is big|el cocodrilo es grande</v>
      </c>
    </row>
    <row r="492" customFormat="false" ht="15.75" hidden="false" customHeight="false" outlineLevel="0" collapsed="false">
      <c r="A492" s="4" t="s">
        <v>1044</v>
      </c>
      <c r="B492" s="8" t="s">
        <v>1045</v>
      </c>
      <c r="C492" s="5"/>
      <c r="D492" s="6"/>
      <c r="E492" s="7" t="str">
        <f aca="false">IFERROR(__xludf.dummyfunction("lower(GOOGLETRANSLATE(B492,""es"",""en""))"),"the dollar is strong")</f>
        <v>the dollar is strong</v>
      </c>
      <c r="F492" s="7" t="str">
        <f aca="false">IFERROR(__xludf.dummyfunction("lower(GOOGLETRANSLATE(A492,""en"",""es""))"),"el dolar es fuerte")</f>
        <v>el dolar es fuerte</v>
      </c>
      <c r="H492" s="0" t="str">
        <f aca="false">A492&amp;"|"&amp;B492</f>
        <v>the dolar is strong|el dolar es fuerte</v>
      </c>
    </row>
    <row r="493" customFormat="false" ht="15.75" hidden="false" customHeight="false" outlineLevel="0" collapsed="false">
      <c r="A493" s="4" t="s">
        <v>1046</v>
      </c>
      <c r="B493" s="8" t="s">
        <v>1047</v>
      </c>
      <c r="C493" s="5"/>
      <c r="D493" s="6"/>
      <c r="E493" s="7" t="str">
        <f aca="false">IFERROR(__xludf.dummyfunction("lower(GOOGLETRANSLATE(B493,""es"",""en""))"),"family is extrodinary")</f>
        <v>family is extrodinary</v>
      </c>
      <c r="F493" s="7" t="str">
        <f aca="false">IFERROR(__xludf.dummyfunction("lower(GOOGLETRANSLATE(A493,""en"",""es""))"),"la familia es extrodinary")</f>
        <v>la familia es extrodinary</v>
      </c>
      <c r="H493" s="0" t="str">
        <f aca="false">A493&amp;"|"&amp;B493</f>
        <v>the family is extrodinary|la familia es extrodinary</v>
      </c>
    </row>
    <row r="494" customFormat="false" ht="15.75" hidden="false" customHeight="false" outlineLevel="0" collapsed="false">
      <c r="A494" s="4" t="s">
        <v>1048</v>
      </c>
      <c r="B494" s="8" t="s">
        <v>1049</v>
      </c>
      <c r="C494" s="5"/>
      <c r="D494" s="6"/>
      <c r="E494" s="7" t="str">
        <f aca="false">IFERROR(__xludf.dummyfunction("lower(GOOGLETRANSLATE(B494,""es"",""en""))"),"the piano is quite")</f>
        <v>the piano is quite</v>
      </c>
      <c r="F494" s="7" t="str">
        <f aca="false">IFERROR(__xludf.dummyfunction("lower(GOOGLETRANSLATE(A494,""en"",""es""))"),"el piano es bastante")</f>
        <v>el piano es bastante</v>
      </c>
      <c r="H494" s="0" t="str">
        <f aca="false">A494&amp;"|"&amp;B494</f>
        <v>the piano is pretty|el piano es bastante</v>
      </c>
    </row>
    <row r="495" customFormat="false" ht="15.75" hidden="false" customHeight="false" outlineLevel="0" collapsed="false">
      <c r="A495" s="4" t="s">
        <v>1050</v>
      </c>
      <c r="B495" s="8" t="s">
        <v>1051</v>
      </c>
      <c r="C495" s="5"/>
      <c r="D495" s="6"/>
      <c r="E495" s="7" t="str">
        <f aca="false">IFERROR(__xludf.dummyfunction("lower(GOOGLETRANSLATE(B495,""es"",""en""))"),"the island is exotic")</f>
        <v>the island is exotic</v>
      </c>
      <c r="F495" s="7" t="str">
        <f aca="false">IFERROR(__xludf.dummyfunction("lower(GOOGLETRANSLATE(A495,""en"",""es""))"),"la isla es exótica")</f>
        <v>la isla es exótica</v>
      </c>
      <c r="H495" s="0" t="str">
        <f aca="false">A495&amp;"|"&amp;B495</f>
        <v>the island is exotic|la isla es exótica</v>
      </c>
    </row>
    <row r="496" customFormat="false" ht="15.75" hidden="false" customHeight="false" outlineLevel="0" collapsed="false">
      <c r="A496" s="4" t="s">
        <v>1052</v>
      </c>
      <c r="B496" s="8" t="s">
        <v>1053</v>
      </c>
      <c r="C496" s="5"/>
      <c r="D496" s="6"/>
      <c r="E496" s="7" t="str">
        <f aca="false">IFERROR(__xludf.dummyfunction("lower(GOOGLETRANSLATE(B496,""es"",""en""))"),"the restaurant is tasty")</f>
        <v>the restaurant is tasty</v>
      </c>
      <c r="F496" s="7" t="str">
        <f aca="false">IFERROR(__xludf.dummyfunction("lower(GOOGLETRANSLATE(A496,""en"",""es""))"),"el restaurante es sabroso")</f>
        <v>el restaurante es sabroso</v>
      </c>
      <c r="H496" s="0" t="str">
        <f aca="false">A496&amp;"|"&amp;B496</f>
        <v>the restaurant is tasty|el restaurante es sabroso</v>
      </c>
    </row>
    <row r="497" customFormat="false" ht="15.75" hidden="false" customHeight="false" outlineLevel="0" collapsed="false">
      <c r="A497" s="4" t="s">
        <v>1054</v>
      </c>
      <c r="B497" s="8" t="s">
        <v>1055</v>
      </c>
      <c r="C497" s="5"/>
      <c r="D497" s="6"/>
      <c r="E497" s="7" t="str">
        <f aca="false">IFERROR(__xludf.dummyfunction("lower(GOOGLETRANSLATE(B497,""es"",""en""))"),"the music is pretty")</f>
        <v>the music is pretty</v>
      </c>
      <c r="F497" s="7" t="str">
        <f aca="false">IFERROR(__xludf.dummyfunction("lower(GOOGLETRANSLATE(A497,""en"",""es""))"),"la música es bastante")</f>
        <v>la música es bastante</v>
      </c>
      <c r="H497" s="0" t="str">
        <f aca="false">A497&amp;"|"&amp;B497</f>
        <v>the music is pretty|la música es bastante</v>
      </c>
    </row>
    <row r="498" customFormat="false" ht="15.75" hidden="false" customHeight="false" outlineLevel="0" collapsed="false">
      <c r="A498" s="4" t="s">
        <v>1056</v>
      </c>
      <c r="B498" s="8" t="s">
        <v>1057</v>
      </c>
      <c r="C498" s="5"/>
      <c r="D498" s="6"/>
      <c r="E498" s="7" t="str">
        <f aca="false">IFERROR(__xludf.dummyfunction("lower(GOOGLETRANSLATE(B498,""es"",""en""))"),"the phone is expensive")</f>
        <v>the phone is expensive</v>
      </c>
      <c r="F498" s="7" t="str">
        <f aca="false">IFERROR(__xludf.dummyfunction("lower(GOOGLETRANSLATE(A498,""en"",""es""))"),"el teléfono es caro")</f>
        <v>el teléfono es caro</v>
      </c>
      <c r="H498" s="0" t="str">
        <f aca="false">A498&amp;"|"&amp;B498</f>
        <v>the telephone is expensive|el teléfono es caro</v>
      </c>
    </row>
    <row r="499" customFormat="false" ht="15.75" hidden="false" customHeight="false" outlineLevel="0" collapsed="false">
      <c r="A499" s="4" t="s">
        <v>1058</v>
      </c>
      <c r="B499" s="8" t="s">
        <v>1059</v>
      </c>
      <c r="C499" s="5"/>
      <c r="D499" s="6"/>
      <c r="E499" s="7" t="str">
        <f aca="false">IFERROR(__xludf.dummyfunction("lower(GOOGLETRANSLATE(B499,""es"",""en""))"),"i'm daring")</f>
        <v>i'm daring</v>
      </c>
      <c r="F499" s="7" t="str">
        <f aca="false">IFERROR(__xludf.dummyfunction("lower(GOOGLETRANSLATE(A499,""en"",""es""))"),"estoy atrevida")</f>
        <v>estoy atrevida</v>
      </c>
      <c r="H499" s="0" t="str">
        <f aca="false">A499&amp;"|"&amp;B499</f>
        <v>i am daring|estoy atrevida</v>
      </c>
    </row>
    <row r="500" customFormat="false" ht="15.75" hidden="false" customHeight="false" outlineLevel="0" collapsed="false">
      <c r="A500" s="4" t="s">
        <v>1060</v>
      </c>
      <c r="B500" s="8" t="s">
        <v>1061</v>
      </c>
      <c r="C500" s="5"/>
      <c r="D500" s="6"/>
      <c r="E500" s="7" t="str">
        <f aca="false">IFERROR(__xludf.dummyfunction("lower(GOOGLETRANSLATE(B500,""es"",""en""))"),"you are artistic")</f>
        <v>you are artistic</v>
      </c>
      <c r="F500" s="7" t="str">
        <f aca="false">IFERROR(__xludf.dummyfunction("lower(GOOGLETRANSLATE(A500,""en"",""es""))"),"eres artístico")</f>
        <v>eres artístico</v>
      </c>
      <c r="H500" s="0" t="str">
        <f aca="false">A500&amp;"|"&amp;B500</f>
        <v>you are artistic|eres artístico</v>
      </c>
    </row>
    <row r="501" customFormat="false" ht="15.75" hidden="false" customHeight="false" outlineLevel="0" collapsed="false">
      <c r="A501" s="4" t="s">
        <v>1062</v>
      </c>
      <c r="B501" s="8" t="s">
        <v>1063</v>
      </c>
      <c r="C501" s="5"/>
      <c r="D501" s="6"/>
      <c r="E501" s="7" t="str">
        <f aca="false">IFERROR(__xludf.dummyfunction("lower(GOOGLETRANSLATE(B501,""es"",""en""))"),"it is quiet")</f>
        <v>it is quiet</v>
      </c>
      <c r="F501" s="7" t="str">
        <f aca="false">IFERROR(__xludf.dummyfunction("lower(GOOGLETRANSLATE(A501,""en"",""es""))"),"él es tranquilo")</f>
        <v>él es tranquilo</v>
      </c>
      <c r="H501" s="0" t="str">
        <f aca="false">A501&amp;"|"&amp;B501</f>
        <v>he is quiet|él es tranquilo</v>
      </c>
    </row>
    <row r="502" customFormat="false" ht="15.75" hidden="false" customHeight="false" outlineLevel="0" collapsed="false">
      <c r="A502" s="4" t="s">
        <v>1064</v>
      </c>
      <c r="B502" s="8" t="s">
        <v>1065</v>
      </c>
      <c r="C502" s="5"/>
      <c r="D502" s="6"/>
      <c r="E502" s="7" t="str">
        <f aca="false">IFERROR(__xludf.dummyfunction("lower(GOOGLETRANSLATE(B502,""es"",""en""))"),"she is (works of sports theater)")</f>
        <v>she is (works of sports theater)</v>
      </c>
      <c r="F502" s="7" t="str">
        <f aca="false">IFERROR(__xludf.dummyfunction("lower(GOOGLETRANSLATE(A502,""en"",""es""))"),"ella es (obras de teatro deportes)")</f>
        <v>ella es (obras de teatro deportes)</v>
      </c>
      <c r="H502" s="0" t="str">
        <f aca="false">A502&amp;"|"&amp;B502</f>
        <v>she is (plays sports)|ella es (obras de teatro deportes)</v>
      </c>
    </row>
    <row r="503" customFormat="false" ht="15.75" hidden="false" customHeight="false" outlineLevel="0" collapsed="false">
      <c r="A503" s="4" t="s">
        <v>1066</v>
      </c>
      <c r="B503" s="8" t="s">
        <v>1067</v>
      </c>
      <c r="C503" s="5"/>
      <c r="D503" s="6"/>
      <c r="E503" s="7" t="str">
        <f aca="false">IFERROR(__xludf.dummyfunction("lower(GOOGLETRANSLATE(B503,""es"",""en""))"),"we are generous")</f>
        <v>we are generous</v>
      </c>
      <c r="F503" s="7" t="str">
        <f aca="false">IFERROR(__xludf.dummyfunction("lower(GOOGLETRANSLATE(A503,""en"",""es""))"),"somos generosos")</f>
        <v>somos generosos</v>
      </c>
      <c r="H503" s="0" t="str">
        <f aca="false">A503&amp;"|"&amp;B503</f>
        <v>we are generous|somos generosos</v>
      </c>
    </row>
    <row r="504" customFormat="false" ht="15.75" hidden="false" customHeight="false" outlineLevel="0" collapsed="false">
      <c r="A504" s="4" t="s">
        <v>1068</v>
      </c>
      <c r="B504" s="8" t="s">
        <v>1069</v>
      </c>
      <c r="C504" s="5"/>
      <c r="D504" s="6"/>
      <c r="E504" s="7" t="str">
        <f aca="false">IFERROR(__xludf.dummyfunction("lower(GOOGLETRANSLATE(B504,""es"",""en""))"),"you're funny i am imptient")</f>
        <v>you're funny i am imptient</v>
      </c>
      <c r="F504" s="7" t="str">
        <f aca="false">IFERROR(__xludf.dummyfunction("lower(GOOGLETRANSLATE(A504,""en"",""es""))"),"usted es divertido i am imptient")</f>
        <v>usted es divertido i am imptient</v>
      </c>
      <c r="H504" s="0" t="str">
        <f aca="false">A504&amp;"|"&amp;B504</f>
        <v>you are funny i am imptient|usted es divertido i am imptient</v>
      </c>
    </row>
    <row r="505" customFormat="false" ht="15.75" hidden="false" customHeight="false" outlineLevel="0" collapsed="false">
      <c r="A505" s="4" t="s">
        <v>1070</v>
      </c>
      <c r="B505" s="8" t="s">
        <v>1071</v>
      </c>
      <c r="C505" s="5"/>
      <c r="D505" s="6"/>
      <c r="E505" s="7" t="str">
        <f aca="false">IFERROR(__xludf.dummyfunction("lower(GOOGLETRANSLATE(B505,""es"",""en""))"),"i'm not organized")</f>
        <v>i'm not organized</v>
      </c>
      <c r="F505" s="7" t="str">
        <f aca="false">IFERROR(__xludf.dummyfunction("lower(GOOGLETRANSLATE(A505,""en"",""es""))"),"no soy organizado")</f>
        <v>no soy organizado</v>
      </c>
      <c r="H505" s="0" t="str">
        <f aca="false">A505&amp;"|"&amp;B505</f>
        <v>i am not organized|no soy organizado</v>
      </c>
    </row>
    <row r="506" customFormat="false" ht="15.75" hidden="false" customHeight="false" outlineLevel="0" collapsed="false">
      <c r="A506" s="4" t="s">
        <v>1072</v>
      </c>
      <c r="B506" s="8" t="s">
        <v>1073</v>
      </c>
      <c r="C506" s="5"/>
      <c r="D506" s="6"/>
      <c r="E506" s="7" t="str">
        <f aca="false">IFERROR(__xludf.dummyfunction("lower(GOOGLETRANSLATE(B506,""es"",""en""))"),"i'm pretty lazy")</f>
        <v>i'm pretty lazy</v>
      </c>
      <c r="F506" s="7" t="str">
        <f aca="false">IFERROR(__xludf.dummyfunction("lower(GOOGLETRANSLATE(A506,""en"",""es""))"),"yo soy muy flojo")</f>
        <v>yo soy muy flojo</v>
      </c>
      <c r="H506" s="0" t="str">
        <f aca="false">A506&amp;"|"&amp;B506</f>
        <v>i am very lazy|yo soy muy flojo</v>
      </c>
    </row>
    <row r="507" customFormat="false" ht="15.75" hidden="false" customHeight="false" outlineLevel="0" collapsed="false">
      <c r="A507" s="4" t="s">
        <v>1074</v>
      </c>
      <c r="B507" s="8" t="s">
        <v>1075</v>
      </c>
      <c r="C507" s="5"/>
      <c r="D507" s="6"/>
      <c r="E507" s="7" t="str">
        <f aca="false">IFERROR(__xludf.dummyfunction("lower(GOOGLETRANSLATE(B507,""es"",""en""))"),"we are wise")</f>
        <v>we are wise</v>
      </c>
      <c r="F507" s="7" t="str">
        <f aca="false">IFERROR(__xludf.dummyfunction("lower(GOOGLETRANSLATE(A507,""en"",""es""))"),"somos prudentes")</f>
        <v>somos prudentes</v>
      </c>
      <c r="H507" s="0" t="str">
        <f aca="false">A507&amp;"|"&amp;B507</f>
        <v>we are cautious|somos prudentes</v>
      </c>
    </row>
    <row r="508" customFormat="false" ht="15.75" hidden="false" customHeight="false" outlineLevel="0" collapsed="false">
      <c r="A508" s="4" t="s">
        <v>1076</v>
      </c>
      <c r="B508" s="8" t="s">
        <v>1077</v>
      </c>
      <c r="C508" s="5"/>
      <c r="D508" s="6"/>
      <c r="E508" s="7" t="str">
        <f aca="false">IFERROR(__xludf.dummyfunction("lower(GOOGLETRANSLATE(B508,""es"",""en""))"),"they are social")</f>
        <v>they are social</v>
      </c>
      <c r="F508" s="7" t="str">
        <f aca="false">IFERROR(__xludf.dummyfunction("lower(GOOGLETRANSLATE(A508,""en"",""es""))"),"son sociales")</f>
        <v>son sociales</v>
      </c>
      <c r="H508" s="0" t="str">
        <f aca="false">A508&amp;"|"&amp;B508</f>
        <v>they are social|son sociales</v>
      </c>
    </row>
    <row r="509" customFormat="false" ht="15.75" hidden="false" customHeight="false" outlineLevel="0" collapsed="false">
      <c r="A509" s="4" t="s">
        <v>1078</v>
      </c>
      <c r="B509" s="8" t="s">
        <v>1079</v>
      </c>
      <c r="C509" s="5"/>
      <c r="D509" s="6"/>
      <c r="E509" s="7" t="str">
        <f aca="false">IFERROR(__xludf.dummyfunction("lower(GOOGLETRANSLATE(B509,""es"",""en""))"),"she is a worker")</f>
        <v>she is a worker</v>
      </c>
      <c r="F509" s="7" t="str">
        <f aca="false">IFERROR(__xludf.dummyfunction("lower(GOOGLETRANSLATE(A509,""en"",""es""))"),"ella es trabajadora")</f>
        <v>ella es trabajadora</v>
      </c>
      <c r="H509" s="0" t="str">
        <f aca="false">A509&amp;"|"&amp;B509</f>
        <v>she is hard working|ella es trabajadora</v>
      </c>
    </row>
    <row r="510" customFormat="false" ht="15.75" hidden="false" customHeight="false" outlineLevel="0" collapsed="false">
      <c r="A510" s="4" t="s">
        <v>1080</v>
      </c>
      <c r="B510" s="8" t="s">
        <v>1081</v>
      </c>
      <c r="C510" s="5"/>
      <c r="D510" s="6"/>
      <c r="E510" s="7" t="str">
        <f aca="false">IFERROR(__xludf.dummyfunction("lower(GOOGLETRANSLATE(B510,""es"",""en""))"),"we are kind")</f>
        <v>we are kind</v>
      </c>
      <c r="F510" s="7" t="str">
        <f aca="false">IFERROR(__xludf.dummyfunction("lower(GOOGLETRANSLATE(A510,""en"",""es""))"),"somos amables")</f>
        <v>somos amables</v>
      </c>
      <c r="H510" s="0" t="str">
        <f aca="false">A510&amp;"|"&amp;B510</f>
        <v>we are kind|somos amables</v>
      </c>
    </row>
    <row r="511" customFormat="false" ht="15.75" hidden="false" customHeight="false" outlineLevel="0" collapsed="false">
      <c r="A511" s="4" t="s">
        <v>1082</v>
      </c>
      <c r="B511" s="8" t="s">
        <v>1083</v>
      </c>
      <c r="C511" s="5"/>
      <c r="D511" s="6"/>
      <c r="E511" s="7" t="str">
        <f aca="false">IFERROR(__xludf.dummyfunction("lower(GOOGLETRANSLATE(B511,""es"",""en""))"),"to (f) are art")</f>
        <v>to (f) are art</v>
      </c>
      <c r="F511" s="7" t="str">
        <f aca="false">IFERROR(__xludf.dummyfunction("lower(GOOGLETRANSLATE(A511,""en"",""es""))"),"que (f) son artísticos")</f>
        <v>que (f) son artísticos</v>
      </c>
      <c r="H511" s="0" t="str">
        <f aca="false">A511&amp;"|"&amp;B511</f>
        <v>they (f) are artistic|que (f) son artísticos</v>
      </c>
    </row>
    <row r="512" customFormat="false" ht="15.75" hidden="false" customHeight="false" outlineLevel="0" collapsed="false">
      <c r="A512" s="4" t="s">
        <v>827</v>
      </c>
      <c r="B512" s="8" t="s">
        <v>1084</v>
      </c>
      <c r="C512" s="5"/>
      <c r="D512" s="6"/>
      <c r="E512" s="7" t="str">
        <f aca="false">IFERROR(__xludf.dummyfunction("lower(GOOGLETRANSLATE(B512,""es"",""en""))"),"it is cheap")</f>
        <v>it is cheap</v>
      </c>
      <c r="F512" s="7" t="str">
        <f aca="false">IFERROR(__xludf.dummyfunction("lower(GOOGLETRANSLATE(A512,""en"",""es""))"),"que es barato")</f>
        <v>que es barato</v>
      </c>
      <c r="H512" s="0" t="str">
        <f aca="false">A512&amp;"|"&amp;B512</f>
        <v>she is cheap|que es barato</v>
      </c>
    </row>
    <row r="513" customFormat="false" ht="15.75" hidden="false" customHeight="false" outlineLevel="0" collapsed="false">
      <c r="A513" s="4" t="s">
        <v>1085</v>
      </c>
      <c r="B513" s="8" t="s">
        <v>1086</v>
      </c>
      <c r="C513" s="5"/>
      <c r="D513" s="6"/>
      <c r="E513" s="7" t="str">
        <f aca="false">IFERROR(__xludf.dummyfunction("lower(GOOGLETRANSLATE(B513,""es"",""en""))"),"to (f) are hard work")</f>
        <v>to (f) are hard work</v>
      </c>
      <c r="F513" s="7" t="str">
        <f aca="false">IFERROR(__xludf.dummyfunction("lower(GOOGLETRANSLATE(A513,""en"",""es""))"),"que (f) son de trabajo duro")</f>
        <v>que (f) son de trabajo duro</v>
      </c>
      <c r="H513" s="0" t="str">
        <f aca="false">A513&amp;"|"&amp;B513</f>
        <v>they (f) are hard working|que (f) son de trabajo duro</v>
      </c>
    </row>
    <row r="514" customFormat="false" ht="15.75" hidden="false" customHeight="false" outlineLevel="0" collapsed="false">
      <c r="A514" s="4" t="s">
        <v>197</v>
      </c>
      <c r="B514" s="5" t="s">
        <v>200</v>
      </c>
      <c r="C514" s="5" t="s">
        <v>1087</v>
      </c>
      <c r="D514" s="6"/>
      <c r="E514" s="7" t="str">
        <f aca="false">IFERROR(__xludf.dummyfunction("lower(GOOGLETRANSLATE(B514,""es"",""en""))"),"i like")</f>
        <v>i like</v>
      </c>
      <c r="F514" s="7" t="str">
        <f aca="false">IFERROR(__xludf.dummyfunction("lower(GOOGLETRANSLATE(A514,""en"",""es""))"),"me gusta")</f>
        <v>me gusta</v>
      </c>
      <c r="H514" s="0" t="str">
        <f aca="false">A514&amp;"|"&amp;B514</f>
        <v>i like|me gusta</v>
      </c>
    </row>
    <row r="515" customFormat="false" ht="15.75" hidden="false" customHeight="false" outlineLevel="0" collapsed="false">
      <c r="A515" s="4" t="s">
        <v>1088</v>
      </c>
      <c r="B515" s="5" t="s">
        <v>302</v>
      </c>
      <c r="C515" s="5" t="s">
        <v>1087</v>
      </c>
      <c r="D515" s="6"/>
      <c r="E515" s="7" t="str">
        <f aca="false">IFERROR(__xludf.dummyfunction("lower(GOOGLETRANSLATE(B515,""es"",""en""))"),"you like")</f>
        <v>you like</v>
      </c>
      <c r="F515" s="7" t="str">
        <f aca="false">IFERROR(__xludf.dummyfunction("lower(GOOGLETRANSLATE(A515,""en"",""es""))"),"te gusta")</f>
        <v>te gusta</v>
      </c>
      <c r="H515" s="0" t="str">
        <f aca="false">A515&amp;"|"&amp;B515</f>
        <v>you like|te gusta</v>
      </c>
    </row>
    <row r="516" customFormat="false" ht="15.75" hidden="false" customHeight="false" outlineLevel="0" collapsed="false">
      <c r="A516" s="4" t="s">
        <v>1089</v>
      </c>
      <c r="B516" s="5" t="s">
        <v>306</v>
      </c>
      <c r="C516" s="5" t="s">
        <v>1087</v>
      </c>
      <c r="D516" s="6"/>
      <c r="E516" s="7" t="str">
        <f aca="false">IFERROR(__xludf.dummyfunction("lower(GOOGLETRANSLATE(B516,""es"",""en""))"),"likes")</f>
        <v>likes</v>
      </c>
      <c r="F516" s="7" t="str">
        <f aca="false">IFERROR(__xludf.dummyfunction("lower(GOOGLETRANSLATE(A516,""en"",""es""))"),"le gusta")</f>
        <v>le gusta</v>
      </c>
      <c r="H516" s="0" t="str">
        <f aca="false">A516&amp;"|"&amp;B516</f>
        <v>he likes|le gusta</v>
      </c>
    </row>
    <row r="517" customFormat="false" ht="15.75" hidden="false" customHeight="false" outlineLevel="0" collapsed="false">
      <c r="A517" s="4" t="s">
        <v>1090</v>
      </c>
      <c r="B517" s="5" t="s">
        <v>306</v>
      </c>
      <c r="C517" s="5" t="s">
        <v>1087</v>
      </c>
      <c r="D517" s="6"/>
      <c r="E517" s="7" t="str">
        <f aca="false">IFERROR(__xludf.dummyfunction("lower(GOOGLETRANSLATE(B517,""es"",""en""))"),"likes")</f>
        <v>likes</v>
      </c>
      <c r="F517" s="7" t="str">
        <f aca="false">IFERROR(__xludf.dummyfunction("lower(GOOGLETRANSLATE(A517,""en"",""es""))"),"a ella le gusta")</f>
        <v>a ella le gusta</v>
      </c>
      <c r="H517" s="0" t="str">
        <f aca="false">A517&amp;"|"&amp;B517</f>
        <v>she likes|le gusta</v>
      </c>
    </row>
    <row r="518" customFormat="false" ht="15.75" hidden="false" customHeight="false" outlineLevel="0" collapsed="false">
      <c r="A518" s="4" t="s">
        <v>968</v>
      </c>
      <c r="B518" s="5" t="s">
        <v>969</v>
      </c>
      <c r="C518" s="5" t="s">
        <v>1087</v>
      </c>
      <c r="D518" s="6"/>
      <c r="E518" s="7" t="str">
        <f aca="false">IFERROR(__xludf.dummyfunction("lower(GOOGLETRANSLATE(B518,""es"",""en""))"),"i want")</f>
        <v>i want</v>
      </c>
      <c r="F518" s="7" t="str">
        <f aca="false">IFERROR(__xludf.dummyfunction("lower(GOOGLETRANSLATE(A518,""en"",""es""))"),"quiero")</f>
        <v>quiero</v>
      </c>
      <c r="H518" s="0" t="str">
        <f aca="false">A518&amp;"|"&amp;B518</f>
        <v>i want|yo quiero</v>
      </c>
    </row>
    <row r="519" customFormat="false" ht="15.75" hidden="false" customHeight="false" outlineLevel="0" collapsed="false">
      <c r="A519" s="4" t="s">
        <v>970</v>
      </c>
      <c r="B519" s="5" t="s">
        <v>971</v>
      </c>
      <c r="C519" s="5" t="s">
        <v>1087</v>
      </c>
      <c r="D519" s="6"/>
      <c r="E519" s="7" t="str">
        <f aca="false">IFERROR(__xludf.dummyfunction("lower(GOOGLETRANSLATE(B519,""es"",""en""))"),"you want to")</f>
        <v>you want to</v>
      </c>
      <c r="F519" s="7" t="str">
        <f aca="false">IFERROR(__xludf.dummyfunction("lower(GOOGLETRANSLATE(A519,""en"",""es""))"),"usted quiere")</f>
        <v>usted quiere</v>
      </c>
      <c r="H519" s="0" t="str">
        <f aca="false">A519&amp;"|"&amp;B519</f>
        <v>you want|tú quieres</v>
      </c>
    </row>
    <row r="520" customFormat="false" ht="15.75" hidden="false" customHeight="false" outlineLevel="0" collapsed="false">
      <c r="A520" s="4" t="s">
        <v>972</v>
      </c>
      <c r="B520" s="5" t="s">
        <v>973</v>
      </c>
      <c r="C520" s="5" t="s">
        <v>1087</v>
      </c>
      <c r="D520" s="6"/>
      <c r="E520" s="7" t="str">
        <f aca="false">IFERROR(__xludf.dummyfunction("lower(GOOGLETRANSLATE(B520,""es"",""en""))"),"he wants")</f>
        <v>he wants</v>
      </c>
      <c r="F520" s="7" t="str">
        <f aca="false">IFERROR(__xludf.dummyfunction("lower(GOOGLETRANSLATE(A520,""en"",""es""))"),"el quiere")</f>
        <v>el quiere</v>
      </c>
      <c r="H520" s="0" t="str">
        <f aca="false">A520&amp;"|"&amp;B520</f>
        <v>he wants|el quiere</v>
      </c>
    </row>
    <row r="521" customFormat="false" ht="15.75" hidden="false" customHeight="false" outlineLevel="0" collapsed="false">
      <c r="A521" s="4" t="s">
        <v>974</v>
      </c>
      <c r="B521" s="5" t="s">
        <v>975</v>
      </c>
      <c r="C521" s="5" t="s">
        <v>1087</v>
      </c>
      <c r="D521" s="6"/>
      <c r="E521" s="7" t="str">
        <f aca="false">IFERROR(__xludf.dummyfunction("lower(GOOGLETRANSLATE(B521,""es"",""en""))"),"she wants")</f>
        <v>she wants</v>
      </c>
      <c r="F521" s="7" t="str">
        <f aca="false">IFERROR(__xludf.dummyfunction("lower(GOOGLETRANSLATE(A521,""en"",""es""))"),"ella quiere")</f>
        <v>ella quiere</v>
      </c>
      <c r="H521" s="0" t="str">
        <f aca="false">A521&amp;"|"&amp;B521</f>
        <v>she wants|ella quiere</v>
      </c>
    </row>
    <row r="522" customFormat="false" ht="15.75" hidden="false" customHeight="false" outlineLevel="0" collapsed="false">
      <c r="A522" s="4" t="s">
        <v>1091</v>
      </c>
      <c r="B522" s="5" t="s">
        <v>1092</v>
      </c>
      <c r="C522" s="5" t="s">
        <v>1087</v>
      </c>
      <c r="D522" s="6"/>
      <c r="E522" s="7" t="str">
        <f aca="false">IFERROR(__xludf.dummyfunction("lower(GOOGLETRANSLATE(B522,""es"",""en""))"),"i can")</f>
        <v>i can</v>
      </c>
      <c r="F522" s="7" t="str">
        <f aca="false">IFERROR(__xludf.dummyfunction("lower(GOOGLETRANSLATE(A522,""en"",""es""))"),"yo puedo")</f>
        <v>yo puedo</v>
      </c>
      <c r="H522" s="0" t="str">
        <f aca="false">A522&amp;"|"&amp;B522</f>
        <v>i can|yo puedo</v>
      </c>
    </row>
    <row r="523" customFormat="false" ht="15.75" hidden="false" customHeight="false" outlineLevel="0" collapsed="false">
      <c r="A523" s="4" t="s">
        <v>1093</v>
      </c>
      <c r="B523" s="5" t="s">
        <v>948</v>
      </c>
      <c r="C523" s="5" t="s">
        <v>1087</v>
      </c>
      <c r="D523" s="6"/>
      <c r="E523" s="7" t="str">
        <f aca="false">IFERROR(__xludf.dummyfunction("lower(GOOGLETRANSLATE(B523,""es"",""en""))"),"you can")</f>
        <v>you can</v>
      </c>
      <c r="F523" s="7" t="str">
        <f aca="false">IFERROR(__xludf.dummyfunction("lower(GOOGLETRANSLATE(A523,""en"",""es""))"),"usted puede")</f>
        <v>usted puede</v>
      </c>
      <c r="H523" s="0" t="str">
        <f aca="false">A523&amp;"|"&amp;B523</f>
        <v>you can|tú puedes</v>
      </c>
    </row>
    <row r="524" customFormat="false" ht="15.75" hidden="false" customHeight="false" outlineLevel="0" collapsed="false">
      <c r="A524" s="4" t="s">
        <v>1094</v>
      </c>
      <c r="B524" s="5" t="s">
        <v>950</v>
      </c>
      <c r="C524" s="5" t="s">
        <v>1087</v>
      </c>
      <c r="D524" s="6"/>
      <c r="E524" s="7" t="str">
        <f aca="false">IFERROR(__xludf.dummyfunction("lower(GOOGLETRANSLATE(B524,""es"",""en""))"),"he can")</f>
        <v>he can</v>
      </c>
      <c r="F524" s="7" t="str">
        <f aca="false">IFERROR(__xludf.dummyfunction("lower(GOOGLETRANSLATE(A524,""en"",""es""))"),"él puede")</f>
        <v>él puede</v>
      </c>
      <c r="H524" s="0" t="str">
        <f aca="false">A524&amp;"|"&amp;B524</f>
        <v>he can|el puede</v>
      </c>
    </row>
    <row r="525" customFormat="false" ht="15.75" hidden="false" customHeight="false" outlineLevel="0" collapsed="false">
      <c r="A525" s="4" t="s">
        <v>1095</v>
      </c>
      <c r="B525" s="5" t="s">
        <v>952</v>
      </c>
      <c r="C525" s="5" t="s">
        <v>1087</v>
      </c>
      <c r="D525" s="6"/>
      <c r="E525" s="7" t="str">
        <f aca="false">IFERROR(__xludf.dummyfunction("lower(GOOGLETRANSLATE(B525,""es"",""en""))"),"she can")</f>
        <v>she can</v>
      </c>
      <c r="F525" s="7" t="str">
        <f aca="false">IFERROR(__xludf.dummyfunction("lower(GOOGLETRANSLATE(A525,""en"",""es""))"),"ella puede")</f>
        <v>ella puede</v>
      </c>
      <c r="H525" s="0" t="str">
        <f aca="false">A525&amp;"|"&amp;B525</f>
        <v>she can|ella puede</v>
      </c>
    </row>
    <row r="526" customFormat="false" ht="15.75" hidden="false" customHeight="false" outlineLevel="0" collapsed="false">
      <c r="A526" s="4" t="s">
        <v>1096</v>
      </c>
      <c r="B526" s="5" t="s">
        <v>1097</v>
      </c>
      <c r="C526" s="5" t="s">
        <v>1087</v>
      </c>
      <c r="D526" s="6"/>
      <c r="E526" s="7" t="str">
        <f aca="false">IFERROR(__xludf.dummyfunction("lower(GOOGLETRANSLATE(B526,""es"",""en""))"),"i have to")</f>
        <v>i have to</v>
      </c>
      <c r="F526" s="7" t="str">
        <f aca="false">IFERROR(__xludf.dummyfunction("lower(GOOGLETRANSLATE(A526,""en"",""es""))"),"tengo que")</f>
        <v>tengo que</v>
      </c>
      <c r="H526" s="0" t="str">
        <f aca="false">A526&amp;"|"&amp;B526</f>
        <v>i have to|yo tengo que</v>
      </c>
    </row>
    <row r="527" customFormat="false" ht="15.75" hidden="false" customHeight="false" outlineLevel="0" collapsed="false">
      <c r="A527" s="4" t="s">
        <v>1098</v>
      </c>
      <c r="B527" s="5" t="s">
        <v>1099</v>
      </c>
      <c r="C527" s="5" t="s">
        <v>1087</v>
      </c>
      <c r="D527" s="6"/>
      <c r="E527" s="7" t="str">
        <f aca="false">IFERROR(__xludf.dummyfunction("lower(GOOGLETRANSLATE(B527,""es"",""en""))"),"you have to")</f>
        <v>you have to</v>
      </c>
      <c r="F527" s="7" t="str">
        <f aca="false">IFERROR(__xludf.dummyfunction("lower(GOOGLETRANSLATE(A527,""en"",""es""))"),"tienes que")</f>
        <v>tienes que</v>
      </c>
      <c r="H527" s="0" t="str">
        <f aca="false">A527&amp;"|"&amp;B527</f>
        <v>you have to|tú tienes que</v>
      </c>
    </row>
    <row r="528" customFormat="false" ht="15.75" hidden="false" customHeight="false" outlineLevel="0" collapsed="false">
      <c r="A528" s="4" t="s">
        <v>1100</v>
      </c>
      <c r="B528" s="5" t="s">
        <v>1101</v>
      </c>
      <c r="C528" s="5" t="s">
        <v>1087</v>
      </c>
      <c r="D528" s="6"/>
      <c r="E528" s="7" t="str">
        <f aca="false">IFERROR(__xludf.dummyfunction("lower(GOOGLETRANSLATE(B528,""es"",""en""))"),"he has")</f>
        <v>he has</v>
      </c>
      <c r="F528" s="7" t="str">
        <f aca="false">IFERROR(__xludf.dummyfunction("lower(GOOGLETRANSLATE(A528,""en"",""es""))"),"él tiene que")</f>
        <v>él tiene que</v>
      </c>
      <c r="H528" s="0" t="str">
        <f aca="false">A528&amp;"|"&amp;B528</f>
        <v>he has to|el tiene</v>
      </c>
    </row>
    <row r="529" customFormat="false" ht="15.75" hidden="false" customHeight="false" outlineLevel="0" collapsed="false">
      <c r="A529" s="4" t="s">
        <v>1102</v>
      </c>
      <c r="B529" s="5" t="s">
        <v>1103</v>
      </c>
      <c r="C529" s="5" t="s">
        <v>1087</v>
      </c>
      <c r="D529" s="6"/>
      <c r="E529" s="7" t="str">
        <f aca="false">IFERROR(__xludf.dummyfunction("lower(GOOGLETRANSLATE(B529,""es"",""en""))"),"she has")</f>
        <v>she has</v>
      </c>
      <c r="F529" s="7" t="str">
        <f aca="false">IFERROR(__xludf.dummyfunction("lower(GOOGLETRANSLATE(A529,""en"",""es""))"),"ella tiene que")</f>
        <v>ella tiene que</v>
      </c>
      <c r="H529" s="0" t="str">
        <f aca="false">A529&amp;"|"&amp;B529</f>
        <v>she has to|ella tiene</v>
      </c>
    </row>
    <row r="530" customFormat="false" ht="15.75" hidden="false" customHeight="false" outlineLevel="0" collapsed="false">
      <c r="A530" s="4" t="s">
        <v>1104</v>
      </c>
      <c r="B530" s="5" t="s">
        <v>1105</v>
      </c>
      <c r="C530" s="5" t="s">
        <v>1087</v>
      </c>
      <c r="D530" s="6"/>
      <c r="E530" s="7" t="str">
        <f aca="false">IFERROR(__xludf.dummyfunction("lower(GOOGLETRANSLATE(B530,""es"",""en""))"),"i know")</f>
        <v>i know</v>
      </c>
      <c r="F530" s="7" t="str">
        <f aca="false">IFERROR(__xludf.dummyfunction("lower(GOOGLETRANSLATE(A530,""en"",""es""))"),"lo sé")</f>
        <v>lo sé</v>
      </c>
      <c r="H530" s="0" t="str">
        <f aca="false">A530&amp;"|"&amp;B530</f>
        <v>i know|yo sé</v>
      </c>
    </row>
    <row r="531" customFormat="false" ht="15.75" hidden="false" customHeight="false" outlineLevel="0" collapsed="false">
      <c r="A531" s="4" t="s">
        <v>1106</v>
      </c>
      <c r="B531" s="5" t="s">
        <v>1107</v>
      </c>
      <c r="C531" s="5" t="s">
        <v>1087</v>
      </c>
      <c r="D531" s="6"/>
      <c r="E531" s="7" t="str">
        <f aca="false">IFERROR(__xludf.dummyfunction("lower(GOOGLETRANSLATE(B531,""es"",""en""))"),"you know")</f>
        <v>you know</v>
      </c>
      <c r="F531" s="7" t="str">
        <f aca="false">IFERROR(__xludf.dummyfunction("lower(GOOGLETRANSLATE(A531,""en"",""es""))"),"ya sabes")</f>
        <v>ya sabes</v>
      </c>
      <c r="H531" s="0" t="str">
        <f aca="false">A531&amp;"|"&amp;B531</f>
        <v>you know|tú sabes</v>
      </c>
    </row>
    <row r="532" customFormat="false" ht="15.75" hidden="false" customHeight="false" outlineLevel="0" collapsed="false">
      <c r="A532" s="4" t="s">
        <v>1108</v>
      </c>
      <c r="B532" s="5" t="s">
        <v>1109</v>
      </c>
      <c r="C532" s="5" t="s">
        <v>1087</v>
      </c>
      <c r="D532" s="6"/>
      <c r="E532" s="7" t="str">
        <f aca="false">IFERROR(__xludf.dummyfunction("lower(GOOGLETRANSLATE(B532,""es"",""en""))"),"he knows")</f>
        <v>he knows</v>
      </c>
      <c r="F532" s="7" t="str">
        <f aca="false">IFERROR(__xludf.dummyfunction("lower(GOOGLETRANSLATE(A532,""en"",""es""))"),"él sabe")</f>
        <v>él sabe</v>
      </c>
      <c r="H532" s="0" t="str">
        <f aca="false">A532&amp;"|"&amp;B532</f>
        <v>he knows|el sabe</v>
      </c>
    </row>
    <row r="533" customFormat="false" ht="15.75" hidden="false" customHeight="false" outlineLevel="0" collapsed="false">
      <c r="A533" s="4" t="s">
        <v>1110</v>
      </c>
      <c r="B533" s="5" t="s">
        <v>1111</v>
      </c>
      <c r="C533" s="5" t="s">
        <v>1087</v>
      </c>
      <c r="D533" s="6"/>
      <c r="E533" s="7" t="str">
        <f aca="false">IFERROR(__xludf.dummyfunction("lower(GOOGLETRANSLATE(B533,""es"",""en""))"),"she knows")</f>
        <v>she knows</v>
      </c>
      <c r="F533" s="7" t="str">
        <f aca="false">IFERROR(__xludf.dummyfunction("lower(GOOGLETRANSLATE(A533,""en"",""es""))"),"ella sabe")</f>
        <v>ella sabe</v>
      </c>
      <c r="H533" s="0" t="str">
        <f aca="false">A533&amp;"|"&amp;B533</f>
        <v>she knows|ella sabe</v>
      </c>
    </row>
    <row r="534" customFormat="false" ht="15.75" hidden="false" customHeight="false" outlineLevel="0" collapsed="false">
      <c r="A534" s="4" t="s">
        <v>576</v>
      </c>
      <c r="B534" s="5" t="s">
        <v>577</v>
      </c>
      <c r="C534" s="5" t="s">
        <v>1087</v>
      </c>
      <c r="D534" s="6"/>
      <c r="E534" s="7" t="str">
        <f aca="false">IFERROR(__xludf.dummyfunction("lower(GOOGLETRANSLATE(B534,""es"",""en""))"),"i need")</f>
        <v>i need</v>
      </c>
      <c r="F534" s="7" t="str">
        <f aca="false">IFERROR(__xludf.dummyfunction("lower(GOOGLETRANSLATE(A534,""en"",""es""))"),"necesito")</f>
        <v>necesito</v>
      </c>
      <c r="H534" s="0" t="str">
        <f aca="false">A534&amp;"|"&amp;B534</f>
        <v>i need|yo necesito</v>
      </c>
    </row>
    <row r="535" customFormat="false" ht="15.75" hidden="false" customHeight="false" outlineLevel="0" collapsed="false">
      <c r="A535" s="4" t="s">
        <v>579</v>
      </c>
      <c r="B535" s="5" t="s">
        <v>580</v>
      </c>
      <c r="C535" s="5" t="s">
        <v>1087</v>
      </c>
      <c r="D535" s="6"/>
      <c r="E535" s="7" t="str">
        <f aca="false">IFERROR(__xludf.dummyfunction("lower(GOOGLETRANSLATE(B535,""es"",""en""))"),"you need")</f>
        <v>you need</v>
      </c>
      <c r="F535" s="7" t="str">
        <f aca="false">IFERROR(__xludf.dummyfunction("lower(GOOGLETRANSLATE(A535,""en"",""es""))"),"necesitas")</f>
        <v>necesitas</v>
      </c>
      <c r="H535" s="0" t="str">
        <f aca="false">A535&amp;"|"&amp;B535</f>
        <v>you need|tú necesitas</v>
      </c>
    </row>
    <row r="536" customFormat="false" ht="15.75" hidden="false" customHeight="false" outlineLevel="0" collapsed="false">
      <c r="A536" s="4" t="s">
        <v>1112</v>
      </c>
      <c r="B536" s="5" t="s">
        <v>1113</v>
      </c>
      <c r="C536" s="5" t="s">
        <v>1087</v>
      </c>
      <c r="D536" s="6"/>
      <c r="E536" s="7" t="str">
        <f aca="false">IFERROR(__xludf.dummyfunction("lower(GOOGLETRANSLATE(B536,""es"",""en""))"),"he needs")</f>
        <v>he needs</v>
      </c>
      <c r="F536" s="7" t="str">
        <f aca="false">IFERROR(__xludf.dummyfunction("lower(GOOGLETRANSLATE(A536,""en"",""es""))"),"el necesita")</f>
        <v>el necesita</v>
      </c>
      <c r="H536" s="0" t="str">
        <f aca="false">A536&amp;"|"&amp;B536</f>
        <v>he needs|el necesita</v>
      </c>
    </row>
    <row r="537" customFormat="false" ht="15.75" hidden="false" customHeight="false" outlineLevel="0" collapsed="false">
      <c r="A537" s="4" t="s">
        <v>1114</v>
      </c>
      <c r="B537" s="5" t="s">
        <v>1115</v>
      </c>
      <c r="C537" s="5" t="s">
        <v>1087</v>
      </c>
      <c r="D537" s="6"/>
      <c r="E537" s="7" t="str">
        <f aca="false">IFERROR(__xludf.dummyfunction("lower(GOOGLETRANSLATE(B537,""es"",""en""))"),"she needs")</f>
        <v>she needs</v>
      </c>
      <c r="F537" s="7" t="str">
        <f aca="false">IFERROR(__xludf.dummyfunction("lower(GOOGLETRANSLATE(A537,""en"",""es""))"),"ella necesita")</f>
        <v>ella necesita</v>
      </c>
      <c r="H537" s="0" t="str">
        <f aca="false">A537&amp;"|"&amp;B537</f>
        <v>she needs|ella necesita</v>
      </c>
    </row>
    <row r="538" customFormat="false" ht="15.75" hidden="false" customHeight="false" outlineLevel="0" collapsed="false">
      <c r="A538" s="4" t="s">
        <v>1116</v>
      </c>
      <c r="B538" s="5" t="s">
        <v>1117</v>
      </c>
      <c r="C538" s="5" t="s">
        <v>1087</v>
      </c>
      <c r="D538" s="6"/>
      <c r="E538" s="7" t="str">
        <f aca="false">IFERROR(__xludf.dummyfunction("lower(GOOGLETRANSLATE(B538,""es"",""en""))"),"i prefer")</f>
        <v>i prefer</v>
      </c>
      <c r="F538" s="7" t="str">
        <f aca="false">IFERROR(__xludf.dummyfunction("lower(GOOGLETRANSLATE(A538,""en"",""es""))"),"yo prefiero")</f>
        <v>yo prefiero</v>
      </c>
      <c r="H538" s="0" t="str">
        <f aca="false">A538&amp;"|"&amp;B538</f>
        <v>i prefer|yo prefiero</v>
      </c>
    </row>
    <row r="539" customFormat="false" ht="15.75" hidden="false" customHeight="false" outlineLevel="0" collapsed="false">
      <c r="A539" s="4" t="s">
        <v>1118</v>
      </c>
      <c r="B539" s="5" t="s">
        <v>1119</v>
      </c>
      <c r="C539" s="5" t="s">
        <v>1087</v>
      </c>
      <c r="D539" s="6"/>
      <c r="E539" s="7" t="str">
        <f aca="false">IFERROR(__xludf.dummyfunction("lower(GOOGLETRANSLATE(B539,""es"",""en""))"),"you prefer")</f>
        <v>you prefer</v>
      </c>
      <c r="F539" s="7" t="str">
        <f aca="false">IFERROR(__xludf.dummyfunction("lower(GOOGLETRANSLATE(A539,""en"",""es""))"),"prefieres")</f>
        <v>prefieres</v>
      </c>
      <c r="H539" s="0" t="str">
        <f aca="false">A539&amp;"|"&amp;B539</f>
        <v>you prefer|tú prefieres</v>
      </c>
    </row>
    <row r="540" customFormat="false" ht="15.75" hidden="false" customHeight="false" outlineLevel="0" collapsed="false">
      <c r="A540" s="4" t="s">
        <v>1120</v>
      </c>
      <c r="B540" s="5" t="s">
        <v>1121</v>
      </c>
      <c r="C540" s="5" t="s">
        <v>1087</v>
      </c>
      <c r="D540" s="6"/>
      <c r="E540" s="7" t="str">
        <f aca="false">IFERROR(__xludf.dummyfunction("lower(GOOGLETRANSLATE(B540,""es"",""en""))"),"he prefers")</f>
        <v>he prefers</v>
      </c>
      <c r="F540" s="7" t="str">
        <f aca="false">IFERROR(__xludf.dummyfunction("lower(GOOGLETRANSLATE(A540,""en"",""es""))"),"el prefiere")</f>
        <v>el prefiere</v>
      </c>
      <c r="H540" s="0" t="str">
        <f aca="false">A540&amp;"|"&amp;B540</f>
        <v>he prefers|el prefiere</v>
      </c>
    </row>
    <row r="541" customFormat="false" ht="15.75" hidden="false" customHeight="false" outlineLevel="0" collapsed="false">
      <c r="A541" s="4" t="s">
        <v>1122</v>
      </c>
      <c r="B541" s="5" t="s">
        <v>1123</v>
      </c>
      <c r="C541" s="5" t="s">
        <v>1087</v>
      </c>
      <c r="D541" s="6"/>
      <c r="E541" s="7" t="str">
        <f aca="false">IFERROR(__xludf.dummyfunction("lower(GOOGLETRANSLATE(B541,""es"",""en""))"),"she prefers")</f>
        <v>she prefers</v>
      </c>
      <c r="F541" s="7" t="str">
        <f aca="false">IFERROR(__xludf.dummyfunction("lower(GOOGLETRANSLATE(A541,""en"",""es""))"),"ella prefiere")</f>
        <v>ella prefiere</v>
      </c>
      <c r="H541" s="0" t="str">
        <f aca="false">A541&amp;"|"&amp;B541</f>
        <v>she prefers|ella prefiere</v>
      </c>
    </row>
    <row r="542" customFormat="false" ht="15.75" hidden="false" customHeight="false" outlineLevel="0" collapsed="false">
      <c r="A542" s="4" t="s">
        <v>1124</v>
      </c>
      <c r="B542" s="5" t="s">
        <v>1125</v>
      </c>
      <c r="C542" s="5" t="s">
        <v>1087</v>
      </c>
      <c r="D542" s="6"/>
      <c r="E542" s="7" t="str">
        <f aca="false">IFERROR(__xludf.dummyfunction("lower(GOOGLETRANSLATE(B542,""es"",""en""))"),"i am going to")</f>
        <v>i am going to</v>
      </c>
      <c r="F542" s="7" t="str">
        <f aca="false">IFERROR(__xludf.dummyfunction("lower(GOOGLETRANSLATE(A542,""en"",""es""))"),"voy a")</f>
        <v>voy a</v>
      </c>
      <c r="H542" s="0" t="str">
        <f aca="false">A542&amp;"|"&amp;B542</f>
        <v>i am going to|yo voy a</v>
      </c>
    </row>
    <row r="543" customFormat="false" ht="15.75" hidden="false" customHeight="false" outlineLevel="0" collapsed="false">
      <c r="A543" s="4" t="s">
        <v>1126</v>
      </c>
      <c r="B543" s="5" t="s">
        <v>1127</v>
      </c>
      <c r="C543" s="5" t="s">
        <v>1087</v>
      </c>
      <c r="D543" s="6"/>
      <c r="E543" s="7" t="str">
        <f aca="false">IFERROR(__xludf.dummyfunction("lower(GOOGLETRANSLATE(B543,""es"",""en""))"),"you are going to")</f>
        <v>you are going to</v>
      </c>
      <c r="F543" s="7" t="str">
        <f aca="false">IFERROR(__xludf.dummyfunction("lower(GOOGLETRANSLATE(A543,""en"",""es""))"),"tú vas a")</f>
        <v>tú vas a</v>
      </c>
      <c r="H543" s="0" t="str">
        <f aca="false">A543&amp;"|"&amp;B543</f>
        <v>you are going to|tú vas a</v>
      </c>
    </row>
    <row r="544" customFormat="false" ht="15.75" hidden="false" customHeight="false" outlineLevel="0" collapsed="false">
      <c r="A544" s="4" t="s">
        <v>1128</v>
      </c>
      <c r="B544" s="5" t="s">
        <v>1129</v>
      </c>
      <c r="C544" s="5" t="s">
        <v>1087</v>
      </c>
      <c r="D544" s="6"/>
      <c r="E544" s="7" t="str">
        <f aca="false">IFERROR(__xludf.dummyfunction("lower(GOOGLETRANSLATE(B544,""es"",""en""))"),"he goes to")</f>
        <v>he goes to</v>
      </c>
      <c r="F544" s="7" t="str">
        <f aca="false">IFERROR(__xludf.dummyfunction("lower(GOOGLETRANSLATE(A544,""en"",""es""))"),"él va a")</f>
        <v>él va a</v>
      </c>
      <c r="H544" s="0" t="str">
        <f aca="false">A544&amp;"|"&amp;B544</f>
        <v>he is going to|el va a</v>
      </c>
    </row>
    <row r="545" customFormat="false" ht="15.75" hidden="false" customHeight="false" outlineLevel="0" collapsed="false">
      <c r="A545" s="4" t="s">
        <v>1130</v>
      </c>
      <c r="B545" s="5" t="s">
        <v>929</v>
      </c>
      <c r="C545" s="5" t="s">
        <v>1087</v>
      </c>
      <c r="D545" s="6"/>
      <c r="E545" s="7" t="str">
        <f aca="false">IFERROR(__xludf.dummyfunction("lower(GOOGLETRANSLATE(B545,""es"",""en""))"),"she goes")</f>
        <v>she goes</v>
      </c>
      <c r="F545" s="7" t="str">
        <f aca="false">IFERROR(__xludf.dummyfunction("lower(GOOGLETRANSLATE(A545,""en"",""es""))"),"ella va a")</f>
        <v>ella va a</v>
      </c>
      <c r="H545" s="0" t="str">
        <f aca="false">A545&amp;"|"&amp;B545</f>
        <v>she is going to|ella va</v>
      </c>
    </row>
    <row r="546" customFormat="false" ht="15.75" hidden="false" customHeight="false" outlineLevel="0" collapsed="false">
      <c r="A546" s="4" t="s">
        <v>1131</v>
      </c>
      <c r="B546" s="5" t="s">
        <v>1132</v>
      </c>
      <c r="C546" s="5" t="s">
        <v>1133</v>
      </c>
      <c r="D546" s="6"/>
      <c r="E546" s="7" t="str">
        <f aca="false">IFERROR(__xludf.dummyfunction("lower(GOOGLETRANSLATE(B546,""es"",""en""))"),"he likes to be with friends")</f>
        <v>he likes to be with friends</v>
      </c>
      <c r="F546" s="7" t="str">
        <f aca="false">IFERROR(__xludf.dummyfunction("lower(GOOGLETRANSLATE(A546,""en"",""es""))"),"que le gusta (a) estar con los amigos")</f>
        <v>que le gusta (a) estar con los amigos</v>
      </c>
      <c r="H546" s="0" t="str">
        <f aca="false">A546&amp;"|"&amp;B546</f>
        <v>she likes (to) be with friends|le gusta estar con amigos</v>
      </c>
    </row>
    <row r="547" customFormat="false" ht="15.75" hidden="false" customHeight="false" outlineLevel="0" collapsed="false">
      <c r="A547" s="4" t="s">
        <v>1134</v>
      </c>
      <c r="B547" s="5" t="s">
        <v>1135</v>
      </c>
      <c r="C547" s="5" t="s">
        <v>1133</v>
      </c>
      <c r="D547" s="6"/>
      <c r="E547" s="7" t="str">
        <f aca="false">IFERROR(__xludf.dummyfunction("lower(GOOGLETRANSLATE(B547,""es"",""en""))"),"you know go to the cinema")</f>
        <v>you know go to the cinema</v>
      </c>
      <c r="F547" s="7" t="str">
        <f aca="false">IFERROR(__xludf.dummyfunction("lower(GOOGLETRANSLATE(A547,""en"",""es""))"),"usted sabe (a) ir (a) las películas")</f>
        <v>usted sabe (a) ir (a) las películas</v>
      </c>
      <c r="H547" s="0" t="str">
        <f aca="false">A547&amp;"|"&amp;B547</f>
        <v>you know (to) go (to) the movies|tú sabes ir al cine</v>
      </c>
    </row>
    <row r="548" customFormat="false" ht="15.75" hidden="false" customHeight="false" outlineLevel="0" collapsed="false">
      <c r="A548" s="4" t="s">
        <v>1136</v>
      </c>
      <c r="B548" s="5" t="s">
        <v>1137</v>
      </c>
      <c r="C548" s="5" t="s">
        <v>1133</v>
      </c>
      <c r="D548" s="6"/>
      <c r="E548" s="7" t="str">
        <f aca="false">IFERROR(__xludf.dummyfunction("lower(GOOGLETRANSLATE(B548,""es"",""en""))"),"you'd rather be with friends")</f>
        <v>you'd rather be with friends</v>
      </c>
      <c r="F548" s="7" t="str">
        <f aca="false">IFERROR(__xludf.dummyfunction("lower(GOOGLETRANSLATE(A548,""en"",""es""))"),"que prefiera (a) estar con los amigos")</f>
        <v>que prefiera (a) estar con los amigos</v>
      </c>
      <c r="H548" s="0" t="str">
        <f aca="false">A548&amp;"|"&amp;B548</f>
        <v>you prefer (to) be with friends|tú prefieres estar con amigos</v>
      </c>
    </row>
    <row r="549" customFormat="false" ht="15.75" hidden="false" customHeight="false" outlineLevel="0" collapsed="false">
      <c r="A549" s="4" t="s">
        <v>1138</v>
      </c>
      <c r="B549" s="5" t="s">
        <v>1139</v>
      </c>
      <c r="C549" s="5" t="s">
        <v>1133</v>
      </c>
      <c r="D549" s="6"/>
      <c r="E549" s="7" t="str">
        <f aca="false">IFERROR(__xludf.dummyfunction("lower(GOOGLETRANSLATE(B549,""es"",""en""))"),"he can listen to music")</f>
        <v>he can listen to music</v>
      </c>
      <c r="F549" s="7" t="str">
        <f aca="false">IFERROR(__xludf.dummyfunction("lower(GOOGLETRANSLATE(A549,""en"",""es""))"),"él puede (a) escuchar música (a)")</f>
        <v>él puede (a) escuchar música (a)</v>
      </c>
      <c r="H549" s="0" t="str">
        <f aca="false">A549&amp;"|"&amp;B549</f>
        <v>he can (to) listen (to) music|el puede escuchar música</v>
      </c>
    </row>
    <row r="550" customFormat="false" ht="15.75" hidden="false" customHeight="false" outlineLevel="0" collapsed="false">
      <c r="A550" s="4" t="s">
        <v>1140</v>
      </c>
      <c r="B550" s="5" t="s">
        <v>1141</v>
      </c>
      <c r="C550" s="5" t="s">
        <v>1133</v>
      </c>
      <c r="D550" s="6"/>
      <c r="E550" s="7" t="str">
        <f aca="false">IFERROR(__xludf.dummyfunction("lower(GOOGLETRANSLATE(B550,""es"",""en""))"),"he likes to go to school")</f>
        <v>he likes to go to school</v>
      </c>
      <c r="F550" s="7" t="str">
        <f aca="false">IFERROR(__xludf.dummyfunction("lower(GOOGLETRANSLATE(A550,""en"",""es""))"),"a ella le gusta la escuela (a) ir (a)")</f>
        <v>a ella le gusta la escuela (a) ir (a)</v>
      </c>
      <c r="H550" s="0" t="str">
        <f aca="false">A550&amp;"|"&amp;B550</f>
        <v>she likes (to) go (to) school|le gusta ir a la escuela</v>
      </c>
    </row>
    <row r="551" customFormat="false" ht="15.75" hidden="false" customHeight="false" outlineLevel="0" collapsed="false">
      <c r="A551" s="4" t="s">
        <v>1142</v>
      </c>
      <c r="B551" s="5" t="s">
        <v>1143</v>
      </c>
      <c r="C551" s="5" t="s">
        <v>1133</v>
      </c>
      <c r="D551" s="6"/>
      <c r="E551" s="7" t="str">
        <f aca="false">IFERROR(__xludf.dummyfunction("lower(GOOGLETRANSLATE(B551,""es"",""en""))"),"she prefers to paint")</f>
        <v>she prefers to paint</v>
      </c>
      <c r="F551" s="7" t="str">
        <f aca="false">IFERROR(__xludf.dummyfunction("lower(GOOGLETRANSLATE(A551,""en"",""es""))"),"ella prefiere (a) pintar")</f>
        <v>ella prefiere (a) pintar</v>
      </c>
      <c r="H551" s="0" t="str">
        <f aca="false">A551&amp;"|"&amp;B551</f>
        <v>she prefers (to) paint|ella prefiere pintar</v>
      </c>
    </row>
    <row r="552" customFormat="false" ht="15.75" hidden="false" customHeight="false" outlineLevel="0" collapsed="false">
      <c r="A552" s="4" t="s">
        <v>1144</v>
      </c>
      <c r="B552" s="5" t="s">
        <v>1145</v>
      </c>
      <c r="C552" s="5" t="s">
        <v>1133</v>
      </c>
      <c r="D552" s="6"/>
      <c r="E552" s="7" t="str">
        <f aca="false">IFERROR(__xludf.dummyfunction("lower(GOOGLETRANSLATE(B552,""es"",""en""))"),"she is skating")</f>
        <v>she is skating</v>
      </c>
      <c r="F552" s="7" t="str">
        <f aca="false">IFERROR(__xludf.dummyfunction("lower(GOOGLETRANSLATE(A552,""en"",""es""))"),"ella tiene que patinar (a)")</f>
        <v>ella tiene que patinar (a)</v>
      </c>
      <c r="H552" s="0" t="str">
        <f aca="false">A552&amp;"|"&amp;B552</f>
        <v>she has to (to) skate|ella tiene patinar</v>
      </c>
    </row>
    <row r="553" customFormat="false" ht="15.75" hidden="false" customHeight="false" outlineLevel="0" collapsed="false">
      <c r="A553" s="4" t="s">
        <v>1146</v>
      </c>
      <c r="B553" s="5" t="s">
        <v>1147</v>
      </c>
      <c r="C553" s="5" t="s">
        <v>1133</v>
      </c>
      <c r="D553" s="6"/>
      <c r="E553" s="7" t="str">
        <f aca="false">IFERROR(__xludf.dummyfunction("lower(GOOGLETRANSLATE(B553,""es"",""en""))"),"i know how to paint")</f>
        <v>i know how to paint</v>
      </c>
      <c r="F553" s="7" t="str">
        <f aca="false">IFERROR(__xludf.dummyfunction("lower(GOOGLETRANSLATE(A553,""en"",""es""))"),"sé que (a) la pintura")</f>
        <v>sé que (a) la pintura</v>
      </c>
      <c r="H553" s="0" t="str">
        <f aca="false">A553&amp;"|"&amp;B553</f>
        <v>i know (to) paint|yo sé pintar</v>
      </c>
    </row>
    <row r="554" customFormat="false" ht="15.75" hidden="false" customHeight="false" outlineLevel="0" collapsed="false">
      <c r="A554" s="4" t="s">
        <v>1148</v>
      </c>
      <c r="B554" s="5" t="s">
        <v>1149</v>
      </c>
      <c r="C554" s="5" t="s">
        <v>1133</v>
      </c>
      <c r="D554" s="6"/>
      <c r="E554" s="7" t="str">
        <f aca="false">IFERROR(__xludf.dummyfunction("lower(GOOGLETRANSLATE(B554,""es"",""en""))"),"she needs skating")</f>
        <v>she needs skating</v>
      </c>
      <c r="F554" s="7" t="str">
        <f aca="false">IFERROR(__xludf.dummyfunction("lower(GOOGLETRANSLATE(A554,""en"",""es""))"),"ella necesita (a) patín")</f>
        <v>ella necesita (a) patín</v>
      </c>
      <c r="H554" s="0" t="str">
        <f aca="false">A554&amp;"|"&amp;B554</f>
        <v>she needs (to) skate|ella necesita patinar</v>
      </c>
    </row>
    <row r="555" customFormat="false" ht="15.75" hidden="false" customHeight="false" outlineLevel="0" collapsed="false">
      <c r="A555" s="4" t="s">
        <v>1150</v>
      </c>
      <c r="B555" s="5" t="s">
        <v>1151</v>
      </c>
      <c r="C555" s="5" t="s">
        <v>1133</v>
      </c>
      <c r="D555" s="6"/>
      <c r="E555" s="7" t="str">
        <f aca="false">IFERROR(__xludf.dummyfunction("lower(GOOGLETRANSLATE(B555,""es"",""en""))"),"she can paint")</f>
        <v>she can paint</v>
      </c>
      <c r="F555" s="7" t="str">
        <f aca="false">IFERROR(__xludf.dummyfunction("lower(GOOGLETRANSLATE(A555,""en"",""es""))"),"que puede (a) pintura")</f>
        <v>que puede (a) pintura</v>
      </c>
      <c r="H555" s="0" t="str">
        <f aca="false">A555&amp;"|"&amp;B555</f>
        <v>she can (to) paint|ella puede pintar</v>
      </c>
    </row>
    <row r="556" customFormat="false" ht="15.75" hidden="false" customHeight="false" outlineLevel="0" collapsed="false">
      <c r="A556" s="4" t="s">
        <v>1152</v>
      </c>
      <c r="B556" s="5" t="s">
        <v>1153</v>
      </c>
      <c r="C556" s="5" t="s">
        <v>1133</v>
      </c>
      <c r="D556" s="6"/>
      <c r="E556" s="7" t="str">
        <f aca="false">IFERROR(__xludf.dummyfunction("lower(GOOGLETRANSLATE(B556,""es"",""en""))"),"she can swim")</f>
        <v>she can swim</v>
      </c>
      <c r="F556" s="7" t="str">
        <f aca="false">IFERROR(__xludf.dummyfunction("lower(GOOGLETRANSLATE(A556,""en"",""es""))"),"que puede (a) de natación")</f>
        <v>que puede (a) de natación</v>
      </c>
      <c r="H556" s="0" t="str">
        <f aca="false">A556&amp;"|"&amp;B556</f>
        <v>she can (to) swim|ella puede nadar</v>
      </c>
    </row>
    <row r="557" customFormat="false" ht="15.75" hidden="false" customHeight="false" outlineLevel="0" collapsed="false">
      <c r="A557" s="4" t="s">
        <v>1154</v>
      </c>
      <c r="B557" s="5" t="s">
        <v>1155</v>
      </c>
      <c r="C557" s="5" t="s">
        <v>1133</v>
      </c>
      <c r="D557" s="6"/>
      <c r="E557" s="7" t="str">
        <f aca="false">IFERROR(__xludf.dummyfunction("lower(GOOGLETRANSLATE(B557,""es"",""en""))"),"i know help at home")</f>
        <v>i know help at home</v>
      </c>
      <c r="F557" s="7" t="str">
        <f aca="false">IFERROR(__xludf.dummyfunction("lower(GOOGLETRANSLATE(A557,""en"",""es""))"),"sé que (a) ayuda en la casa")</f>
        <v>sé que (a) ayuda en la casa</v>
      </c>
      <c r="H557" s="0" t="str">
        <f aca="false">A557&amp;"|"&amp;B557</f>
        <v>i know (to) help around the house|yo sé ayudar en casa</v>
      </c>
    </row>
    <row r="558" customFormat="false" ht="15.75" hidden="false" customHeight="false" outlineLevel="0" collapsed="false">
      <c r="A558" s="4" t="s">
        <v>1156</v>
      </c>
      <c r="B558" s="5" t="s">
        <v>1157</v>
      </c>
      <c r="C558" s="5" t="s">
        <v>1133</v>
      </c>
      <c r="D558" s="6"/>
      <c r="E558" s="7" t="str">
        <f aca="false">IFERROR(__xludf.dummyfunction("lower(GOOGLETRANSLATE(B558,""es"",""en""))"),"i'll skate")</f>
        <v>i'll skate</v>
      </c>
      <c r="F558" s="7" t="str">
        <f aca="false">IFERROR(__xludf.dummyfunction("lower(GOOGLETRANSLATE(A558,""en"",""es""))"),"voy a patinar sobre (a)")</f>
        <v>voy a patinar sobre (a)</v>
      </c>
      <c r="H558" s="0" t="str">
        <f aca="false">A558&amp;"|"&amp;B558</f>
        <v>i am going to (to) skate|yo voy a patinar</v>
      </c>
    </row>
    <row r="559" customFormat="false" ht="15.75" hidden="false" customHeight="false" outlineLevel="0" collapsed="false">
      <c r="A559" s="4" t="s">
        <v>1158</v>
      </c>
      <c r="B559" s="5" t="s">
        <v>1159</v>
      </c>
      <c r="C559" s="5" t="s">
        <v>1133</v>
      </c>
      <c r="D559" s="6"/>
      <c r="E559" s="7" t="str">
        <f aca="false">IFERROR(__xludf.dummyfunction("lower(GOOGLETRANSLATE(B559,""es"",""en""))"),"i want to swim")</f>
        <v>i want to swim</v>
      </c>
      <c r="F559" s="7" t="str">
        <f aca="false">IFERROR(__xludf.dummyfunction("lower(GOOGLETRANSLATE(A559,""en"",""es""))"),"quiero nadar")</f>
        <v>quiero nadar</v>
      </c>
      <c r="H559" s="0" t="str">
        <f aca="false">A559&amp;"|"&amp;B559</f>
        <v>i want (to) swim|yo quiero nadar</v>
      </c>
    </row>
    <row r="560" customFormat="false" ht="15.75" hidden="false" customHeight="false" outlineLevel="0" collapsed="false">
      <c r="A560" s="4" t="s">
        <v>1160</v>
      </c>
      <c r="B560" s="5" t="s">
        <v>1161</v>
      </c>
      <c r="C560" s="5" t="s">
        <v>1133</v>
      </c>
      <c r="D560" s="6"/>
      <c r="E560" s="7" t="str">
        <f aca="false">IFERROR(__xludf.dummyfunction("lower(GOOGLETRANSLATE(B560,""es"",""en""))"),"he needs help at home")</f>
        <v>he needs help at home</v>
      </c>
      <c r="F560" s="7" t="str">
        <f aca="false">IFERROR(__xludf.dummyfunction("lower(GOOGLETRANSLATE(A560,""en"",""es""))"),"que necesita (a) ayuda en la casa")</f>
        <v>que necesita (a) ayuda en la casa</v>
      </c>
      <c r="H560" s="0" t="str">
        <f aca="false">A560&amp;"|"&amp;B560</f>
        <v>he needs (to) help around the house|el necesita ayudar en casa</v>
      </c>
    </row>
    <row r="561" customFormat="false" ht="15.75" hidden="false" customHeight="false" outlineLevel="0" collapsed="false">
      <c r="A561" s="4" t="s">
        <v>1162</v>
      </c>
      <c r="B561" s="5" t="s">
        <v>1163</v>
      </c>
      <c r="C561" s="5" t="s">
        <v>1133</v>
      </c>
      <c r="D561" s="6"/>
      <c r="E561" s="7" t="str">
        <f aca="false">IFERROR(__xludf.dummyfunction("lower(GOOGLETRANSLATE(B561,""es"",""en""))"),"you're going to be with friends")</f>
        <v>you're going to be with friends</v>
      </c>
      <c r="F561" s="7" t="str">
        <f aca="false">IFERROR(__xludf.dummyfunction("lower(GOOGLETRANSLATE(A561,""en"",""es""))"),"vas a (a) estar con los amigos")</f>
        <v>vas a (a) estar con los amigos</v>
      </c>
      <c r="H561" s="0" t="str">
        <f aca="false">A561&amp;"|"&amp;B561</f>
        <v>you are going to (to) be with friends|tú vas a estar con amigos</v>
      </c>
    </row>
    <row r="562" customFormat="false" ht="15.75" hidden="false" customHeight="false" outlineLevel="0" collapsed="false">
      <c r="A562" s="4" t="s">
        <v>1164</v>
      </c>
      <c r="B562" s="5" t="s">
        <v>1165</v>
      </c>
      <c r="C562" s="5" t="s">
        <v>1133</v>
      </c>
      <c r="D562" s="6"/>
      <c r="E562" s="7" t="str">
        <f aca="false">IFERROR(__xludf.dummyfunction("lower(GOOGLETRANSLATE(B562,""es"",""en""))"),"he will go to school")</f>
        <v>he will go to school</v>
      </c>
      <c r="F562" s="7" t="str">
        <f aca="false">IFERROR(__xludf.dummyfunction("lower(GOOGLETRANSLATE(A562,""en"",""es""))"),"que va a (a) ir (a) de la escuela")</f>
        <v>que va a (a) ir (a) de la escuela</v>
      </c>
      <c r="H562" s="0" t="str">
        <f aca="false">A562&amp;"|"&amp;B562</f>
        <v>he is going to (to) go (to) school|el va a ir a la escuela</v>
      </c>
    </row>
    <row r="563" customFormat="false" ht="15.75" hidden="false" customHeight="false" outlineLevel="0" collapsed="false">
      <c r="A563" s="4" t="s">
        <v>1166</v>
      </c>
      <c r="B563" s="5" t="s">
        <v>1167</v>
      </c>
      <c r="C563" s="5" t="s">
        <v>1133</v>
      </c>
      <c r="D563" s="6"/>
      <c r="E563" s="7" t="str">
        <f aca="false">IFERROR(__xludf.dummyfunction("lower(GOOGLETRANSLATE(B563,""es"",""en""))"),"you need to skate")</f>
        <v>you need to skate</v>
      </c>
      <c r="F563" s="7" t="str">
        <f aca="false">IFERROR(__xludf.dummyfunction("lower(GOOGLETRANSLATE(A563,""en"",""es""))"),"que necesita (a) patín")</f>
        <v>que necesita (a) patín</v>
      </c>
      <c r="H563" s="0" t="str">
        <f aca="false">A563&amp;"|"&amp;B563</f>
        <v>you need (to) skate|tú necesitas patinar</v>
      </c>
    </row>
    <row r="564" customFormat="false" ht="15.75" hidden="false" customHeight="false" outlineLevel="0" collapsed="false">
      <c r="A564" s="4" t="s">
        <v>1168</v>
      </c>
      <c r="B564" s="5" t="s">
        <v>1169</v>
      </c>
      <c r="C564" s="5" t="s">
        <v>1133</v>
      </c>
      <c r="D564" s="6"/>
      <c r="E564" s="7" t="str">
        <f aca="false">IFERROR(__xludf.dummyfunction("lower(GOOGLETRANSLATE(B564,""es"",""en""))"),"he likes to play guitar")</f>
        <v>he likes to play guitar</v>
      </c>
      <c r="F564" s="7" t="str">
        <f aca="false">IFERROR(__xludf.dummyfunction("lower(GOOGLETRANSLATE(A564,""en"",""es""))"),"que le gusta (a) tocar la guitarra")</f>
        <v>que le gusta (a) tocar la guitarra</v>
      </c>
      <c r="H564" s="0" t="str">
        <f aca="false">A564&amp;"|"&amp;B564</f>
        <v>she likes (to) play the guitar|le gusta tocar la guitarra</v>
      </c>
    </row>
    <row r="565" customFormat="false" ht="15.75" hidden="false" customHeight="false" outlineLevel="0" collapsed="false">
      <c r="A565" s="4" t="s">
        <v>1170</v>
      </c>
      <c r="B565" s="5" t="s">
        <v>1171</v>
      </c>
      <c r="C565" s="5" t="s">
        <v>1133</v>
      </c>
      <c r="D565" s="6"/>
      <c r="E565" s="7" t="str">
        <f aca="false">IFERROR(__xludf.dummyfunction("lower(GOOGLETRANSLATE(B565,""es"",""en""))"),"you like to watch television")</f>
        <v>you like to watch television</v>
      </c>
      <c r="F565" s="7" t="str">
        <f aca="false">IFERROR(__xludf.dummyfunction("lower(GOOGLETRANSLATE(A565,""en"",""es""))"),"te gusta (a) ver la televisión")</f>
        <v>te gusta (a) ver la televisión</v>
      </c>
      <c r="H565" s="0" t="str">
        <f aca="false">A565&amp;"|"&amp;B565</f>
        <v>you like (to) watch tv|te gusta ver la televisión</v>
      </c>
    </row>
    <row r="566" customFormat="false" ht="15.75" hidden="false" customHeight="false" outlineLevel="0" collapsed="false">
      <c r="A566" s="4" t="s">
        <v>1172</v>
      </c>
      <c r="B566" s="5" t="s">
        <v>1173</v>
      </c>
      <c r="C566" s="5" t="s">
        <v>1133</v>
      </c>
      <c r="D566" s="6"/>
      <c r="E566" s="7" t="str">
        <f aca="false">IFERROR(__xludf.dummyfunction("lower(GOOGLETRANSLATE(B566,""es"",""en""))"),"i like to skate")</f>
        <v>i like to skate</v>
      </c>
      <c r="F566" s="7" t="str">
        <f aca="false">IFERROR(__xludf.dummyfunction("lower(GOOGLETRANSLATE(A566,""en"",""es""))"),"me gusta patinar")</f>
        <v>me gusta patinar</v>
      </c>
      <c r="H566" s="0" t="str">
        <f aca="false">A566&amp;"|"&amp;B566</f>
        <v>i like (to) skate|me gusta patinar</v>
      </c>
    </row>
    <row r="567" customFormat="false" ht="15.75" hidden="false" customHeight="false" outlineLevel="0" collapsed="false">
      <c r="A567" s="4" t="s">
        <v>1174</v>
      </c>
      <c r="B567" s="5" t="s">
        <v>1175</v>
      </c>
      <c r="C567" s="5" t="s">
        <v>1133</v>
      </c>
      <c r="D567" s="6"/>
      <c r="E567" s="7" t="str">
        <f aca="false">IFERROR(__xludf.dummyfunction("lower(GOOGLETRANSLATE(B567,""es"",""en""))"),"he has painted")</f>
        <v>he has painted</v>
      </c>
      <c r="F567" s="7" t="str">
        <f aca="false">IFERROR(__xludf.dummyfunction("lower(GOOGLETRANSLATE(A567,""en"",""es""))"),"que tiene que (a) la pintura")</f>
        <v>que tiene que (a) la pintura</v>
      </c>
      <c r="H567" s="0" t="str">
        <f aca="false">A567&amp;"|"&amp;B567</f>
        <v>he has to (to) paint|el tiene pintar</v>
      </c>
    </row>
    <row r="568" customFormat="false" ht="15.75" hidden="false" customHeight="false" outlineLevel="0" collapsed="false">
      <c r="A568" s="4" t="s">
        <v>1176</v>
      </c>
      <c r="B568" s="5" t="s">
        <v>1177</v>
      </c>
      <c r="C568" s="5" t="s">
        <v>1133</v>
      </c>
      <c r="D568" s="6"/>
      <c r="E568" s="7" t="str">
        <f aca="false">IFERROR(__xludf.dummyfunction("lower(GOOGLETRANSLATE(B568,""es"",""en""))"),"he likes to swim")</f>
        <v>he likes to swim</v>
      </c>
      <c r="F568" s="7" t="str">
        <f aca="false">IFERROR(__xludf.dummyfunction("lower(GOOGLETRANSLATE(A568,""en"",""es""))"),"a ella le gusta nadar")</f>
        <v>a ella le gusta nadar</v>
      </c>
      <c r="H568" s="0" t="str">
        <f aca="false">A568&amp;"|"&amp;B568</f>
        <v>she likes (to) swim|le gusta nadar</v>
      </c>
    </row>
    <row r="569" customFormat="false" ht="15.75" hidden="false" customHeight="false" outlineLevel="0" collapsed="false">
      <c r="A569" s="4" t="s">
        <v>1178</v>
      </c>
      <c r="B569" s="5" t="s">
        <v>1179</v>
      </c>
      <c r="C569" s="5" t="s">
        <v>1133</v>
      </c>
      <c r="D569" s="6"/>
      <c r="E569" s="7" t="str">
        <f aca="false">IFERROR(__xludf.dummyfunction("lower(GOOGLETRANSLATE(B569,""es"",""en""))"),"you need to work")</f>
        <v>you need to work</v>
      </c>
      <c r="F569" s="7" t="str">
        <f aca="false">IFERROR(__xludf.dummyfunction("lower(GOOGLETRANSLATE(A569,""en"",""es""))"),"necesitas trabajar")</f>
        <v>necesitas trabajar</v>
      </c>
      <c r="H569" s="0" t="str">
        <f aca="false">A569&amp;"|"&amp;B569</f>
        <v>you need (to) work|tú necesitas trabajar</v>
      </c>
    </row>
    <row r="570" customFormat="false" ht="15.75" hidden="false" customHeight="false" outlineLevel="0" collapsed="false">
      <c r="A570" s="4" t="s">
        <v>1180</v>
      </c>
      <c r="B570" s="5" t="s">
        <v>1181</v>
      </c>
      <c r="C570" s="5" t="s">
        <v>1133</v>
      </c>
      <c r="D570" s="6"/>
      <c r="E570" s="7" t="str">
        <f aca="false">IFERROR(__xludf.dummyfunction("lower(GOOGLETRANSLATE(B570,""es"",""en""))"),"the need to work")</f>
        <v>the need to work</v>
      </c>
      <c r="F570" s="7" t="str">
        <f aca="false">IFERROR(__xludf.dummyfunction("lower(GOOGLETRANSLATE(A570,""en"",""es""))"),"que necesita (a) de trabajo")</f>
        <v>que necesita (a) de trabajo</v>
      </c>
      <c r="H570" s="0" t="str">
        <f aca="false">A570&amp;"|"&amp;B570</f>
        <v>he needs (to) work|el necesita trabajar</v>
      </c>
    </row>
    <row r="571" customFormat="false" ht="15.75" hidden="false" customHeight="false" outlineLevel="0" collapsed="false">
      <c r="A571" s="4" t="s">
        <v>1182</v>
      </c>
      <c r="B571" s="5" t="s">
        <v>1177</v>
      </c>
      <c r="C571" s="5" t="s">
        <v>1133</v>
      </c>
      <c r="D571" s="6"/>
      <c r="E571" s="7" t="str">
        <f aca="false">IFERROR(__xludf.dummyfunction("lower(GOOGLETRANSLATE(B571,""es"",""en""))"),"he likes to swim")</f>
        <v>he likes to swim</v>
      </c>
      <c r="F571" s="7" t="str">
        <f aca="false">IFERROR(__xludf.dummyfunction("lower(GOOGLETRANSLATE(A571,""en"",""es""))"),"a el legusta nadar")</f>
        <v>a el legusta nadar</v>
      </c>
      <c r="H571" s="0" t="str">
        <f aca="false">A571&amp;"|"&amp;B571</f>
        <v>he likes (to) swim|le gusta nadar</v>
      </c>
    </row>
    <row r="572" customFormat="false" ht="15.75" hidden="false" customHeight="false" outlineLevel="0" collapsed="false">
      <c r="A572" s="4" t="s">
        <v>1183</v>
      </c>
      <c r="B572" s="5" t="s">
        <v>1184</v>
      </c>
      <c r="C572" s="5" t="s">
        <v>1133</v>
      </c>
      <c r="D572" s="6"/>
      <c r="E572" s="7" t="str">
        <f aca="false">IFERROR(__xludf.dummyfunction("lower(GOOGLETRANSLATE(B572,""es"",""en""))"),"she needs to play sports")</f>
        <v>she needs to play sports</v>
      </c>
      <c r="F572" s="7" t="str">
        <f aca="false">IFERROR(__xludf.dummyfunction("lower(GOOGLETRANSLATE(A572,""en"",""es""))"),"ella necesita (a) hacer deporte")</f>
        <v>ella necesita (a) hacer deporte</v>
      </c>
      <c r="H572" s="0" t="str">
        <f aca="false">A572&amp;"|"&amp;B572</f>
        <v>she needs (to) play sports|ella necesita practica deportes</v>
      </c>
    </row>
    <row r="573" customFormat="false" ht="15.75" hidden="false" customHeight="false" outlineLevel="0" collapsed="false">
      <c r="A573" s="4" t="s">
        <v>1185</v>
      </c>
      <c r="B573" s="5" t="s">
        <v>1186</v>
      </c>
      <c r="C573" s="5" t="s">
        <v>1133</v>
      </c>
      <c r="D573" s="6"/>
      <c r="E573" s="7" t="str">
        <f aca="false">IFERROR(__xludf.dummyfunction("lower(GOOGLETRANSLATE(B573,""es"",""en""))"),"you will read")</f>
        <v>you will read</v>
      </c>
      <c r="F573" s="7" t="str">
        <f aca="false">IFERROR(__xludf.dummyfunction("lower(GOOGLETRANSLATE(A573,""en"",""es""))"),"usted va a leer (a)")</f>
        <v>usted va a leer (a)</v>
      </c>
      <c r="H573" s="0" t="str">
        <f aca="false">A573&amp;"|"&amp;B573</f>
        <v>you are going to (to) read|tú vas a leer</v>
      </c>
    </row>
    <row r="574" customFormat="false" ht="15.75" hidden="false" customHeight="false" outlineLevel="0" collapsed="false">
      <c r="A574" s="4" t="s">
        <v>1187</v>
      </c>
      <c r="B574" s="5" t="s">
        <v>1188</v>
      </c>
      <c r="C574" s="5" t="s">
        <v>1133</v>
      </c>
      <c r="D574" s="6"/>
      <c r="E574" s="7" t="str">
        <f aca="false">IFERROR(__xludf.dummyfunction("lower(GOOGLETRANSLATE(B574,""es"",""en""))"),"you have to go to the movies")</f>
        <v>you have to go to the movies</v>
      </c>
      <c r="F574" s="7" t="str">
        <f aca="false">IFERROR(__xludf.dummyfunction("lower(GOOGLETRANSLATE(A574,""en"",""es""))"),"usted tiene que (a) ir (a) las películas")</f>
        <v>usted tiene que (a) ir (a) las películas</v>
      </c>
      <c r="H574" s="0" t="str">
        <f aca="false">A574&amp;"|"&amp;B574</f>
        <v>you have to (to) go (to) the movies|tú tienes que ir al cine</v>
      </c>
    </row>
    <row r="575" customFormat="false" ht="15.75" hidden="false" customHeight="false" outlineLevel="0" collapsed="false">
      <c r="A575" s="4" t="s">
        <v>1189</v>
      </c>
      <c r="B575" s="5" t="s">
        <v>1190</v>
      </c>
      <c r="C575" s="5" t="s">
        <v>1133</v>
      </c>
      <c r="D575" s="6"/>
      <c r="E575" s="7" t="str">
        <f aca="false">IFERROR(__xludf.dummyfunction("lower(GOOGLETRANSLATE(B575,""es"",""en""))"),"i have to swim")</f>
        <v>i have to swim</v>
      </c>
      <c r="F575" s="7" t="str">
        <f aca="false">IFERROR(__xludf.dummyfunction("lower(GOOGLETRANSLATE(A575,""en"",""es""))"),"i tienen que nadar (a)")</f>
        <v>i tienen que nadar (a)</v>
      </c>
      <c r="H575" s="0" t="str">
        <f aca="false">A575&amp;"|"&amp;B575</f>
        <v>i have to (to) swim|yo tengo que nadar</v>
      </c>
    </row>
    <row r="576" customFormat="false" ht="15.75" hidden="false" customHeight="false" outlineLevel="0" collapsed="false">
      <c r="A576" s="4" t="s">
        <v>1191</v>
      </c>
      <c r="B576" s="5" t="s">
        <v>1192</v>
      </c>
      <c r="C576" s="5" t="s">
        <v>1133</v>
      </c>
      <c r="D576" s="6"/>
      <c r="E576" s="7" t="str">
        <f aca="false">IFERROR(__xludf.dummyfunction("lower(GOOGLETRANSLATE(B576,""es"",""en""))"),"you prefer to draw")</f>
        <v>you prefer to draw</v>
      </c>
      <c r="F576" s="7" t="str">
        <f aca="false">IFERROR(__xludf.dummyfunction("lower(GOOGLETRANSLATE(A576,""en"",""es""))"),"que prefiera (a) elaborar")</f>
        <v>que prefiera (a) elaborar</v>
      </c>
      <c r="H576" s="0" t="str">
        <f aca="false">A576&amp;"|"&amp;B576</f>
        <v>you prefer (to) draw|tú prefieres dibujar</v>
      </c>
    </row>
    <row r="577" customFormat="false" ht="15.75" hidden="false" customHeight="false" outlineLevel="0" collapsed="false">
      <c r="A577" s="4" t="s">
        <v>1193</v>
      </c>
      <c r="B577" s="5" t="s">
        <v>1194</v>
      </c>
      <c r="C577" s="5" t="s">
        <v>1133</v>
      </c>
      <c r="D577" s="6"/>
      <c r="E577" s="7" t="str">
        <f aca="false">IFERROR(__xludf.dummyfunction("lower(GOOGLETRANSLATE(B577,""es"",""en""))"),"she can skate")</f>
        <v>she can skate</v>
      </c>
      <c r="F577" s="7" t="str">
        <f aca="false">IFERROR(__xludf.dummyfunction("lower(GOOGLETRANSLATE(A577,""en"",""es""))"),"que puede (a) patín")</f>
        <v>que puede (a) patín</v>
      </c>
      <c r="H577" s="0" t="str">
        <f aca="false">A577&amp;"|"&amp;B577</f>
        <v>she can (to) skate|ella puede patinar</v>
      </c>
    </row>
    <row r="578" customFormat="false" ht="15.75" hidden="false" customHeight="false" outlineLevel="0" collapsed="false">
      <c r="A578" s="4" t="s">
        <v>1195</v>
      </c>
      <c r="B578" s="5" t="s">
        <v>1196</v>
      </c>
      <c r="C578" s="5" t="s">
        <v>1133</v>
      </c>
      <c r="D578" s="6"/>
      <c r="E578" s="7" t="str">
        <f aca="false">IFERROR(__xludf.dummyfunction("lower(GOOGLETRANSLATE(B578,""es"",""en""))"),"i need to talk")</f>
        <v>i need to talk</v>
      </c>
      <c r="F578" s="7" t="str">
        <f aca="false">IFERROR(__xludf.dummyfunction("lower(GOOGLETRANSLATE(A578,""en"",""es""))"),"necesito hablar")</f>
        <v>necesito hablar</v>
      </c>
      <c r="H578" s="0" t="str">
        <f aca="false">A578&amp;"|"&amp;B578</f>
        <v>i need (to) talk|yo necesito hablar</v>
      </c>
    </row>
    <row r="579" customFormat="false" ht="15.75" hidden="false" customHeight="false" outlineLevel="0" collapsed="false">
      <c r="A579" s="4" t="s">
        <v>1197</v>
      </c>
      <c r="B579" s="5" t="s">
        <v>1198</v>
      </c>
      <c r="C579" s="5" t="s">
        <v>1133</v>
      </c>
      <c r="D579" s="6"/>
      <c r="E579" s="7" t="str">
        <f aca="false">IFERROR(__xludf.dummyfunction("lower(GOOGLETRANSLATE(B579,""es"",""en""))"),"i prefer to listen to music")</f>
        <v>i prefer to listen to music</v>
      </c>
      <c r="F579" s="7" t="str">
        <f aca="false">IFERROR(__xludf.dummyfunction("lower(GOOGLETRANSLATE(A579,""en"",""es""))"),"yo prefiero (a) escuchar (a) la música")</f>
        <v>yo prefiero (a) escuchar (a) la música</v>
      </c>
      <c r="H579" s="0" t="str">
        <f aca="false">A579&amp;"|"&amp;B579</f>
        <v>i prefer (to) listen (to) music|yo prefiero escuchar música</v>
      </c>
    </row>
    <row r="580" customFormat="false" ht="15.75" hidden="false" customHeight="false" outlineLevel="0" collapsed="false">
      <c r="A580" s="4" t="s">
        <v>1199</v>
      </c>
      <c r="B580" s="5" t="s">
        <v>1200</v>
      </c>
      <c r="C580" s="5" t="s">
        <v>1133</v>
      </c>
      <c r="D580" s="6"/>
      <c r="E580" s="7" t="str">
        <f aca="false">IFERROR(__xludf.dummyfunction("lower(GOOGLETRANSLATE(B580,""es"",""en""))"),"you prefer to speak")</f>
        <v>you prefer to speak</v>
      </c>
      <c r="F580" s="7" t="str">
        <f aca="false">IFERROR(__xludf.dummyfunction("lower(GOOGLETRANSLATE(A580,""en"",""es""))"),"que prefiera (a) charla")</f>
        <v>que prefiera (a) charla</v>
      </c>
      <c r="H580" s="0" t="str">
        <f aca="false">A580&amp;"|"&amp;B580</f>
        <v>you prefer (to) talk|tú prefieres hablar</v>
      </c>
    </row>
    <row r="581" customFormat="false" ht="15.75" hidden="false" customHeight="false" outlineLevel="0" collapsed="false">
      <c r="A581" s="4" t="s">
        <v>1201</v>
      </c>
      <c r="B581" s="5" t="s">
        <v>1202</v>
      </c>
      <c r="C581" s="5" t="s">
        <v>1133</v>
      </c>
      <c r="D581" s="6"/>
      <c r="E581" s="7" t="str">
        <f aca="false">IFERROR(__xludf.dummyfunction("lower(GOOGLETRANSLATE(B581,""es"",""en""))"),"i want to play sports")</f>
        <v>i want to play sports</v>
      </c>
      <c r="F581" s="7" t="str">
        <f aca="false">IFERROR(__xludf.dummyfunction("lower(GOOGLETRANSLATE(A581,""en"",""es""))"),"quiero (a) hacer deporte")</f>
        <v>quiero (a) hacer deporte</v>
      </c>
      <c r="H581" s="0" t="str">
        <f aca="false">A581&amp;"|"&amp;B581</f>
        <v>i want (to) play sports|yo quiero practica deportes</v>
      </c>
    </row>
    <row r="582" customFormat="false" ht="15.75" hidden="false" customHeight="false" outlineLevel="0" collapsed="false">
      <c r="A582" s="4" t="s">
        <v>1203</v>
      </c>
      <c r="B582" s="5" t="s">
        <v>1204</v>
      </c>
      <c r="C582" s="5" t="s">
        <v>1133</v>
      </c>
      <c r="D582" s="6"/>
      <c r="E582" s="7" t="str">
        <f aca="false">IFERROR(__xludf.dummyfunction("lower(GOOGLETRANSLATE(B582,""es"",""en""))"),"she can play the guitar")</f>
        <v>she can play the guitar</v>
      </c>
      <c r="F582" s="7" t="str">
        <f aca="false">IFERROR(__xludf.dummyfunction("lower(GOOGLETRANSLATE(A582,""en"",""es""))"),"ella sabe (a) tocar la guitarra")</f>
        <v>ella sabe (a) tocar la guitarra</v>
      </c>
      <c r="H582" s="0" t="str">
        <f aca="false">A582&amp;"|"&amp;B582</f>
        <v>she knows (to) play the guitar|ella sabe tocar la guitarra</v>
      </c>
    </row>
    <row r="583" customFormat="false" ht="15.75" hidden="false" customHeight="false" outlineLevel="0" collapsed="false">
      <c r="A583" s="4" t="s">
        <v>1131</v>
      </c>
      <c r="B583" s="5" t="s">
        <v>1132</v>
      </c>
      <c r="C583" s="5" t="s">
        <v>1133</v>
      </c>
      <c r="D583" s="6"/>
      <c r="E583" s="7" t="str">
        <f aca="false">IFERROR(__xludf.dummyfunction("lower(GOOGLETRANSLATE(B583,""es"",""en""))"),"he likes to be with friends")</f>
        <v>he likes to be with friends</v>
      </c>
      <c r="F583" s="7" t="str">
        <f aca="false">IFERROR(__xludf.dummyfunction("lower(GOOGLETRANSLATE(A583,""en"",""es""))"),"que le gusta (a) estar con los amigos")</f>
        <v>que le gusta (a) estar con los amigos</v>
      </c>
      <c r="H583" s="0" t="str">
        <f aca="false">A583&amp;"|"&amp;B583</f>
        <v>she likes (to) be with friends|le gusta estar con amigos</v>
      </c>
    </row>
    <row r="584" customFormat="false" ht="15.75" hidden="false" customHeight="false" outlineLevel="0" collapsed="false">
      <c r="A584" s="4" t="s">
        <v>1205</v>
      </c>
      <c r="B584" s="5" t="s">
        <v>1206</v>
      </c>
      <c r="C584" s="5" t="s">
        <v>1133</v>
      </c>
      <c r="D584" s="6"/>
      <c r="E584" s="7" t="str">
        <f aca="false">IFERROR(__xludf.dummyfunction("lower(GOOGLETRANSLATE(B584,""es"",""en""))"),"i want to do")</f>
        <v>i want to do</v>
      </c>
      <c r="F584" s="7" t="str">
        <f aca="false">IFERROR(__xludf.dummyfunction("lower(GOOGLETRANSLATE(A584,""en"",""es""))"),"quiero hacer")</f>
        <v>quiero hacer</v>
      </c>
      <c r="H584" s="0" t="str">
        <f aca="false">A584&amp;"|"&amp;B584</f>
        <v>i want (to) do|yo quiero hacer</v>
      </c>
    </row>
    <row r="585" customFormat="false" ht="15.75" hidden="false" customHeight="false" outlineLevel="0" collapsed="false">
      <c r="A585" s="4" t="s">
        <v>1207</v>
      </c>
      <c r="B585" s="5" t="s">
        <v>1208</v>
      </c>
      <c r="C585" s="5" t="s">
        <v>1133</v>
      </c>
      <c r="D585" s="6"/>
      <c r="E585" s="7" t="str">
        <f aca="false">IFERROR(__xludf.dummyfunction("lower(GOOGLETRANSLATE(B585,""es"",""en""))"),"i need to study")</f>
        <v>i need to study</v>
      </c>
      <c r="F585" s="7" t="str">
        <f aca="false">IFERROR(__xludf.dummyfunction("lower(GOOGLETRANSLATE(A585,""en"",""es""))"),"necesito estudiar")</f>
        <v>necesito estudiar</v>
      </c>
      <c r="H585" s="0" t="str">
        <f aca="false">A585&amp;"|"&amp;B585</f>
        <v>i need (to) study|yo necesito estudiar</v>
      </c>
    </row>
    <row r="586" customFormat="false" ht="15.75" hidden="false" customHeight="false" outlineLevel="0" collapsed="false">
      <c r="A586" s="4" t="s">
        <v>1209</v>
      </c>
      <c r="B586" s="5" t="s">
        <v>1210</v>
      </c>
      <c r="C586" s="5" t="s">
        <v>1133</v>
      </c>
      <c r="D586" s="6"/>
      <c r="E586" s="7" t="str">
        <f aca="false">IFERROR(__xludf.dummyfunction("lower(GOOGLETRANSLATE(B586,""es"",""en""))"),"he knows skating")</f>
        <v>he knows skating</v>
      </c>
      <c r="F586" s="7" t="str">
        <f aca="false">IFERROR(__xludf.dummyfunction("lower(GOOGLETRANSLATE(A586,""en"",""es""))"),"él sabe (a) patín")</f>
        <v>él sabe (a) patín</v>
      </c>
      <c r="H586" s="0" t="str">
        <f aca="false">A586&amp;"|"&amp;B586</f>
        <v>he knows (to) skate|el sabe patinar</v>
      </c>
    </row>
    <row r="587" customFormat="false" ht="15.75" hidden="false" customHeight="false" outlineLevel="0" collapsed="false">
      <c r="A587" s="4" t="s">
        <v>1211</v>
      </c>
      <c r="B587" s="5" t="s">
        <v>1212</v>
      </c>
      <c r="C587" s="5" t="s">
        <v>1133</v>
      </c>
      <c r="D587" s="6"/>
      <c r="E587" s="7" t="str">
        <f aca="false">IFERROR(__xludf.dummyfunction("lower(GOOGLETRANSLATE(B587,""es"",""en""))"),"she can play the guitar")</f>
        <v>she can play the guitar</v>
      </c>
      <c r="F587" s="7" t="str">
        <f aca="false">IFERROR(__xludf.dummyfunction("lower(GOOGLETRANSLATE(A587,""en"",""es""))"),"ella puede (a) tocar la guitarra")</f>
        <v>ella puede (a) tocar la guitarra</v>
      </c>
      <c r="H587" s="0" t="str">
        <f aca="false">A587&amp;"|"&amp;B587</f>
        <v>she can (to) play the guitar|ella puede tocar la guitarra</v>
      </c>
    </row>
    <row r="588" customFormat="false" ht="15.75" hidden="false" customHeight="false" outlineLevel="0" collapsed="false">
      <c r="A588" s="4" t="s">
        <v>1213</v>
      </c>
      <c r="B588" s="5" t="s">
        <v>1214</v>
      </c>
      <c r="C588" s="5" t="s">
        <v>1133</v>
      </c>
      <c r="D588" s="6"/>
      <c r="E588" s="7" t="str">
        <f aca="false">IFERROR(__xludf.dummyfunction("lower(GOOGLETRANSLATE(B588,""es"",""en""))"),"i'd rather be with friends")</f>
        <v>i'd rather be with friends</v>
      </c>
      <c r="F588" s="7" t="str">
        <f aca="false">IFERROR(__xludf.dummyfunction("lower(GOOGLETRANSLATE(A588,""en"",""es""))"),"yo prefiero (a) estar con los amigos")</f>
        <v>yo prefiero (a) estar con los amigos</v>
      </c>
      <c r="H588" s="0" t="str">
        <f aca="false">A588&amp;"|"&amp;B588</f>
        <v>i prefer (to) be with friends|yo prefiero estar con amigos</v>
      </c>
    </row>
    <row r="589" customFormat="false" ht="15.75" hidden="false" customHeight="false" outlineLevel="0" collapsed="false">
      <c r="A589" s="4" t="s">
        <v>1215</v>
      </c>
      <c r="B589" s="5" t="s">
        <v>1216</v>
      </c>
      <c r="C589" s="5" t="s">
        <v>1133</v>
      </c>
      <c r="D589" s="6"/>
      <c r="E589" s="7" t="str">
        <f aca="false">IFERROR(__xludf.dummyfunction("lower(GOOGLETRANSLATE(B589,""es"",""en""))"),"she wants to read")</f>
        <v>she wants to read</v>
      </c>
      <c r="F589" s="7" t="str">
        <f aca="false">IFERROR(__xludf.dummyfunction("lower(GOOGLETRANSLATE(A589,""en"",""es""))"),"ella quiere (a) leer")</f>
        <v>ella quiere (a) leer</v>
      </c>
      <c r="H589" s="0" t="str">
        <f aca="false">A589&amp;"|"&amp;B589</f>
        <v>she wants (to) read|ella quiere leer</v>
      </c>
    </row>
    <row r="590" customFormat="false" ht="15.75" hidden="false" customHeight="false" outlineLevel="0" collapsed="false">
      <c r="A590" s="4" t="s">
        <v>1217</v>
      </c>
      <c r="B590" s="5" t="s">
        <v>1218</v>
      </c>
      <c r="C590" s="5" t="s">
        <v>1133</v>
      </c>
      <c r="D590" s="6"/>
      <c r="E590" s="7" t="str">
        <f aca="false">IFERROR(__xludf.dummyfunction("lower(GOOGLETRANSLATE(B590,""es"",""en""))"),"you prefer swimming")</f>
        <v>you prefer swimming</v>
      </c>
      <c r="F590" s="7" t="str">
        <f aca="false">IFERROR(__xludf.dummyfunction("lower(GOOGLETRANSLATE(A590,""en"",""es""))"),"que prefiera (a) de natación")</f>
        <v>que prefiera (a) de natación</v>
      </c>
      <c r="H590" s="0" t="str">
        <f aca="false">A590&amp;"|"&amp;B590</f>
        <v>you prefer (to) swim|tú prefieres nadar</v>
      </c>
    </row>
    <row r="591" customFormat="false" ht="15.75" hidden="false" customHeight="false" outlineLevel="0" collapsed="false">
      <c r="A591" s="4" t="s">
        <v>1219</v>
      </c>
      <c r="B591" s="5" t="s">
        <v>1220</v>
      </c>
      <c r="C591" s="5" t="s">
        <v>1133</v>
      </c>
      <c r="D591" s="6"/>
      <c r="E591" s="7" t="str">
        <f aca="false">IFERROR(__xludf.dummyfunction("lower(GOOGLETRANSLATE(B591,""es"",""en""))"),"you know how to write")</f>
        <v>you know how to write</v>
      </c>
      <c r="F591" s="7" t="str">
        <f aca="false">IFERROR(__xludf.dummyfunction("lower(GOOGLETRANSLATE(A591,""en"",""es""))"),"usted sabe (a) de escritura")</f>
        <v>usted sabe (a) de escritura</v>
      </c>
      <c r="H591" s="0" t="str">
        <f aca="false">A591&amp;"|"&amp;B591</f>
        <v>you know (to) write|tú sabes escribir</v>
      </c>
    </row>
    <row r="592" customFormat="false" ht="15.75" hidden="false" customHeight="false" outlineLevel="0" collapsed="false">
      <c r="A592" s="4" t="s">
        <v>1221</v>
      </c>
      <c r="B592" s="5" t="s">
        <v>1222</v>
      </c>
      <c r="C592" s="5" t="s">
        <v>1133</v>
      </c>
      <c r="D592" s="6"/>
      <c r="E592" s="7" t="str">
        <f aca="false">IFERROR(__xludf.dummyfunction("lower(GOOGLETRANSLATE(B592,""es"",""en""))"),"she can go to the cinema")</f>
        <v>she can go to the cinema</v>
      </c>
      <c r="F592" s="7" t="str">
        <f aca="false">IFERROR(__xludf.dummyfunction("lower(GOOGLETRANSLATE(A592,""en"",""es""))"),"ella puede (a) ir (a) las películas")</f>
        <v>ella puede (a) ir (a) las películas</v>
      </c>
      <c r="H592" s="0" t="str">
        <f aca="false">A592&amp;"|"&amp;B592</f>
        <v>she can (to) go (to) the movies|ella puede ir al cine</v>
      </c>
    </row>
    <row r="593" customFormat="false" ht="15.75" hidden="false" customHeight="false" outlineLevel="0" collapsed="false">
      <c r="A593" s="4" t="s">
        <v>1223</v>
      </c>
      <c r="B593" s="5" t="s">
        <v>1224</v>
      </c>
      <c r="C593" s="5" t="s">
        <v>1133</v>
      </c>
      <c r="D593" s="6"/>
      <c r="E593" s="7" t="str">
        <f aca="false">IFERROR(__xludf.dummyfunction("lower(GOOGLETRANSLATE(B593,""es"",""en""))"),"she has to be with friends")</f>
        <v>she has to be with friends</v>
      </c>
      <c r="F593" s="7" t="str">
        <f aca="false">IFERROR(__xludf.dummyfunction("lower(GOOGLETRANSLATE(A593,""en"",""es""))"),"ella tiene que (a) estar con los amigos")</f>
        <v>ella tiene que (a) estar con los amigos</v>
      </c>
      <c r="H593" s="0" t="str">
        <f aca="false">A593&amp;"|"&amp;B593</f>
        <v>she has to (to) be with friends|ella tiene estar con amigos</v>
      </c>
    </row>
    <row r="594" customFormat="false" ht="15.75" hidden="false" customHeight="false" outlineLevel="0" collapsed="false">
      <c r="A594" s="4" t="s">
        <v>1225</v>
      </c>
      <c r="B594" s="5" t="s">
        <v>1226</v>
      </c>
      <c r="C594" s="5" t="s">
        <v>1133</v>
      </c>
      <c r="D594" s="6"/>
      <c r="E594" s="7" t="str">
        <f aca="false">IFERROR(__xludf.dummyfunction("lower(GOOGLETRANSLATE(B594,""es"",""en""))"),"i like watching television")</f>
        <v>i like watching television</v>
      </c>
      <c r="F594" s="7" t="str">
        <f aca="false">IFERROR(__xludf.dummyfunction("lower(GOOGLETRANSLATE(A594,""en"",""es""))"),"me gusta ver la televisión")</f>
        <v>me gusta ver la televisión</v>
      </c>
      <c r="H594" s="0" t="str">
        <f aca="false">A594&amp;"|"&amp;B594</f>
        <v>i like (to) watch tv|me gusta ver la televisión</v>
      </c>
    </row>
    <row r="595" customFormat="false" ht="15.75" hidden="false" customHeight="false" outlineLevel="0" collapsed="false">
      <c r="A595" s="4" t="s">
        <v>1227</v>
      </c>
      <c r="B595" s="5" t="s">
        <v>1228</v>
      </c>
      <c r="C595" s="5" t="s">
        <v>1133</v>
      </c>
      <c r="D595" s="6"/>
      <c r="E595" s="7" t="str">
        <f aca="false">IFERROR(__xludf.dummyfunction("lower(GOOGLETRANSLATE(B595,""es"",""en""))"),"he prefers to draw")</f>
        <v>he prefers to draw</v>
      </c>
      <c r="F595" s="7" t="str">
        <f aca="false">IFERROR(__xludf.dummyfunction("lower(GOOGLETRANSLATE(A595,""en"",""es""))"),"él prefiere (a) elaborar")</f>
        <v>él prefiere (a) elaborar</v>
      </c>
      <c r="H595" s="0" t="str">
        <f aca="false">A595&amp;"|"&amp;B595</f>
        <v>he prefers (to) draw|el prefiere dibujar</v>
      </c>
    </row>
    <row r="596" customFormat="false" ht="15.75" hidden="false" customHeight="false" outlineLevel="0" collapsed="false">
      <c r="A596" s="4" t="s">
        <v>1229</v>
      </c>
      <c r="B596" s="5" t="s">
        <v>1230</v>
      </c>
      <c r="C596" s="5" t="s">
        <v>1133</v>
      </c>
      <c r="D596" s="6"/>
      <c r="E596" s="7" t="str">
        <f aca="false">IFERROR(__xludf.dummyfunction("lower(GOOGLETRANSLATE(B596,""es"",""en""))"),"he prefers to be with friends")</f>
        <v>he prefers to be with friends</v>
      </c>
      <c r="F596" s="7" t="str">
        <f aca="false">IFERROR(__xludf.dummyfunction("lower(GOOGLETRANSLATE(A596,""en"",""es""))"),"él prefiere (a) estar con los amigos")</f>
        <v>él prefiere (a) estar con los amigos</v>
      </c>
      <c r="H596" s="0" t="str">
        <f aca="false">A596&amp;"|"&amp;B596</f>
        <v>he prefers (to) be with friends|el prefiere estar con amigos</v>
      </c>
    </row>
    <row r="597" customFormat="false" ht="15.75" hidden="false" customHeight="false" outlineLevel="0" collapsed="false">
      <c r="A597" s="4" t="s">
        <v>1231</v>
      </c>
      <c r="B597" s="5" t="s">
        <v>1232</v>
      </c>
      <c r="C597" s="5" t="s">
        <v>1133</v>
      </c>
      <c r="D597" s="6"/>
      <c r="E597" s="7" t="str">
        <f aca="false">IFERROR(__xludf.dummyfunction("lower(GOOGLETRANSLATE(B597,""es"",""en""))"),"i need to play guitar")</f>
        <v>i need to play guitar</v>
      </c>
      <c r="F597" s="7" t="str">
        <f aca="false">IFERROR(__xludf.dummyfunction("lower(GOOGLETRANSLATE(A597,""en"",""es""))"),"necesito (a) tocar la guitarra")</f>
        <v>necesito (a) tocar la guitarra</v>
      </c>
      <c r="H597" s="0" t="str">
        <f aca="false">A597&amp;"|"&amp;B597</f>
        <v>i need (to) play the guitar|yo necesito tocar la guitarra</v>
      </c>
    </row>
    <row r="598" customFormat="false" ht="15.75" hidden="false" customHeight="false" outlineLevel="0" collapsed="false">
      <c r="A598" s="4" t="s">
        <v>1144</v>
      </c>
      <c r="B598" s="5" t="s">
        <v>1145</v>
      </c>
      <c r="C598" s="5" t="s">
        <v>1133</v>
      </c>
      <c r="D598" s="6"/>
      <c r="E598" s="7" t="str">
        <f aca="false">IFERROR(__xludf.dummyfunction("lower(GOOGLETRANSLATE(B598,""es"",""en""))"),"she is skating")</f>
        <v>she is skating</v>
      </c>
      <c r="F598" s="7" t="str">
        <f aca="false">IFERROR(__xludf.dummyfunction("lower(GOOGLETRANSLATE(A598,""en"",""es""))"),"ella tiene que patinar (a)")</f>
        <v>ella tiene que patinar (a)</v>
      </c>
      <c r="H598" s="0" t="str">
        <f aca="false">A598&amp;"|"&amp;B598</f>
        <v>she has to (to) skate|ella tiene patinar</v>
      </c>
    </row>
    <row r="599" customFormat="false" ht="15.75" hidden="false" customHeight="false" outlineLevel="0" collapsed="false">
      <c r="A599" s="4" t="s">
        <v>1233</v>
      </c>
      <c r="B599" s="5" t="s">
        <v>1234</v>
      </c>
      <c r="C599" s="5" t="s">
        <v>1133</v>
      </c>
      <c r="D599" s="6"/>
      <c r="E599" s="7" t="str">
        <f aca="false">IFERROR(__xludf.dummyfunction("lower(GOOGLETRANSLATE(B599,""es"",""en""))"),"you know your cooking")</f>
        <v>you know your cooking</v>
      </c>
      <c r="F599" s="7" t="str">
        <f aca="false">IFERROR(__xludf.dummyfunction("lower(GOOGLETRANSLATE(A599,""en"",""es""))"),"usted sabe (a) cocinar")</f>
        <v>usted sabe (a) cocinar</v>
      </c>
      <c r="H599" s="0" t="str">
        <f aca="false">A599&amp;"|"&amp;B599</f>
        <v>you know (to) cook|tú sabes cocinar</v>
      </c>
    </row>
    <row r="600" customFormat="false" ht="15.75" hidden="false" customHeight="false" outlineLevel="0" collapsed="false">
      <c r="A600" s="4" t="s">
        <v>1235</v>
      </c>
      <c r="B600" s="5" t="s">
        <v>1236</v>
      </c>
      <c r="C600" s="5" t="s">
        <v>1133</v>
      </c>
      <c r="D600" s="6"/>
      <c r="E600" s="7" t="str">
        <f aca="false">IFERROR(__xludf.dummyfunction("lower(GOOGLETRANSLATE(B600,""es"",""en""))"),"i will cook")</f>
        <v>i will cook</v>
      </c>
      <c r="F600" s="7" t="str">
        <f aca="false">IFERROR(__xludf.dummyfunction("lower(GOOGLETRANSLATE(A600,""en"",""es""))"),"voy a (a) cocinar")</f>
        <v>voy a (a) cocinar</v>
      </c>
      <c r="H600" s="0" t="str">
        <f aca="false">A600&amp;"|"&amp;B600</f>
        <v>i am going to (to) cook|yo voy a cocinar</v>
      </c>
    </row>
    <row r="601" customFormat="false" ht="15.75" hidden="false" customHeight="false" outlineLevel="0" collapsed="false">
      <c r="A601" s="4" t="s">
        <v>1237</v>
      </c>
      <c r="B601" s="5" t="s">
        <v>1238</v>
      </c>
      <c r="C601" s="5" t="s">
        <v>1133</v>
      </c>
      <c r="D601" s="6"/>
      <c r="E601" s="7" t="str">
        <f aca="false">IFERROR(__xludf.dummyfunction("lower(GOOGLETRANSLATE(B601,""es"",""en""))"),"she can draw")</f>
        <v>she can draw</v>
      </c>
      <c r="F601" s="7" t="str">
        <f aca="false">IFERROR(__xludf.dummyfunction("lower(GOOGLETRANSLATE(A601,""en"",""es""))"),"ella puede (a) elaborar")</f>
        <v>ella puede (a) elaborar</v>
      </c>
      <c r="H601" s="0" t="str">
        <f aca="false">A601&amp;"|"&amp;B601</f>
        <v>she can (to) draw|ella puede dibujar</v>
      </c>
    </row>
    <row r="602" customFormat="false" ht="15.75" hidden="false" customHeight="false" outlineLevel="0" collapsed="false">
      <c r="A602" s="4" t="s">
        <v>1239</v>
      </c>
      <c r="B602" s="5" t="s">
        <v>1240</v>
      </c>
      <c r="C602" s="5" t="s">
        <v>1133</v>
      </c>
      <c r="D602" s="6"/>
      <c r="E602" s="7" t="str">
        <f aca="false">IFERROR(__xludf.dummyfunction("lower(GOOGLETRANSLATE(B602,""es"",""en""))"),"i have to talk")</f>
        <v>i have to talk</v>
      </c>
      <c r="F602" s="7" t="str">
        <f aca="false">IFERROR(__xludf.dummyfunction("lower(GOOGLETRANSLATE(A602,""en"",""es""))"),"tengo que hablar (a)")</f>
        <v>tengo que hablar (a)</v>
      </c>
      <c r="H602" s="0" t="str">
        <f aca="false">A602&amp;"|"&amp;B602</f>
        <v>i have to (to) talk|yo tengo que hablar</v>
      </c>
    </row>
    <row r="603" customFormat="false" ht="15.75" hidden="false" customHeight="false" outlineLevel="0" collapsed="false">
      <c r="A603" s="4" t="s">
        <v>1241</v>
      </c>
      <c r="B603" s="5" t="s">
        <v>1242</v>
      </c>
      <c r="C603" s="5" t="s">
        <v>1133</v>
      </c>
      <c r="D603" s="6"/>
      <c r="E603" s="7" t="str">
        <f aca="false">IFERROR(__xludf.dummyfunction("lower(GOOGLETRANSLATE(B603,""es"",""en""))"),"she wants to write")</f>
        <v>she wants to write</v>
      </c>
      <c r="F603" s="7" t="str">
        <f aca="false">IFERROR(__xludf.dummyfunction("lower(GOOGLETRANSLATE(A603,""en"",""es""))"),"ella quiere (a) de escritura")</f>
        <v>ella quiere (a) de escritura</v>
      </c>
      <c r="H603" s="0" t="str">
        <f aca="false">A603&amp;"|"&amp;B603</f>
        <v>she wants (to) write|ella quiere escribir</v>
      </c>
    </row>
    <row r="604" customFormat="false" ht="15.75" hidden="false" customHeight="false" outlineLevel="0" collapsed="false">
      <c r="A604" s="4" t="s">
        <v>1243</v>
      </c>
      <c r="B604" s="5" t="s">
        <v>1244</v>
      </c>
      <c r="C604" s="5" t="s">
        <v>1133</v>
      </c>
      <c r="D604" s="6"/>
      <c r="E604" s="7" t="str">
        <f aca="false">IFERROR(__xludf.dummyfunction("lower(GOOGLETRANSLATE(B604,""es"",""en""))"),"you want to skate")</f>
        <v>you want to skate</v>
      </c>
      <c r="F604" s="7" t="str">
        <f aca="false">IFERROR(__xludf.dummyfunction("lower(GOOGLETRANSLATE(A604,""en"",""es""))"),"que quiere (a) patín")</f>
        <v>que quiere (a) patín</v>
      </c>
      <c r="H604" s="0" t="str">
        <f aca="false">A604&amp;"|"&amp;B604</f>
        <v>you want (to) skate|tú quieres patinar</v>
      </c>
    </row>
    <row r="605" customFormat="false" ht="15.75" hidden="false" customHeight="false" outlineLevel="0" collapsed="false">
      <c r="A605" s="4" t="s">
        <v>1245</v>
      </c>
      <c r="B605" s="5" t="s">
        <v>1246</v>
      </c>
      <c r="C605" s="5" t="s">
        <v>1133</v>
      </c>
      <c r="D605" s="6"/>
      <c r="E605" s="7" t="str">
        <f aca="false">IFERROR(__xludf.dummyfunction("lower(GOOGLETRANSLATE(B605,""es"",""en""))"),"you need to watch tv")</f>
        <v>you need to watch tv</v>
      </c>
      <c r="F605" s="7" t="str">
        <f aca="false">IFERROR(__xludf.dummyfunction("lower(GOOGLETRANSLATE(A605,""en"",""es""))"),"que necesita (a) ver la televisión")</f>
        <v>que necesita (a) ver la televisión</v>
      </c>
      <c r="H605" s="0" t="str">
        <f aca="false">A605&amp;"|"&amp;B605</f>
        <v>you need (to) watch tv|tú necesitas ver la televisión</v>
      </c>
    </row>
    <row r="606" customFormat="false" ht="15.75" hidden="false" customHeight="false" outlineLevel="0" collapsed="false">
      <c r="A606" s="4" t="s">
        <v>1247</v>
      </c>
      <c r="B606" s="5" t="s">
        <v>1248</v>
      </c>
      <c r="C606" s="5" t="s">
        <v>1133</v>
      </c>
      <c r="D606" s="6"/>
      <c r="E606" s="7" t="str">
        <f aca="false">IFERROR(__xludf.dummyfunction("lower(GOOGLETRANSLATE(B606,""es"",""en""))"),"he knows music")</f>
        <v>he knows music</v>
      </c>
      <c r="F606" s="7" t="str">
        <f aca="false">IFERROR(__xludf.dummyfunction("lower(GOOGLETRANSLATE(A606,""en"",""es""))"),"él sabe (a) escuchar (a) la música")</f>
        <v>él sabe (a) escuchar (a) la música</v>
      </c>
      <c r="H606" s="0" t="str">
        <f aca="false">A606&amp;"|"&amp;B606</f>
        <v>he knows (to) listen (to) music|el sabe escuchar música</v>
      </c>
    </row>
    <row r="607" customFormat="false" ht="15.75" hidden="false" customHeight="false" outlineLevel="0" collapsed="false">
      <c r="A607" s="4" t="s">
        <v>1249</v>
      </c>
      <c r="B607" s="5" t="s">
        <v>1250</v>
      </c>
      <c r="C607" s="5" t="s">
        <v>1133</v>
      </c>
      <c r="D607" s="6"/>
      <c r="E607" s="7" t="str">
        <f aca="false">IFERROR(__xludf.dummyfunction("lower(GOOGLETRANSLATE(B607,""es"",""en""))"),"the go skating")</f>
        <v>the go skating</v>
      </c>
      <c r="F607" s="7" t="str">
        <f aca="false">IFERROR(__xludf.dummyfunction("lower(GOOGLETRANSLATE(A607,""en"",""es""))"),"que va a patinar sobre (a)")</f>
        <v>que va a patinar sobre (a)</v>
      </c>
      <c r="H607" s="0" t="str">
        <f aca="false">A607&amp;"|"&amp;B607</f>
        <v>he is going to (to) skate|el va a patinar</v>
      </c>
    </row>
    <row r="608" customFormat="false" ht="15.75" hidden="false" customHeight="false" outlineLevel="0" collapsed="false">
      <c r="A608" s="4" t="s">
        <v>1251</v>
      </c>
      <c r="B608" s="5" t="s">
        <v>1252</v>
      </c>
      <c r="C608" s="5" t="s">
        <v>1133</v>
      </c>
      <c r="D608" s="6"/>
      <c r="E608" s="7" t="str">
        <f aca="false">IFERROR(__xludf.dummyfunction("lower(GOOGLETRANSLATE(B608,""es"",""en""))"),"i have to help at home")</f>
        <v>i have to help at home</v>
      </c>
      <c r="F608" s="7" t="str">
        <f aca="false">IFERROR(__xludf.dummyfunction("lower(GOOGLETRANSLATE(A608,""en"",""es""))"),"tengo que ayudar (a) alrededor de la casa")</f>
        <v>tengo que ayudar (a) alrededor de la casa</v>
      </c>
      <c r="H608" s="0" t="str">
        <f aca="false">A608&amp;"|"&amp;B608</f>
        <v>i have to (to) help around the house|yo tengo que ayudar en casa</v>
      </c>
    </row>
    <row r="609" customFormat="false" ht="15.75" hidden="false" customHeight="false" outlineLevel="0" collapsed="false">
      <c r="A609" s="4" t="s">
        <v>1164</v>
      </c>
      <c r="B609" s="5" t="s">
        <v>1165</v>
      </c>
      <c r="C609" s="5" t="s">
        <v>1133</v>
      </c>
      <c r="D609" s="6"/>
      <c r="E609" s="7" t="str">
        <f aca="false">IFERROR(__xludf.dummyfunction("lower(GOOGLETRANSLATE(B609,""es"",""en""))"),"he will go to school")</f>
        <v>he will go to school</v>
      </c>
      <c r="F609" s="7" t="str">
        <f aca="false">IFERROR(__xludf.dummyfunction("lower(GOOGLETRANSLATE(A609,""en"",""es""))"),"que va a (a) ir (a) de la escuela")</f>
        <v>que va a (a) ir (a) de la escuela</v>
      </c>
      <c r="H609" s="0" t="str">
        <f aca="false">A609&amp;"|"&amp;B609</f>
        <v>he is going to (to) go (to) school|el va a ir a la escuela</v>
      </c>
    </row>
    <row r="610" customFormat="false" ht="15.75" hidden="false" customHeight="false" outlineLevel="0" collapsed="false">
      <c r="A610" s="4" t="s">
        <v>1253</v>
      </c>
      <c r="B610" s="5" t="s">
        <v>1254</v>
      </c>
      <c r="C610" s="5" t="s">
        <v>1133</v>
      </c>
      <c r="D610" s="6"/>
      <c r="E610" s="7" t="str">
        <f aca="false">IFERROR(__xludf.dummyfunction("lower(GOOGLETRANSLATE(B610,""es"",""en""))"),"he has done")</f>
        <v>he has done</v>
      </c>
      <c r="F610" s="7" t="str">
        <f aca="false">IFERROR(__xludf.dummyfunction("lower(GOOGLETRANSLATE(A610,""en"",""es""))"),"que tiene que (a) hacer")</f>
        <v>que tiene que (a) hacer</v>
      </c>
      <c r="H610" s="0" t="str">
        <f aca="false">A610&amp;"|"&amp;B610</f>
        <v>he has to (to) do|el tiene hacer</v>
      </c>
    </row>
    <row r="611" customFormat="false" ht="15.75" hidden="false" customHeight="false" outlineLevel="0" collapsed="false">
      <c r="A611" s="4" t="s">
        <v>1255</v>
      </c>
      <c r="B611" s="5" t="s">
        <v>1256</v>
      </c>
      <c r="C611" s="5" t="s">
        <v>1133</v>
      </c>
      <c r="D611" s="6"/>
      <c r="E611" s="7" t="str">
        <f aca="false">IFERROR(__xludf.dummyfunction("lower(GOOGLETRANSLATE(B611,""es"",""en""))"),"i want to listen to music")</f>
        <v>i want to listen to music</v>
      </c>
      <c r="F611" s="7" t="str">
        <f aca="false">IFERROR(__xludf.dummyfunction("lower(GOOGLETRANSLATE(A611,""en"",""es""))"),"quiero escuchar musica")</f>
        <v>quiero escuchar musica</v>
      </c>
      <c r="H611" s="0" t="str">
        <f aca="false">A611&amp;"|"&amp;B611</f>
        <v>i want (to) listen (to) music|yo quiero escuchar música</v>
      </c>
    </row>
    <row r="612" customFormat="false" ht="15.75" hidden="false" customHeight="false" outlineLevel="0" collapsed="false">
      <c r="A612" s="4" t="s">
        <v>1257</v>
      </c>
      <c r="B612" s="5" t="s">
        <v>1132</v>
      </c>
      <c r="C612" s="5" t="s">
        <v>1133</v>
      </c>
      <c r="D612" s="6"/>
      <c r="E612" s="7" t="str">
        <f aca="false">IFERROR(__xludf.dummyfunction("lower(GOOGLETRANSLATE(B612,""es"",""en""))"),"he likes to be with friends")</f>
        <v>he likes to be with friends</v>
      </c>
      <c r="F612" s="7" t="str">
        <f aca="false">IFERROR(__xludf.dummyfunction("lower(GOOGLETRANSLATE(A612,""en"",""es""))"),"que le gusta (a) estar con los amigos")</f>
        <v>que le gusta (a) estar con los amigos</v>
      </c>
      <c r="H612" s="0" t="str">
        <f aca="false">A612&amp;"|"&amp;B612</f>
        <v>he likes (to) be with friends|le gusta estar con amigos</v>
      </c>
    </row>
    <row r="613" customFormat="false" ht="15.75" hidden="false" customHeight="false" outlineLevel="0" collapsed="false">
      <c r="A613" s="4" t="s">
        <v>1258</v>
      </c>
      <c r="B613" s="5" t="s">
        <v>1259</v>
      </c>
      <c r="C613" s="5" t="s">
        <v>1133</v>
      </c>
      <c r="D613" s="6"/>
      <c r="E613" s="7" t="str">
        <f aca="false">IFERROR(__xludf.dummyfunction("lower(GOOGLETRANSLATE(B613,""es"",""en""))"),"he wants to play guitar")</f>
        <v>he wants to play guitar</v>
      </c>
      <c r="F613" s="7" t="str">
        <f aca="false">IFERROR(__xludf.dummyfunction("lower(GOOGLETRANSLATE(A613,""en"",""es""))"),"él quiere (a) tocar la guitarra")</f>
        <v>él quiere (a) tocar la guitarra</v>
      </c>
      <c r="H613" s="0" t="str">
        <f aca="false">A613&amp;"|"&amp;B613</f>
        <v>he wants (to) play the guitar|el quiere tocar la guitarra</v>
      </c>
    </row>
    <row r="614" customFormat="false" ht="15.75" hidden="false" customHeight="false" outlineLevel="0" collapsed="false">
      <c r="A614" s="4" t="s">
        <v>1260</v>
      </c>
      <c r="B614" s="5" t="s">
        <v>1261</v>
      </c>
      <c r="C614" s="5" t="s">
        <v>1133</v>
      </c>
      <c r="D614" s="6"/>
      <c r="E614" s="7" t="str">
        <f aca="false">IFERROR(__xludf.dummyfunction("lower(GOOGLETRANSLATE(B614,""es"",""en""))"),"she prefers to write")</f>
        <v>she prefers to write</v>
      </c>
      <c r="F614" s="7" t="str">
        <f aca="false">IFERROR(__xludf.dummyfunction("lower(GOOGLETRANSLATE(A614,""en"",""es""))"),"ella prefiere (a) de escritura")</f>
        <v>ella prefiere (a) de escritura</v>
      </c>
      <c r="H614" s="0" t="str">
        <f aca="false">A614&amp;"|"&amp;B614</f>
        <v>she prefers (to) write|ella prefiere escribir</v>
      </c>
    </row>
    <row r="615" customFormat="false" ht="15.75" hidden="false" customHeight="false" outlineLevel="0" collapsed="false">
      <c r="A615" s="4" t="s">
        <v>1262</v>
      </c>
      <c r="B615" s="5" t="s">
        <v>1263</v>
      </c>
      <c r="C615" s="5" t="s">
        <v>1133</v>
      </c>
      <c r="D615" s="6"/>
      <c r="E615" s="7" t="str">
        <f aca="false">IFERROR(__xludf.dummyfunction("lower(GOOGLETRANSLATE(B615,""es"",""en""))"),"i like being with friends")</f>
        <v>i like being with friends</v>
      </c>
      <c r="F615" s="7" t="str">
        <f aca="false">IFERROR(__xludf.dummyfunction("lower(GOOGLETRANSLATE(A615,""en"",""es""))"),"me gusta (a) estar con los amigos")</f>
        <v>me gusta (a) estar con los amigos</v>
      </c>
      <c r="H615" s="0" t="str">
        <f aca="false">A615&amp;"|"&amp;B615</f>
        <v>i like (to) be with friends|me gusta estar con amigos</v>
      </c>
    </row>
    <row r="616" customFormat="false" ht="15.75" hidden="false" customHeight="false" outlineLevel="0" collapsed="false">
      <c r="A616" s="4" t="s">
        <v>1264</v>
      </c>
      <c r="B616" s="5" t="s">
        <v>1265</v>
      </c>
      <c r="C616" s="5" t="s">
        <v>1133</v>
      </c>
      <c r="D616" s="6"/>
      <c r="E616" s="7" t="str">
        <f aca="false">IFERROR(__xludf.dummyfunction("lower(GOOGLETRANSLATE(B616,""es"",""en""))"),"you have to listen to music")</f>
        <v>you have to listen to music</v>
      </c>
      <c r="F616" s="7" t="str">
        <f aca="false">IFERROR(__xludf.dummyfunction("lower(GOOGLETRANSLATE(A616,""en"",""es""))"),"usted tiene que (a) escuchar (a) la música")</f>
        <v>usted tiene que (a) escuchar (a) la música</v>
      </c>
      <c r="H616" s="0" t="str">
        <f aca="false">A616&amp;"|"&amp;B616</f>
        <v>you have to (to) listen (to) music|tú tienes que escuchar música</v>
      </c>
    </row>
    <row r="617" customFormat="false" ht="15.75" hidden="false" customHeight="false" outlineLevel="0" collapsed="false">
      <c r="A617" s="4" t="s">
        <v>1152</v>
      </c>
      <c r="B617" s="5" t="s">
        <v>1153</v>
      </c>
      <c r="C617" s="5" t="s">
        <v>1133</v>
      </c>
      <c r="D617" s="6"/>
      <c r="E617" s="7" t="str">
        <f aca="false">IFERROR(__xludf.dummyfunction("lower(GOOGLETRANSLATE(B617,""es"",""en""))"),"she can swim")</f>
        <v>she can swim</v>
      </c>
      <c r="F617" s="7" t="str">
        <f aca="false">IFERROR(__xludf.dummyfunction("lower(GOOGLETRANSLATE(A617,""en"",""es""))"),"que puede (a) de natación")</f>
        <v>que puede (a) de natación</v>
      </c>
      <c r="H617" s="0" t="str">
        <f aca="false">A617&amp;"|"&amp;B617</f>
        <v>she can (to) swim|ella puede nadar</v>
      </c>
    </row>
    <row r="618" customFormat="false" ht="15.75" hidden="false" customHeight="false" outlineLevel="0" collapsed="false">
      <c r="A618" s="4" t="s">
        <v>1266</v>
      </c>
      <c r="B618" s="5" t="s">
        <v>1267</v>
      </c>
      <c r="C618" s="5" t="s">
        <v>1133</v>
      </c>
      <c r="D618" s="6"/>
      <c r="E618" s="7" t="str">
        <f aca="false">IFERROR(__xludf.dummyfunction("lower(GOOGLETRANSLATE(B618,""es"",""en""))"),"she needs to talk")</f>
        <v>she needs to talk</v>
      </c>
      <c r="F618" s="7" t="str">
        <f aca="false">IFERROR(__xludf.dummyfunction("lower(GOOGLETRANSLATE(A618,""en"",""es""))"),"ella necesita hablar (a)")</f>
        <v>ella necesita hablar (a)</v>
      </c>
      <c r="H618" s="0" t="str">
        <f aca="false">A618&amp;"|"&amp;B618</f>
        <v>she needs (to) talk|ella necesita hablar</v>
      </c>
    </row>
    <row r="619" customFormat="false" ht="15.75" hidden="false" customHeight="false" outlineLevel="0" collapsed="false">
      <c r="A619" s="4" t="s">
        <v>1268</v>
      </c>
      <c r="B619" s="5" t="s">
        <v>1269</v>
      </c>
      <c r="C619" s="5" t="s">
        <v>1133</v>
      </c>
      <c r="D619" s="6"/>
      <c r="E619" s="7" t="str">
        <f aca="false">IFERROR(__xludf.dummyfunction("lower(GOOGLETRANSLATE(B619,""es"",""en""))"),"you have to talk")</f>
        <v>you have to talk</v>
      </c>
      <c r="F619" s="7" t="str">
        <f aca="false">IFERROR(__xludf.dummyfunction("lower(GOOGLETRANSLATE(A619,""en"",""es""))"),"hay que hablar (a)")</f>
        <v>hay que hablar (a)</v>
      </c>
      <c r="H619" s="0" t="str">
        <f aca="false">A619&amp;"|"&amp;B619</f>
        <v>you have to (to) talk|tú tienes que hablar</v>
      </c>
    </row>
    <row r="620" customFormat="false" ht="15.75" hidden="false" customHeight="false" outlineLevel="0" collapsed="false">
      <c r="A620" s="4" t="s">
        <v>1270</v>
      </c>
      <c r="B620" s="5" t="s">
        <v>1271</v>
      </c>
      <c r="C620" s="5" t="s">
        <v>1133</v>
      </c>
      <c r="D620" s="6"/>
      <c r="E620" s="7" t="str">
        <f aca="false">IFERROR(__xludf.dummyfunction("lower(GOOGLETRANSLATE(B620,""es"",""en""))"),"she needs to listen to music")</f>
        <v>she needs to listen to music</v>
      </c>
      <c r="F620" s="7" t="str">
        <f aca="false">IFERROR(__xludf.dummyfunction("lower(GOOGLETRANSLATE(A620,""en"",""es""))"),"ella necesita (a) escuchar (a) la música")</f>
        <v>ella necesita (a) escuchar (a) la música</v>
      </c>
      <c r="H620" s="0" t="str">
        <f aca="false">A620&amp;"|"&amp;B620</f>
        <v>she needs (to) listen (to) music|ella necesita escuchar música</v>
      </c>
    </row>
    <row r="621" customFormat="false" ht="15.75" hidden="false" customHeight="false" outlineLevel="0" collapsed="false">
      <c r="A621" s="4" t="s">
        <v>1272</v>
      </c>
      <c r="B621" s="5" t="s">
        <v>1273</v>
      </c>
      <c r="C621" s="5" t="s">
        <v>1133</v>
      </c>
      <c r="D621" s="6"/>
      <c r="E621" s="7" t="str">
        <f aca="false">IFERROR(__xludf.dummyfunction("lower(GOOGLETRANSLATE(B621,""es"",""en""))"),"she is studying")</f>
        <v>she is studying</v>
      </c>
      <c r="F621" s="7" t="str">
        <f aca="false">IFERROR(__xludf.dummyfunction("lower(GOOGLETRANSLATE(A621,""en"",""es""))"),"ella tiene que estudio (a)")</f>
        <v>ella tiene que estudio (a)</v>
      </c>
      <c r="H621" s="0" t="str">
        <f aca="false">A621&amp;"|"&amp;B621</f>
        <v>she has to (to) study|ella tiene estudiar</v>
      </c>
    </row>
    <row r="622" customFormat="false" ht="15.75" hidden="false" customHeight="false" outlineLevel="0" collapsed="false">
      <c r="A622" s="4" t="s">
        <v>1239</v>
      </c>
      <c r="B622" s="5" t="s">
        <v>1240</v>
      </c>
      <c r="C622" s="5" t="s">
        <v>1133</v>
      </c>
      <c r="D622" s="6"/>
      <c r="E622" s="7" t="str">
        <f aca="false">IFERROR(__xludf.dummyfunction("lower(GOOGLETRANSLATE(B622,""es"",""en""))"),"i have to talk")</f>
        <v>i have to talk</v>
      </c>
      <c r="F622" s="7" t="str">
        <f aca="false">IFERROR(__xludf.dummyfunction("lower(GOOGLETRANSLATE(A622,""en"",""es""))"),"tengo que hablar (a)")</f>
        <v>tengo que hablar (a)</v>
      </c>
      <c r="H622" s="0" t="str">
        <f aca="false">A622&amp;"|"&amp;B622</f>
        <v>i have to (to) talk|yo tengo que hablar</v>
      </c>
    </row>
    <row r="623" customFormat="false" ht="15.75" hidden="false" customHeight="false" outlineLevel="0" collapsed="false">
      <c r="A623" s="4" t="s">
        <v>1235</v>
      </c>
      <c r="B623" s="5" t="s">
        <v>1236</v>
      </c>
      <c r="C623" s="5" t="s">
        <v>1133</v>
      </c>
      <c r="D623" s="6"/>
      <c r="E623" s="7" t="str">
        <f aca="false">IFERROR(__xludf.dummyfunction("lower(GOOGLETRANSLATE(B623,""es"",""en""))"),"i will cook")</f>
        <v>i will cook</v>
      </c>
      <c r="F623" s="7" t="str">
        <f aca="false">IFERROR(__xludf.dummyfunction("lower(GOOGLETRANSLATE(A623,""en"",""es""))"),"voy a (a) cocinar")</f>
        <v>voy a (a) cocinar</v>
      </c>
      <c r="H623" s="0" t="str">
        <f aca="false">A623&amp;"|"&amp;B623</f>
        <v>i am going to (to) cook|yo voy a cocinar</v>
      </c>
    </row>
    <row r="624" customFormat="false" ht="15.75" hidden="false" customHeight="false" outlineLevel="0" collapsed="false">
      <c r="A624" s="4" t="s">
        <v>1274</v>
      </c>
      <c r="B624" s="5" t="s">
        <v>1275</v>
      </c>
      <c r="C624" s="5" t="s">
        <v>1133</v>
      </c>
      <c r="D624" s="6"/>
      <c r="E624" s="7" t="str">
        <f aca="false">IFERROR(__xludf.dummyfunction("lower(GOOGLETRANSLATE(B624,""es"",""en""))"),"you want to be with friends")</f>
        <v>you want to be with friends</v>
      </c>
      <c r="F624" s="7" t="str">
        <f aca="false">IFERROR(__xludf.dummyfunction("lower(GOOGLETRANSLATE(A624,""en"",""es""))"),"que quiere (a) estar con los amigos")</f>
        <v>que quiere (a) estar con los amigos</v>
      </c>
      <c r="H624" s="0" t="str">
        <f aca="false">A624&amp;"|"&amp;B624</f>
        <v>you want (to) be with friends|tú quieres estar con amigos</v>
      </c>
    </row>
    <row r="625" customFormat="false" ht="15.75" hidden="false" customHeight="false" outlineLevel="0" collapsed="false">
      <c r="A625" s="4" t="s">
        <v>1162</v>
      </c>
      <c r="B625" s="5" t="s">
        <v>1163</v>
      </c>
      <c r="C625" s="5" t="s">
        <v>1133</v>
      </c>
      <c r="D625" s="6"/>
      <c r="E625" s="7" t="str">
        <f aca="false">IFERROR(__xludf.dummyfunction("lower(GOOGLETRANSLATE(B625,""es"",""en""))"),"you're going to be with friends")</f>
        <v>you're going to be with friends</v>
      </c>
      <c r="F625" s="7" t="str">
        <f aca="false">IFERROR(__xludf.dummyfunction("lower(GOOGLETRANSLATE(A625,""en"",""es""))"),"vas a (a) estar con los amigos")</f>
        <v>vas a (a) estar con los amigos</v>
      </c>
      <c r="H625" s="0" t="str">
        <f aca="false">A625&amp;"|"&amp;B625</f>
        <v>you are going to (to) be with friends|tú vas a estar con amigos</v>
      </c>
    </row>
    <row r="626" customFormat="false" ht="15.75" hidden="false" customHeight="false" outlineLevel="0" collapsed="false">
      <c r="A626" s="4" t="s">
        <v>1276</v>
      </c>
      <c r="B626" s="5" t="s">
        <v>1277</v>
      </c>
      <c r="C626" s="5" t="s">
        <v>1133</v>
      </c>
      <c r="D626" s="6"/>
      <c r="E626" s="7" t="str">
        <f aca="false">IFERROR(__xludf.dummyfunction("lower(GOOGLETRANSLATE(B626,""es"",""en""))"),"you need to cook")</f>
        <v>you need to cook</v>
      </c>
      <c r="F626" s="7" t="str">
        <f aca="false">IFERROR(__xludf.dummyfunction("lower(GOOGLETRANSLATE(A626,""en"",""es""))"),"que necesita (a) de cocinar")</f>
        <v>que necesita (a) de cocinar</v>
      </c>
      <c r="H626" s="0" t="str">
        <f aca="false">A626&amp;"|"&amp;B626</f>
        <v>you need (to) cook|tú necesitas cocinar</v>
      </c>
    </row>
    <row r="627" customFormat="false" ht="15.75" hidden="false" customHeight="false" outlineLevel="0" collapsed="false">
      <c r="A627" s="4" t="s">
        <v>1278</v>
      </c>
      <c r="B627" s="5" t="s">
        <v>1279</v>
      </c>
      <c r="C627" s="5" t="s">
        <v>1133</v>
      </c>
      <c r="D627" s="6"/>
      <c r="E627" s="7" t="str">
        <f aca="false">IFERROR(__xludf.dummyfunction("lower(GOOGLETRANSLATE(B627,""es"",""en""))"),"you want to do")</f>
        <v>you want to do</v>
      </c>
      <c r="F627" s="7" t="str">
        <f aca="false">IFERROR(__xludf.dummyfunction("lower(GOOGLETRANSLATE(A627,""en"",""es""))"),"quieres hacer")</f>
        <v>quieres hacer</v>
      </c>
      <c r="H627" s="0" t="str">
        <f aca="false">A627&amp;"|"&amp;B627</f>
        <v>you want (to) do|tú quieres hacer</v>
      </c>
    </row>
    <row r="628" customFormat="false" ht="15.75" hidden="false" customHeight="false" outlineLevel="0" collapsed="false">
      <c r="A628" s="4" t="s">
        <v>1280</v>
      </c>
      <c r="B628" s="5" t="s">
        <v>1281</v>
      </c>
      <c r="C628" s="5" t="s">
        <v>1133</v>
      </c>
      <c r="D628" s="6"/>
      <c r="E628" s="7" t="str">
        <f aca="false">IFERROR(__xludf.dummyfunction("lower(GOOGLETRANSLATE(B628,""es"",""en""))"),"he has to go to the cinema")</f>
        <v>he has to go to the cinema</v>
      </c>
      <c r="F628" s="7" t="str">
        <f aca="false">IFERROR(__xludf.dummyfunction("lower(GOOGLETRANSLATE(A628,""en"",""es""))"),"que tiene que (a) ir (a) las películas")</f>
        <v>que tiene que (a) ir (a) las películas</v>
      </c>
      <c r="H628" s="0" t="str">
        <f aca="false">A628&amp;"|"&amp;B628</f>
        <v>he has to (to) go (to) the movies|el tiene ir al cine</v>
      </c>
    </row>
    <row r="629" customFormat="false" ht="15.75" hidden="false" customHeight="false" outlineLevel="0" collapsed="false">
      <c r="A629" s="4" t="s">
        <v>1282</v>
      </c>
      <c r="B629" s="5" t="s">
        <v>1283</v>
      </c>
      <c r="C629" s="5" t="s">
        <v>1133</v>
      </c>
      <c r="D629" s="6"/>
      <c r="E629" s="7" t="str">
        <f aca="false">IFERROR(__xludf.dummyfunction("lower(GOOGLETRANSLATE(B629,""es"",""en""))"),"she can help at home")</f>
        <v>she can help at home</v>
      </c>
      <c r="F629" s="7" t="str">
        <f aca="false">IFERROR(__xludf.dummyfunction("lower(GOOGLETRANSLATE(A629,""en"",""es""))"),"que puede (a) ayuda en la casa")</f>
        <v>que puede (a) ayuda en la casa</v>
      </c>
      <c r="H629" s="0" t="str">
        <f aca="false">A629&amp;"|"&amp;B629</f>
        <v>she can (to) help around the house|ella puede ayudar en casa</v>
      </c>
    </row>
    <row r="630" customFormat="false" ht="15.75" hidden="false" customHeight="false" outlineLevel="0" collapsed="false">
      <c r="A630" s="4" t="s">
        <v>1284</v>
      </c>
      <c r="B630" s="5" t="s">
        <v>1285</v>
      </c>
      <c r="C630" s="5" t="s">
        <v>1133</v>
      </c>
      <c r="D630" s="6"/>
      <c r="E630" s="7" t="str">
        <f aca="false">IFERROR(__xludf.dummyfunction("lower(GOOGLETRANSLATE(B630,""es"",""en""))"),"she wants to watch tv")</f>
        <v>she wants to watch tv</v>
      </c>
      <c r="F630" s="7" t="str">
        <f aca="false">IFERROR(__xludf.dummyfunction("lower(GOOGLETRANSLATE(A630,""en"",""es""))"),"ella quiere (a) ver la televisión")</f>
        <v>ella quiere (a) ver la televisión</v>
      </c>
      <c r="H630" s="0" t="str">
        <f aca="false">A630&amp;"|"&amp;B630</f>
        <v>she wants (to) watch tv|ella quiere ver la televisión</v>
      </c>
    </row>
    <row r="631" customFormat="false" ht="15.75" hidden="false" customHeight="false" outlineLevel="0" collapsed="false">
      <c r="A631" s="4" t="s">
        <v>1286</v>
      </c>
      <c r="B631" s="5" t="s">
        <v>1287</v>
      </c>
      <c r="C631" s="5" t="s">
        <v>1133</v>
      </c>
      <c r="D631" s="6"/>
      <c r="E631" s="7" t="str">
        <f aca="false">IFERROR(__xludf.dummyfunction("lower(GOOGLETRANSLATE(B631,""es"",""en""))"),"she can watch tv")</f>
        <v>she can watch tv</v>
      </c>
      <c r="F631" s="7" t="str">
        <f aca="false">IFERROR(__xludf.dummyfunction("lower(GOOGLETRANSLATE(A631,""en"",""es""))"),"que puede (a) ver la televisión")</f>
        <v>que puede (a) ver la televisión</v>
      </c>
      <c r="H631" s="0" t="str">
        <f aca="false">A631&amp;"|"&amp;B631</f>
        <v>she can (to) watch tv|ella puede ver la televisión</v>
      </c>
    </row>
    <row r="632" customFormat="false" ht="15.75" hidden="false" customHeight="false" outlineLevel="0" collapsed="false">
      <c r="A632" s="4" t="s">
        <v>1288</v>
      </c>
      <c r="B632" s="5" t="s">
        <v>1289</v>
      </c>
      <c r="C632" s="5" t="s">
        <v>1133</v>
      </c>
      <c r="D632" s="6"/>
      <c r="E632" s="7" t="str">
        <f aca="false">IFERROR(__xludf.dummyfunction("lower(GOOGLETRANSLATE(B632,""es"",""en""))"),"he likes to paint")</f>
        <v>he likes to paint</v>
      </c>
      <c r="F632" s="7" t="str">
        <f aca="false">IFERROR(__xludf.dummyfunction("lower(GOOGLETRANSLATE(A632,""en"",""es""))"),"que le gusta (a) pintar")</f>
        <v>que le gusta (a) pintar</v>
      </c>
      <c r="H632" s="0" t="str">
        <f aca="false">A632&amp;"|"&amp;B632</f>
        <v>he likes (to) paint|le gusta pintar</v>
      </c>
    </row>
    <row r="633" customFormat="false" ht="15.75" hidden="false" customHeight="false" outlineLevel="0" collapsed="false">
      <c r="A633" s="4" t="s">
        <v>1134</v>
      </c>
      <c r="B633" s="5" t="s">
        <v>1135</v>
      </c>
      <c r="C633" s="5" t="s">
        <v>1133</v>
      </c>
      <c r="D633" s="6"/>
      <c r="E633" s="7" t="str">
        <f aca="false">IFERROR(__xludf.dummyfunction("lower(GOOGLETRANSLATE(B633,""es"",""en""))"),"you know go to the cinema")</f>
        <v>you know go to the cinema</v>
      </c>
      <c r="F633" s="7" t="str">
        <f aca="false">IFERROR(__xludf.dummyfunction("lower(GOOGLETRANSLATE(A633,""en"",""es""))"),"usted sabe (a) ir (a) las películas")</f>
        <v>usted sabe (a) ir (a) las películas</v>
      </c>
      <c r="H633" s="0" t="str">
        <f aca="false">A633&amp;"|"&amp;B633</f>
        <v>you know (to) go (to) the movies|tú sabes ir al cine</v>
      </c>
    </row>
    <row r="634" customFormat="false" ht="15.75" hidden="false" customHeight="false" outlineLevel="0" collapsed="false">
      <c r="A634" s="4" t="s">
        <v>1189</v>
      </c>
      <c r="B634" s="5" t="s">
        <v>1190</v>
      </c>
      <c r="C634" s="5" t="s">
        <v>1133</v>
      </c>
      <c r="D634" s="6"/>
      <c r="E634" s="7" t="str">
        <f aca="false">IFERROR(__xludf.dummyfunction("lower(GOOGLETRANSLATE(B634,""es"",""en""))"),"i have to swim")</f>
        <v>i have to swim</v>
      </c>
      <c r="F634" s="7" t="str">
        <f aca="false">IFERROR(__xludf.dummyfunction("lower(GOOGLETRANSLATE(A634,""en"",""es""))"),"i tienen que nadar (a)")</f>
        <v>i tienen que nadar (a)</v>
      </c>
      <c r="H634" s="0" t="str">
        <f aca="false">A634&amp;"|"&amp;B634</f>
        <v>i have to (to) swim|yo tengo que nadar</v>
      </c>
    </row>
    <row r="635" customFormat="false" ht="15.75" hidden="false" customHeight="false" outlineLevel="0" collapsed="false">
      <c r="A635" s="4" t="s">
        <v>1207</v>
      </c>
      <c r="B635" s="5" t="s">
        <v>1208</v>
      </c>
      <c r="C635" s="5" t="s">
        <v>1133</v>
      </c>
      <c r="D635" s="6"/>
      <c r="E635" s="7" t="str">
        <f aca="false">IFERROR(__xludf.dummyfunction("lower(GOOGLETRANSLATE(B635,""es"",""en""))"),"i need to study")</f>
        <v>i need to study</v>
      </c>
      <c r="F635" s="7" t="str">
        <f aca="false">IFERROR(__xludf.dummyfunction("lower(GOOGLETRANSLATE(A635,""en"",""es""))"),"necesito estudiar")</f>
        <v>necesito estudiar</v>
      </c>
      <c r="H635" s="0" t="str">
        <f aca="false">A635&amp;"|"&amp;B635</f>
        <v>i need (to) study|yo necesito estudiar</v>
      </c>
    </row>
    <row r="636" customFormat="false" ht="15.75" hidden="false" customHeight="false" outlineLevel="0" collapsed="false">
      <c r="A636" s="4" t="s">
        <v>1290</v>
      </c>
      <c r="B636" s="5" t="s">
        <v>1291</v>
      </c>
      <c r="C636" s="5" t="s">
        <v>1133</v>
      </c>
      <c r="D636" s="6"/>
      <c r="E636" s="7" t="str">
        <f aca="false">IFERROR(__xludf.dummyfunction("lower(GOOGLETRANSLATE(B636,""es"",""en""))"),"you want to write")</f>
        <v>you want to write</v>
      </c>
      <c r="F636" s="7" t="str">
        <f aca="false">IFERROR(__xludf.dummyfunction("lower(GOOGLETRANSLATE(A636,""en"",""es""))"),"que quiere (a) de escritura")</f>
        <v>que quiere (a) de escritura</v>
      </c>
      <c r="H636" s="0" t="str">
        <f aca="false">A636&amp;"|"&amp;B636</f>
        <v>you want (to) write|tú quieres escribir</v>
      </c>
    </row>
    <row r="637" customFormat="false" ht="15.75" hidden="false" customHeight="false" outlineLevel="0" collapsed="false">
      <c r="A637" s="4" t="s">
        <v>1292</v>
      </c>
      <c r="B637" s="5" t="s">
        <v>1293</v>
      </c>
      <c r="C637" s="5" t="s">
        <v>1133</v>
      </c>
      <c r="D637" s="6"/>
      <c r="E637" s="7" t="str">
        <f aca="false">IFERROR(__xludf.dummyfunction("lower(GOOGLETRANSLATE(B637,""es"",""en""))"),"i practiced sports")</f>
        <v>i practiced sports</v>
      </c>
      <c r="F637" s="7" t="str">
        <f aca="false">IFERROR(__xludf.dummyfunction("lower(GOOGLETRANSLATE(A637,""en"",""es""))"),"sé que (a) hacer deporte")</f>
        <v>sé que (a) hacer deporte</v>
      </c>
      <c r="H637" s="0" t="str">
        <f aca="false">A637&amp;"|"&amp;B637</f>
        <v>i know (to) play sports|yo sé practica deportes</v>
      </c>
    </row>
    <row r="638" customFormat="false" ht="15.75" hidden="false" customHeight="false" outlineLevel="0" collapsed="false">
      <c r="A638" s="4" t="s">
        <v>1294</v>
      </c>
      <c r="B638" s="5" t="s">
        <v>1295</v>
      </c>
      <c r="C638" s="5" t="s">
        <v>1133</v>
      </c>
      <c r="D638" s="6"/>
      <c r="E638" s="7" t="str">
        <f aca="false">IFERROR(__xludf.dummyfunction("lower(GOOGLETRANSLATE(B638,""es"",""en""))"),"you are going to go to the cinema")</f>
        <v>you are going to go to the cinema</v>
      </c>
      <c r="F638" s="7" t="str">
        <f aca="false">IFERROR(__xludf.dummyfunction("lower(GOOGLETRANSLATE(A638,""en"",""es""))"),"vas a (a) ir (a) las películas")</f>
        <v>vas a (a) ir (a) las películas</v>
      </c>
      <c r="H638" s="0" t="str">
        <f aca="false">A638&amp;"|"&amp;B638</f>
        <v>you are going to (to) go (to) the movies|tú vas a ir al cine</v>
      </c>
    </row>
    <row r="639" customFormat="false" ht="15.75" hidden="false" customHeight="false" outlineLevel="0" collapsed="false">
      <c r="A639" s="4" t="s">
        <v>1296</v>
      </c>
      <c r="B639" s="5" t="s">
        <v>1297</v>
      </c>
      <c r="C639" s="5" t="s">
        <v>1133</v>
      </c>
      <c r="D639" s="6"/>
      <c r="E639" s="7" t="str">
        <f aca="false">IFERROR(__xludf.dummyfunction("lower(GOOGLETRANSLATE(B639,""es"",""en""))"),"you can paint")</f>
        <v>you can paint</v>
      </c>
      <c r="F639" s="7" t="str">
        <f aca="false">IFERROR(__xludf.dummyfunction("lower(GOOGLETRANSLATE(A639,""en"",""es""))"),"que puede (a) pintura")</f>
        <v>que puede (a) pintura</v>
      </c>
      <c r="H639" s="0" t="str">
        <f aca="false">A639&amp;"|"&amp;B639</f>
        <v>you can (to) paint|tú puedes pintar</v>
      </c>
    </row>
    <row r="640" customFormat="false" ht="15.75" hidden="false" customHeight="false" outlineLevel="0" collapsed="false">
      <c r="A640" s="4" t="s">
        <v>1150</v>
      </c>
      <c r="B640" s="5" t="s">
        <v>1151</v>
      </c>
      <c r="C640" s="5" t="s">
        <v>1133</v>
      </c>
      <c r="D640" s="6"/>
      <c r="E640" s="7" t="str">
        <f aca="false">IFERROR(__xludf.dummyfunction("lower(GOOGLETRANSLATE(B640,""es"",""en""))"),"she can paint")</f>
        <v>she can paint</v>
      </c>
      <c r="F640" s="7" t="str">
        <f aca="false">IFERROR(__xludf.dummyfunction("lower(GOOGLETRANSLATE(A640,""en"",""es""))"),"que puede (a) pintura")</f>
        <v>que puede (a) pintura</v>
      </c>
      <c r="H640" s="0" t="str">
        <f aca="false">A640&amp;"|"&amp;B640</f>
        <v>she can (to) paint|ella puede pintar</v>
      </c>
    </row>
    <row r="641" customFormat="false" ht="15.75" hidden="false" customHeight="false" outlineLevel="0" collapsed="false">
      <c r="A641" s="4" t="s">
        <v>1298</v>
      </c>
      <c r="B641" s="5" t="s">
        <v>1299</v>
      </c>
      <c r="C641" s="5" t="s">
        <v>1133</v>
      </c>
      <c r="D641" s="6"/>
      <c r="E641" s="7" t="str">
        <f aca="false">IFERROR(__xludf.dummyfunction("lower(GOOGLETRANSLATE(B641,""es"",""en""))"),"you prefer to work")</f>
        <v>you prefer to work</v>
      </c>
      <c r="F641" s="7" t="str">
        <f aca="false">IFERROR(__xludf.dummyfunction("lower(GOOGLETRANSLATE(A641,""en"",""es""))"),"que prefiera (a) de trabajo")</f>
        <v>que prefiera (a) de trabajo</v>
      </c>
      <c r="H641" s="0" t="str">
        <f aca="false">A641&amp;"|"&amp;B641</f>
        <v>you prefer (to) work|tú prefieres trabajar</v>
      </c>
    </row>
    <row r="642" customFormat="false" ht="15.75" hidden="false" customHeight="false" outlineLevel="0" collapsed="false">
      <c r="A642" s="4" t="s">
        <v>1300</v>
      </c>
      <c r="B642" s="5" t="s">
        <v>1301</v>
      </c>
      <c r="C642" s="5" t="s">
        <v>1133</v>
      </c>
      <c r="D642" s="6"/>
      <c r="E642" s="7" t="str">
        <f aca="false">IFERROR(__xludf.dummyfunction("lower(GOOGLETRANSLATE(B642,""es"",""en""))"),"he has to listen to music")</f>
        <v>he has to listen to music</v>
      </c>
      <c r="F642" s="7" t="str">
        <f aca="false">IFERROR(__xludf.dummyfunction("lower(GOOGLETRANSLATE(A642,""en"",""es""))"),"que tiene que (a) escuchar (a) la música")</f>
        <v>que tiene que (a) escuchar (a) la música</v>
      </c>
      <c r="H642" s="0" t="str">
        <f aca="false">A642&amp;"|"&amp;B642</f>
        <v>he has to (to) listen (to) music|el tiene escuchar música</v>
      </c>
    </row>
    <row r="643" customFormat="false" ht="15.75" hidden="false" customHeight="false" outlineLevel="0" collapsed="false">
      <c r="A643" s="4" t="s">
        <v>1302</v>
      </c>
      <c r="B643" s="5" t="s">
        <v>1303</v>
      </c>
      <c r="C643" s="5" t="s">
        <v>1133</v>
      </c>
      <c r="D643" s="6"/>
      <c r="E643" s="7" t="str">
        <f aca="false">IFERROR(__xludf.dummyfunction("lower(GOOGLETRANSLATE(B643,""es"",""en""))"),"you know sports practice")</f>
        <v>you know sports practice</v>
      </c>
      <c r="F643" s="7" t="str">
        <f aca="false">IFERROR(__xludf.dummyfunction("lower(GOOGLETRANSLATE(A643,""en"",""es""))"),"usted sabe (a) hacer deporte")</f>
        <v>usted sabe (a) hacer deporte</v>
      </c>
      <c r="H643" s="0" t="str">
        <f aca="false">A643&amp;"|"&amp;B643</f>
        <v>you know (to) play sports|tú sabes practica deportes</v>
      </c>
    </row>
    <row r="644" customFormat="false" ht="15.75" hidden="false" customHeight="false" outlineLevel="0" collapsed="false">
      <c r="A644" s="4" t="s">
        <v>1304</v>
      </c>
      <c r="B644" s="5" t="s">
        <v>1305</v>
      </c>
      <c r="C644" s="5" t="s">
        <v>1133</v>
      </c>
      <c r="D644" s="6"/>
      <c r="E644" s="7" t="str">
        <f aca="false">IFERROR(__xludf.dummyfunction("lower(GOOGLETRANSLATE(B644,""es"",""en""))"),"i have to watch tv")</f>
        <v>i have to watch tv</v>
      </c>
      <c r="F644" s="7" t="str">
        <f aca="false">IFERROR(__xludf.dummyfunction("lower(GOOGLETRANSLATE(A644,""en"",""es""))"),"tengo que (a) ver la televisión")</f>
        <v>tengo que (a) ver la televisión</v>
      </c>
      <c r="H644" s="0" t="str">
        <f aca="false">A644&amp;"|"&amp;B644</f>
        <v>i have to (to) watch tv|yo tengo que ver la televisión</v>
      </c>
    </row>
    <row r="645" customFormat="false" ht="15.75" hidden="false" customHeight="false" outlineLevel="0" collapsed="false">
      <c r="A645" s="4" t="s">
        <v>1306</v>
      </c>
      <c r="B645" s="5" t="s">
        <v>1307</v>
      </c>
      <c r="C645" s="5" t="s">
        <v>1133</v>
      </c>
      <c r="D645" s="6"/>
      <c r="E645" s="7" t="str">
        <f aca="false">IFERROR(__xludf.dummyfunction("lower(GOOGLETRANSLATE(B645,""es"",""en""))"),"he's going to help at home")</f>
        <v>he's going to help at home</v>
      </c>
      <c r="F645" s="7" t="str">
        <f aca="false">IFERROR(__xludf.dummyfunction("lower(GOOGLETRANSLATE(A645,""en"",""es""))"),"que va a ayudar (a) alrededor de la casa")</f>
        <v>que va a ayudar (a) alrededor de la casa</v>
      </c>
      <c r="H645" s="0" t="str">
        <f aca="false">A645&amp;"|"&amp;B645</f>
        <v>he is going to (to) help around the house|el va a ayudar en casa</v>
      </c>
    </row>
    <row r="646" customFormat="false" ht="15.75" hidden="false" customHeight="false" outlineLevel="0" collapsed="false">
      <c r="A646" s="4" t="s">
        <v>1308</v>
      </c>
      <c r="B646" s="5" t="s">
        <v>1309</v>
      </c>
      <c r="C646" s="5" t="s">
        <v>1310</v>
      </c>
      <c r="D646" s="6"/>
      <c r="E646" s="7" t="str">
        <f aca="false">IFERROR(__xludf.dummyfunction("lower(GOOGLETRANSLATE(B646,""es"",""en""))"),"i cook; tea kitchens; the kitchen")</f>
        <v>i cook; tea kitchens; the kitchen</v>
      </c>
      <c r="F646" s="7" t="str">
        <f aca="false">IFERROR(__xludf.dummyfunction("lower(GOOGLETRANSLATE(A646,""en"",""es""))"),"yo cocino; usted cocina; él cocina")</f>
        <v>yo cocino; usted cocina; él cocina</v>
      </c>
      <c r="H646" s="0" t="str">
        <f aca="false">A646&amp;"|"&amp;B646</f>
        <v>i cook; you cook; he cooks|yo cocino; té cocinas; el cocina</v>
      </c>
    </row>
    <row r="647" customFormat="false" ht="15.75" hidden="false" customHeight="false" outlineLevel="0" collapsed="false">
      <c r="A647" s="4" t="s">
        <v>1311</v>
      </c>
      <c r="B647" s="5" t="s">
        <v>1312</v>
      </c>
      <c r="C647" s="5" t="s">
        <v>1310</v>
      </c>
      <c r="D647" s="6"/>
      <c r="E647" s="7" t="str">
        <f aca="false">IFERROR(__xludf.dummyfunction("lower(GOOGLETRANSLATE(B647,""es"",""en""))"),"i draw; draw tea; he draws")</f>
        <v>i draw; draw tea; he draws</v>
      </c>
      <c r="F647" s="7" t="str">
        <f aca="false">IFERROR(__xludf.dummyfunction("lower(GOOGLETRANSLATE(A647,""en"",""es""))"),"dibujo; tu dibujas; el dibuja")</f>
        <v>dibujo; tu dibujas; el dibuja</v>
      </c>
      <c r="H647" s="0" t="str">
        <f aca="false">A647&amp;"|"&amp;B647</f>
        <v>i draw; you draw; he draws|yo dibujo; té dibujas; el dibuja</v>
      </c>
    </row>
    <row r="648" customFormat="false" ht="15.75" hidden="false" customHeight="false" outlineLevel="0" collapsed="false">
      <c r="A648" s="4" t="s">
        <v>1313</v>
      </c>
      <c r="B648" s="5" t="s">
        <v>1314</v>
      </c>
      <c r="C648" s="5" t="s">
        <v>1310</v>
      </c>
      <c r="D648" s="6"/>
      <c r="E648" s="7" t="str">
        <f aca="false">IFERROR(__xludf.dummyfunction("lower(GOOGLETRANSLATE(B648,""es"",""en""))"),"i write; tea write; he writes")</f>
        <v>i write; tea write; he writes</v>
      </c>
      <c r="F648" s="7" t="str">
        <f aca="false">IFERROR(__xludf.dummyfunction("lower(GOOGLETRANSLATE(A648,""en"",""es""))"),"yo escribo; usted escribe; el escribe")</f>
        <v>yo escribo; usted escribe; el escribe</v>
      </c>
      <c r="H648" s="0" t="str">
        <f aca="false">A648&amp;"|"&amp;B648</f>
        <v>i write; you write; he writes|yo escribo; té escribes; el escribe</v>
      </c>
    </row>
    <row r="649" customFormat="false" ht="15.75" hidden="false" customHeight="false" outlineLevel="0" collapsed="false">
      <c r="A649" s="4" t="s">
        <v>1315</v>
      </c>
      <c r="B649" s="5" t="s">
        <v>1316</v>
      </c>
      <c r="C649" s="5" t="s">
        <v>1310</v>
      </c>
      <c r="D649" s="6"/>
      <c r="E649" s="7" t="str">
        <f aca="false">IFERROR(__xludf.dummyfunction("lower(GOOGLETRANSLATE(B649,""es"",""en""))"),"i study; you study; he studies")</f>
        <v>i study; you study; he studies</v>
      </c>
      <c r="F649" s="7" t="str">
        <f aca="false">IFERROR(__xludf.dummyfunction("lower(GOOGLETRANSLATE(A649,""en"",""es""))"),"yo estudio; estudias; el estudia")</f>
        <v>yo estudio; estudias; el estudia</v>
      </c>
      <c r="H649" s="0" t="str">
        <f aca="false">A649&amp;"|"&amp;B649</f>
        <v>i study; you study; he studies|yo estudio; tu estudias; el estudia</v>
      </c>
    </row>
    <row r="650" customFormat="false" ht="15.75" hidden="false" customHeight="false" outlineLevel="0" collapsed="false">
      <c r="A650" s="4" t="s">
        <v>1317</v>
      </c>
      <c r="B650" s="5" t="s">
        <v>1318</v>
      </c>
      <c r="C650" s="5" t="s">
        <v>1310</v>
      </c>
      <c r="D650" s="6"/>
      <c r="E650" s="7" t="str">
        <f aca="false">IFERROR(__xludf.dummyfunction("lower(GOOGLETRANSLATE(B650,""es"",""en""))"),"i speak; you speak; he speaks")</f>
        <v>i speak; you speak; he speaks</v>
      </c>
      <c r="F650" s="7" t="str">
        <f aca="false">IFERROR(__xludf.dummyfunction("lower(GOOGLETRANSLATE(A650,""en"",""es""))"),"hablo; habla tú; él habla")</f>
        <v>hablo; habla tú; él habla</v>
      </c>
      <c r="H650" s="0" t="str">
        <f aca="false">A650&amp;"|"&amp;B650</f>
        <v>i talk; you talk; he talks|yo hablo; tu hablas; el habla</v>
      </c>
    </row>
    <row r="651" customFormat="false" ht="15.75" hidden="false" customHeight="false" outlineLevel="0" collapsed="false">
      <c r="A651" s="4" t="s">
        <v>1319</v>
      </c>
      <c r="B651" s="5" t="s">
        <v>1320</v>
      </c>
      <c r="C651" s="5" t="s">
        <v>1310</v>
      </c>
      <c r="D651" s="6"/>
      <c r="E651" s="7" t="str">
        <f aca="false">IFERROR(__xludf.dummyfunction("lower(GOOGLETRANSLATE(B651,""es"",""en""))"),"i haco; tea beams; he does")</f>
        <v>i haco; tea beams; he does</v>
      </c>
      <c r="F651" s="7" t="str">
        <f aca="false">IFERROR(__xludf.dummyfunction("lower(GOOGLETRANSLATE(A651,""en"",""es""))"),"hago; tú lo haces; él dos")</f>
        <v>hago; tú lo haces; él dos</v>
      </c>
      <c r="H651" s="0" t="str">
        <f aca="false">A651&amp;"|"&amp;B651</f>
        <v>i do; you do; he dos|yo haco; té haces; el hace</v>
      </c>
    </row>
    <row r="652" customFormat="false" ht="15.75" hidden="false" customHeight="false" outlineLevel="0" collapsed="false">
      <c r="A652" s="4" t="s">
        <v>1321</v>
      </c>
      <c r="B652" s="5" t="s">
        <v>1322</v>
      </c>
      <c r="C652" s="5" t="s">
        <v>1310</v>
      </c>
      <c r="D652" s="6"/>
      <c r="E652" s="7" t="str">
        <f aca="false">IFERROR(__xludf.dummyfunction("lower(GOOGLETRANSLATE(B652,""es"",""en""))"),"i read; you read; he reads")</f>
        <v>i read; you read; he reads</v>
      </c>
      <c r="F652" s="7" t="str">
        <f aca="false">IFERROR(__xludf.dummyfunction("lower(GOOGLETRANSLATE(A652,""en"",""es""))"),"yo leo; tú lees; el lee")</f>
        <v>yo leo; tú lees; el lee</v>
      </c>
      <c r="H652" s="0" t="str">
        <f aca="false">A652&amp;"|"&amp;B652</f>
        <v>i read; you read; he reads|yo leo; tu lees; el lee</v>
      </c>
    </row>
    <row r="653" customFormat="false" ht="15.75" hidden="false" customHeight="false" outlineLevel="0" collapsed="false">
      <c r="A653" s="4" t="s">
        <v>1323</v>
      </c>
      <c r="B653" s="5" t="s">
        <v>1324</v>
      </c>
      <c r="C653" s="5" t="s">
        <v>1310</v>
      </c>
      <c r="D653" s="6"/>
      <c r="E653" s="7" t="str">
        <f aca="false">IFERROR(__xludf.dummyfunction("lower(GOOGLETRANSLATE(B653,""es"",""en""))"),"i swim; tea nothings; he swims")</f>
        <v>i swim; tea nothings; he swims</v>
      </c>
      <c r="F653" s="7" t="str">
        <f aca="false">IFERROR(__xludf.dummyfunction("lower(GOOGLETRANSLATE(A653,""en"",""es""))"),"yo nado; tu nadas; él nada")</f>
        <v>yo nado; tu nadas; él nada</v>
      </c>
      <c r="H653" s="0" t="str">
        <f aca="false">A653&amp;"|"&amp;B653</f>
        <v>i swim; you swim; he swims|yo nado; té nadas; el nada</v>
      </c>
    </row>
    <row r="654" customFormat="false" ht="15.75" hidden="false" customHeight="false" outlineLevel="0" collapsed="false">
      <c r="A654" s="4" t="s">
        <v>1325</v>
      </c>
      <c r="B654" s="5" t="s">
        <v>1326</v>
      </c>
      <c r="C654" s="5" t="s">
        <v>1310</v>
      </c>
      <c r="D654" s="6"/>
      <c r="E654" s="7" t="str">
        <f aca="false">IFERROR(__xludf.dummyfunction("lower(GOOGLETRANSLATE(B654,""es"",""en""))"),"i skate; patinas tea; patina")</f>
        <v>i skate; patinas tea; patina</v>
      </c>
      <c r="F654" s="7" t="str">
        <f aca="false">IFERROR(__xludf.dummyfunction("lower(GOOGLETRANSLATE(A654,""en"",""es""))"),"yo patino; patinar; patina")</f>
        <v>yo patino; patinar; patina</v>
      </c>
      <c r="H654" s="0" t="str">
        <f aca="false">A654&amp;"|"&amp;B654</f>
        <v>i skate; you skate; he skates|yo patino; té patinas; el patina</v>
      </c>
    </row>
    <row r="655" customFormat="false" ht="15.75" hidden="false" customHeight="false" outlineLevel="0" collapsed="false">
      <c r="A655" s="4" t="s">
        <v>1327</v>
      </c>
      <c r="B655" s="5" t="s">
        <v>1328</v>
      </c>
      <c r="C655" s="5" t="s">
        <v>1310</v>
      </c>
      <c r="D655" s="6"/>
      <c r="E655" s="7" t="str">
        <f aca="false">IFERROR(__xludf.dummyfunction("lower(GOOGLETRANSLATE(B655,""es"",""en""))"),"i paint; you paint; he paints")</f>
        <v>i paint; you paint; he paints</v>
      </c>
      <c r="F655" s="7" t="str">
        <f aca="false">IFERROR(__xludf.dummyfunction("lower(GOOGLETRANSLATE(A655,""en"",""es""))"),"yo pinto; tu pintas; el pinta")</f>
        <v>yo pinto; tu pintas; el pinta</v>
      </c>
      <c r="H655" s="0" t="str">
        <f aca="false">A655&amp;"|"&amp;B655</f>
        <v>i paint; you paint; he paints|yo pinto; tu pintas; el pinta</v>
      </c>
    </row>
    <row r="656" customFormat="false" ht="15.75" hidden="false" customHeight="false" outlineLevel="0" collapsed="false">
      <c r="A656" s="4" t="s">
        <v>1329</v>
      </c>
      <c r="B656" s="5" t="s">
        <v>1330</v>
      </c>
      <c r="C656" s="5" t="s">
        <v>1331</v>
      </c>
      <c r="D656" s="6"/>
      <c r="E656" s="7" t="str">
        <f aca="false">IFERROR(__xludf.dummyfunction("lower(GOOGLETRANSLATE(B656,""es"",""en""))"),"forever")</f>
        <v>forever</v>
      </c>
      <c r="F656" s="7" t="str">
        <f aca="false">IFERROR(__xludf.dummyfunction("lower(GOOGLETRANSLATE(A656,""en"",""es""))"),"siempre")</f>
        <v>siempre</v>
      </c>
      <c r="H656" s="0" t="str">
        <f aca="false">A656&amp;"|"&amp;B656</f>
        <v>always|siempre</v>
      </c>
    </row>
    <row r="657" customFormat="false" ht="15.75" hidden="false" customHeight="false" outlineLevel="0" collapsed="false">
      <c r="A657" s="4" t="s">
        <v>1332</v>
      </c>
      <c r="B657" s="5" t="s">
        <v>1333</v>
      </c>
      <c r="C657" s="5" t="s">
        <v>1331</v>
      </c>
      <c r="D657" s="6"/>
      <c r="E657" s="7" t="str">
        <f aca="false">IFERROR(__xludf.dummyfunction("lower(GOOGLETRANSLATE(B657,""es"",""en""))"),"never")</f>
        <v>never</v>
      </c>
      <c r="F657" s="7" t="str">
        <f aca="false">IFERROR(__xludf.dummyfunction("lower(GOOGLETRANSLATE(A657,""en"",""es""))"),"nunca")</f>
        <v>nunca</v>
      </c>
      <c r="H657" s="0" t="str">
        <f aca="false">A657&amp;"|"&amp;B657</f>
        <v>never|nunca</v>
      </c>
    </row>
    <row r="658" customFormat="false" ht="15.75" hidden="false" customHeight="false" outlineLevel="0" collapsed="false">
      <c r="A658" s="4" t="s">
        <v>1334</v>
      </c>
      <c r="B658" s="5" t="s">
        <v>1335</v>
      </c>
      <c r="C658" s="5" t="s">
        <v>1331</v>
      </c>
      <c r="D658" s="6"/>
      <c r="E658" s="7" t="str">
        <f aca="false">IFERROR(__xludf.dummyfunction("lower(GOOGLETRANSLATE(B658,""es"",""en""))"),"almost")</f>
        <v>almost</v>
      </c>
      <c r="F658" s="7" t="str">
        <f aca="false">IFERROR(__xludf.dummyfunction("lower(GOOGLETRANSLATE(A658,""en"",""es""))"),"casi")</f>
        <v>casi</v>
      </c>
      <c r="H658" s="0" t="str">
        <f aca="false">A658&amp;"|"&amp;B658</f>
        <v>almost|casi</v>
      </c>
    </row>
    <row r="659" customFormat="false" ht="15.75" hidden="false" customHeight="false" outlineLevel="0" collapsed="false">
      <c r="A659" s="4" t="s">
        <v>250</v>
      </c>
      <c r="B659" s="5" t="s">
        <v>1336</v>
      </c>
      <c r="C659" s="5" t="s">
        <v>1331</v>
      </c>
      <c r="D659" s="6"/>
      <c r="E659" s="7" t="str">
        <f aca="false">IFERROR(__xludf.dummyfunction("lower(GOOGLETRANSLATE(B659,""es"",""en""))"),"sometimes")</f>
        <v>sometimes</v>
      </c>
      <c r="F659" s="7" t="str">
        <f aca="false">IFERROR(__xludf.dummyfunction("lower(GOOGLETRANSLATE(A659,""en"",""es""))"),"algunas veces")</f>
        <v>algunas veces</v>
      </c>
      <c r="H659" s="0" t="str">
        <f aca="false">A659&amp;"|"&amp;B659</f>
        <v>sometimes|aveces</v>
      </c>
    </row>
    <row r="660" customFormat="false" ht="15.75" hidden="false" customHeight="false" outlineLevel="0" collapsed="false">
      <c r="A660" s="4" t="s">
        <v>1337</v>
      </c>
      <c r="B660" s="5" t="s">
        <v>1338</v>
      </c>
      <c r="C660" s="5" t="s">
        <v>1331</v>
      </c>
      <c r="D660" s="6"/>
      <c r="E660" s="7" t="str">
        <f aca="false">IFERROR(__xludf.dummyfunction("lower(GOOGLETRANSLATE(B660,""es"",""en""))"),"everyday")</f>
        <v>everyday</v>
      </c>
      <c r="F660" s="7" t="str">
        <f aca="false">IFERROR(__xludf.dummyfunction("lower(GOOGLETRANSLATE(A660,""en"",""es""))"),"todos los días")</f>
        <v>todos los días</v>
      </c>
      <c r="H660" s="0" t="str">
        <f aca="false">A660&amp;"|"&amp;B660</f>
        <v>every day|todos los días</v>
      </c>
    </row>
    <row r="661" customFormat="false" ht="15.75" hidden="false" customHeight="false" outlineLevel="0" collapsed="false">
      <c r="A661" s="4" t="s">
        <v>1339</v>
      </c>
      <c r="B661" s="5" t="s">
        <v>1340</v>
      </c>
      <c r="C661" s="5" t="s">
        <v>1331</v>
      </c>
      <c r="D661" s="6"/>
      <c r="E661" s="7" t="str">
        <f aca="false">IFERROR(__xludf.dummyfunction("lower(GOOGLETRANSLATE(B661,""es"",""en""))"),"every week")</f>
        <v>every week</v>
      </c>
      <c r="F661" s="7" t="str">
        <f aca="false">IFERROR(__xludf.dummyfunction("lower(GOOGLETRANSLATE(A661,""en"",""es""))"),"cada semana")</f>
        <v>cada semana</v>
      </c>
      <c r="H661" s="0" t="str">
        <f aca="false">A661&amp;"|"&amp;B661</f>
        <v>every week|todos las semanas</v>
      </c>
    </row>
    <row r="662" customFormat="false" ht="15.75" hidden="false" customHeight="false" outlineLevel="0" collapsed="false">
      <c r="A662" s="4" t="s">
        <v>1341</v>
      </c>
      <c r="B662" s="5" t="s">
        <v>1342</v>
      </c>
      <c r="C662" s="5" t="s">
        <v>1331</v>
      </c>
      <c r="D662" s="6"/>
      <c r="E662" s="7" t="str">
        <f aca="false">IFERROR(__xludf.dummyfunction("lower(GOOGLETRANSLATE(B662,""es"",""en""))"),"every year")</f>
        <v>every year</v>
      </c>
      <c r="F662" s="7" t="str">
        <f aca="false">IFERROR(__xludf.dummyfunction("lower(GOOGLETRANSLATE(A662,""en"",""es""))"),"todos los años")</f>
        <v>todos los años</v>
      </c>
      <c r="H662" s="0" t="str">
        <f aca="false">A662&amp;"|"&amp;B662</f>
        <v>every year|todos los años</v>
      </c>
    </row>
    <row r="663" customFormat="false" ht="15.75" hidden="false" customHeight="false" outlineLevel="0" collapsed="false">
      <c r="A663" s="4" t="s">
        <v>1343</v>
      </c>
      <c r="B663" s="5" t="s">
        <v>1344</v>
      </c>
      <c r="C663" s="5" t="s">
        <v>1331</v>
      </c>
      <c r="D663" s="6"/>
      <c r="E663" s="7" t="str">
        <f aca="false">IFERROR(__xludf.dummyfunction("lower(GOOGLETRANSLATE(B663,""es"",""en""))"),"frecuentamente")</f>
        <v>frecuentamente</v>
      </c>
      <c r="F663" s="7" t="str">
        <f aca="false">IFERROR(__xludf.dummyfunction("lower(GOOGLETRANSLATE(A663,""en"",""es""))"),"frecuentemente")</f>
        <v>frecuentemente</v>
      </c>
      <c r="H663" s="0" t="str">
        <f aca="false">A663&amp;"|"&amp;B663</f>
        <v>frequently|frecuentamente</v>
      </c>
    </row>
    <row r="664" customFormat="false" ht="15.75" hidden="false" customHeight="false" outlineLevel="0" collapsed="false">
      <c r="A664" s="4" t="s">
        <v>1345</v>
      </c>
      <c r="B664" s="5" t="s">
        <v>1346</v>
      </c>
      <c r="C664" s="5" t="s">
        <v>1331</v>
      </c>
      <c r="D664" s="6"/>
      <c r="E664" s="7" t="str">
        <f aca="false">IFERROR(__xludf.dummyfunction("lower(GOOGLETRANSLATE(B664,""es"",""en""))"),"very frequent")</f>
        <v>very frequent</v>
      </c>
      <c r="F664" s="7" t="str">
        <f aca="false">IFERROR(__xludf.dummyfunction("lower(GOOGLETRANSLATE(A664,""en"",""es""))"),"regularmente")</f>
        <v>regularmente</v>
      </c>
      <c r="H664" s="0" t="str">
        <f aca="false">A664&amp;"|"&amp;B664</f>
        <v>regularly|con mucho frecuenta</v>
      </c>
    </row>
    <row r="665" customFormat="false" ht="15.75" hidden="false" customHeight="false" outlineLevel="0" collapsed="false">
      <c r="A665" s="4" t="s">
        <v>1347</v>
      </c>
      <c r="B665" s="5" t="s">
        <v>1348</v>
      </c>
      <c r="C665" s="5" t="s">
        <v>1331</v>
      </c>
      <c r="D665" s="6"/>
      <c r="E665" s="7" t="str">
        <f aca="false">IFERROR(__xludf.dummyfunction("lower(GOOGLETRANSLATE(B665,""es"",""en""))"),"many times")</f>
        <v>many times</v>
      </c>
      <c r="F665" s="7" t="str">
        <f aca="false">IFERROR(__xludf.dummyfunction("lower(GOOGLETRANSLATE(A665,""en"",""es""))"),"muchas veces")</f>
        <v>muchas veces</v>
      </c>
      <c r="H665" s="0" t="str">
        <f aca="false">A665&amp;"|"&amp;B665</f>
        <v>many times|muchas veces</v>
      </c>
    </row>
    <row r="666" customFormat="false" ht="15.75" hidden="false" customHeight="false" outlineLevel="0" collapsed="false">
      <c r="A666" s="4" t="s">
        <v>250</v>
      </c>
      <c r="B666" s="5" t="s">
        <v>1349</v>
      </c>
      <c r="C666" s="5" t="s">
        <v>1331</v>
      </c>
      <c r="D666" s="6"/>
      <c r="E666" s="7" t="str">
        <f aca="false">IFERROR(__xludf.dummyfunction("lower(GOOGLETRANSLATE(B666,""es"",""en""))"),"rarely")</f>
        <v>rarely</v>
      </c>
      <c r="F666" s="7" t="str">
        <f aca="false">IFERROR(__xludf.dummyfunction("lower(GOOGLETRANSLATE(A666,""en"",""es""))"),"algunas veces")</f>
        <v>algunas veces</v>
      </c>
      <c r="H666" s="0" t="str">
        <f aca="false">A666&amp;"|"&amp;B666</f>
        <v>sometimes|pocas veces</v>
      </c>
    </row>
    <row r="667" customFormat="false" ht="15.75" hidden="false" customHeight="false" outlineLevel="0" collapsed="false">
      <c r="A667" s="4" t="s">
        <v>1350</v>
      </c>
      <c r="B667" s="5" t="s">
        <v>1351</v>
      </c>
      <c r="C667" s="5" t="s">
        <v>1331</v>
      </c>
      <c r="D667" s="6"/>
      <c r="E667" s="7" t="str">
        <f aca="false">IFERROR(__xludf.dummyfunction("lower(GOOGLETRANSLATE(B667,""es"",""en""))"),"coming week")</f>
        <v>coming week</v>
      </c>
      <c r="F667" s="7" t="str">
        <f aca="false">IFERROR(__xludf.dummyfunction("lower(GOOGLETRANSLATE(A667,""en"",""es""))"),"la semana que viene")</f>
        <v>la semana que viene</v>
      </c>
      <c r="H667" s="0" t="str">
        <f aca="false">A667&amp;"|"&amp;B667</f>
        <v>the coming week|la semana que vienes</v>
      </c>
    </row>
    <row r="668" customFormat="false" ht="15.75" hidden="false" customHeight="false" outlineLevel="0" collapsed="false">
      <c r="A668" s="4" t="s">
        <v>1352</v>
      </c>
      <c r="B668" s="5" t="s">
        <v>1353</v>
      </c>
      <c r="C668" s="5" t="s">
        <v>1331</v>
      </c>
      <c r="D668" s="6"/>
      <c r="E668" s="7" t="str">
        <f aca="false">IFERROR(__xludf.dummyfunction("lower(GOOGLETRANSLATE(B668,""es"",""en""))"),"next week")</f>
        <v>next week</v>
      </c>
      <c r="F668" s="7" t="str">
        <f aca="false">IFERROR(__xludf.dummyfunction("lower(GOOGLETRANSLATE(A668,""en"",""es""))"),"la próxima semana")</f>
        <v>la próxima semana</v>
      </c>
      <c r="H668" s="0" t="str">
        <f aca="false">A668&amp;"|"&amp;B668</f>
        <v>next week|la semana proxima</v>
      </c>
    </row>
    <row r="669" customFormat="false" ht="15.75" hidden="false" customHeight="false" outlineLevel="0" collapsed="false">
      <c r="A669" s="4" t="s">
        <v>1354</v>
      </c>
      <c r="B669" s="5" t="s">
        <v>1355</v>
      </c>
      <c r="C669" s="5" t="s">
        <v>1356</v>
      </c>
      <c r="D669" s="6"/>
      <c r="E669" s="7" t="str">
        <f aca="false">IFERROR(__xludf.dummyfunction("lower(GOOGLETRANSLATE(B669,""es"",""en""))"),"table")</f>
        <v>table</v>
      </c>
      <c r="F669" s="7" t="str">
        <f aca="false">IFERROR(__xludf.dummyfunction("lower(GOOGLETRANSLATE(A669,""en"",""es""))"),"la mesa")</f>
        <v>la mesa</v>
      </c>
      <c r="H669" s="0" t="str">
        <f aca="false">A669&amp;"|"&amp;B669</f>
        <v>the table|la mesa</v>
      </c>
    </row>
    <row r="670" customFormat="false" ht="15.75" hidden="false" customHeight="false" outlineLevel="0" collapsed="false">
      <c r="A670" s="4" t="s">
        <v>1357</v>
      </c>
      <c r="B670" s="5" t="s">
        <v>1358</v>
      </c>
      <c r="C670" s="5" t="s">
        <v>1359</v>
      </c>
      <c r="D670" s="6"/>
      <c r="E670" s="7" t="str">
        <f aca="false">IFERROR(__xludf.dummyfunction("lower(GOOGLETRANSLATE(B670,""es"",""en""))"),"these books")</f>
        <v>these books</v>
      </c>
      <c r="F670" s="7" t="str">
        <f aca="false">IFERROR(__xludf.dummyfunction("lower(GOOGLETRANSLATE(A670,""en"",""es""))"),"esos libros")</f>
        <v>esos libros</v>
      </c>
      <c r="H670" s="0" t="str">
        <f aca="false">A670&amp;"|"&amp;B670</f>
        <v>those books|esas libros</v>
      </c>
    </row>
    <row r="671" customFormat="false" ht="15.75" hidden="false" customHeight="false" outlineLevel="0" collapsed="false">
      <c r="A671" s="4" t="s">
        <v>1360</v>
      </c>
      <c r="B671" s="5" t="s">
        <v>1361</v>
      </c>
      <c r="C671" s="5" t="s">
        <v>1359</v>
      </c>
      <c r="D671" s="6"/>
      <c r="E671" s="7" t="str">
        <f aca="false">IFERROR(__xludf.dummyfunction("lower(GOOGLETRANSLATE(B671,""es"",""en""))"),"this paper")</f>
        <v>this paper</v>
      </c>
      <c r="F671" s="7" t="str">
        <f aca="false">IFERROR(__xludf.dummyfunction("lower(GOOGLETRANSLATE(A671,""en"",""es""))"),"este papel")</f>
        <v>este papel</v>
      </c>
      <c r="H671" s="0" t="str">
        <f aca="false">A671&amp;"|"&amp;B671</f>
        <v>this paper|esta papel</v>
      </c>
    </row>
    <row r="672" customFormat="false" ht="15.75" hidden="false" customHeight="false" outlineLevel="0" collapsed="false">
      <c r="A672" s="4" t="s">
        <v>1362</v>
      </c>
      <c r="B672" s="5" t="s">
        <v>1363</v>
      </c>
      <c r="C672" s="5" t="s">
        <v>1359</v>
      </c>
      <c r="D672" s="6"/>
      <c r="E672" s="7" t="str">
        <f aca="false">IFERROR(__xludf.dummyfunction("lower(GOOGLETRANSLATE(B672,""es"",""en""))"),"this table")</f>
        <v>this table</v>
      </c>
      <c r="F672" s="7" t="str">
        <f aca="false">IFERROR(__xludf.dummyfunction("lower(GOOGLETRANSLATE(A672,""en"",""es""))"),"esa mesa")</f>
        <v>esa mesa</v>
      </c>
      <c r="H672" s="0" t="str">
        <f aca="false">A672&amp;"|"&amp;B672</f>
        <v>that table|esa mesa</v>
      </c>
    </row>
    <row r="673" customFormat="false" ht="15.75" hidden="false" customHeight="false" outlineLevel="0" collapsed="false">
      <c r="A673" s="4" t="s">
        <v>1364</v>
      </c>
      <c r="B673" s="5" t="s">
        <v>1365</v>
      </c>
      <c r="C673" s="5" t="s">
        <v>1359</v>
      </c>
      <c r="D673" s="6"/>
      <c r="E673" s="7" t="str">
        <f aca="false">IFERROR(__xludf.dummyfunction("lower(GOOGLETRANSLATE(B673,""es"",""en""))"),"this table")</f>
        <v>this table</v>
      </c>
      <c r="F673" s="7" t="str">
        <f aca="false">IFERROR(__xludf.dummyfunction("lower(GOOGLETRANSLATE(A673,""en"",""es""))"),"esta mesa")</f>
        <v>esta mesa</v>
      </c>
      <c r="H673" s="0" t="str">
        <f aca="false">A673&amp;"|"&amp;B673</f>
        <v>this table|esta mesa</v>
      </c>
    </row>
    <row r="674" customFormat="false" ht="15.75" hidden="false" customHeight="false" outlineLevel="0" collapsed="false">
      <c r="A674" s="4" t="s">
        <v>1366</v>
      </c>
      <c r="B674" s="5" t="s">
        <v>1367</v>
      </c>
      <c r="C674" s="5" t="s">
        <v>1359</v>
      </c>
      <c r="D674" s="6"/>
      <c r="E674" s="7" t="str">
        <f aca="false">IFERROR(__xludf.dummyfunction("lower(GOOGLETRANSLATE(B674,""es"",""en""))"),"these desks")</f>
        <v>these desks</v>
      </c>
      <c r="F674" s="7" t="str">
        <f aca="false">IFERROR(__xludf.dummyfunction("lower(GOOGLETRANSLATE(A674,""en"",""es""))"),"estos escritorios")</f>
        <v>estos escritorios</v>
      </c>
      <c r="H674" s="0" t="str">
        <f aca="false">A674&amp;"|"&amp;B674</f>
        <v>these desks|estas escritorios</v>
      </c>
    </row>
    <row r="675" customFormat="false" ht="15.75" hidden="false" customHeight="false" outlineLevel="0" collapsed="false">
      <c r="A675" s="4" t="s">
        <v>1368</v>
      </c>
      <c r="B675" s="5" t="s">
        <v>1369</v>
      </c>
      <c r="C675" s="5" t="s">
        <v>1359</v>
      </c>
      <c r="D675" s="6"/>
      <c r="E675" s="7" t="str">
        <f aca="false">IFERROR(__xludf.dummyfunction("lower(GOOGLETRANSLATE(B675,""es"",""en""))"),"these schools")</f>
        <v>these schools</v>
      </c>
      <c r="F675" s="7" t="str">
        <f aca="false">IFERROR(__xludf.dummyfunction("lower(GOOGLETRANSLATE(A675,""en"",""es""))"),"esas escuelas")</f>
        <v>esas escuelas</v>
      </c>
      <c r="H675" s="0" t="str">
        <f aca="false">A675&amp;"|"&amp;B675</f>
        <v>those schools|esas escuelas</v>
      </c>
    </row>
    <row r="676" customFormat="false" ht="15.75" hidden="false" customHeight="false" outlineLevel="0" collapsed="false">
      <c r="A676" s="4" t="s">
        <v>1370</v>
      </c>
      <c r="B676" s="5" t="s">
        <v>1371</v>
      </c>
      <c r="C676" s="5" t="s">
        <v>1359</v>
      </c>
      <c r="D676" s="6"/>
      <c r="E676" s="7" t="str">
        <f aca="false">IFERROR(__xludf.dummyfunction("lower(GOOGLETRANSLATE(B676,""es"",""en""))"),"that computer")</f>
        <v>that computer</v>
      </c>
      <c r="F676" s="7" t="str">
        <f aca="false">IFERROR(__xludf.dummyfunction("lower(GOOGLETRANSLATE(A676,""en"",""es""))"),"ese ordenador")</f>
        <v>ese ordenador</v>
      </c>
      <c r="H676" s="0" t="str">
        <f aca="false">A676&amp;"|"&amp;B676</f>
        <v>that computer|esa computadora</v>
      </c>
    </row>
    <row r="677" customFormat="false" ht="15.75" hidden="false" customHeight="false" outlineLevel="0" collapsed="false">
      <c r="A677" s="4" t="s">
        <v>1372</v>
      </c>
      <c r="B677" s="5" t="s">
        <v>1373</v>
      </c>
      <c r="C677" s="5" t="s">
        <v>1359</v>
      </c>
      <c r="D677" s="6"/>
      <c r="E677" s="7" t="str">
        <f aca="false">IFERROR(__xludf.dummyfunction("lower(GOOGLETRANSLATE(B677,""es"",""en""))"),"those weeks")</f>
        <v>those weeks</v>
      </c>
      <c r="F677" s="7" t="str">
        <f aca="false">IFERROR(__xludf.dummyfunction("lower(GOOGLETRANSLATE(A677,""en"",""es""))"),"esas semanas")</f>
        <v>esas semanas</v>
      </c>
      <c r="H677" s="0" t="str">
        <f aca="false">A677&amp;"|"&amp;B677</f>
        <v>those weeks|esas semanas</v>
      </c>
    </row>
    <row r="678" customFormat="false" ht="15.75" hidden="false" customHeight="false" outlineLevel="0" collapsed="false">
      <c r="A678" s="4" t="s">
        <v>1374</v>
      </c>
      <c r="B678" s="5" t="s">
        <v>1375</v>
      </c>
      <c r="C678" s="5" t="s">
        <v>1359</v>
      </c>
      <c r="D678" s="6"/>
      <c r="E678" s="7" t="str">
        <f aca="false">IFERROR(__xludf.dummyfunction("lower(GOOGLETRANSLATE(B678,""es"",""en""))"),"this week")</f>
        <v>this week</v>
      </c>
      <c r="F678" s="7" t="str">
        <f aca="false">IFERROR(__xludf.dummyfunction("lower(GOOGLETRANSLATE(A678,""en"",""es""))"),"esa semana")</f>
        <v>esa semana</v>
      </c>
      <c r="H678" s="0" t="str">
        <f aca="false">A678&amp;"|"&amp;B678</f>
        <v>that week|esa semana</v>
      </c>
    </row>
    <row r="679" customFormat="false" ht="15.75" hidden="false" customHeight="false" outlineLevel="0" collapsed="false">
      <c r="A679" s="4" t="s">
        <v>1376</v>
      </c>
      <c r="B679" s="5" t="s">
        <v>1377</v>
      </c>
      <c r="C679" s="5" t="s">
        <v>1359</v>
      </c>
      <c r="D679" s="6"/>
      <c r="E679" s="7" t="str">
        <f aca="false">IFERROR(__xludf.dummyfunction("lower(GOOGLETRANSLATE(B679,""es"",""en""))"),"these calendars")</f>
        <v>these calendars</v>
      </c>
      <c r="F679" s="7" t="str">
        <f aca="false">IFERROR(__xludf.dummyfunction("lower(GOOGLETRANSLATE(A679,""en"",""es""))"),"estos calendarios")</f>
        <v>estos calendarios</v>
      </c>
      <c r="H679" s="0" t="str">
        <f aca="false">A679&amp;"|"&amp;B679</f>
        <v>these calendars|estas calendarios</v>
      </c>
    </row>
    <row r="680" customFormat="false" ht="15.75" hidden="false" customHeight="false" outlineLevel="0" collapsed="false">
      <c r="A680" s="4" t="s">
        <v>1378</v>
      </c>
      <c r="B680" s="5" t="s">
        <v>1379</v>
      </c>
      <c r="C680" s="5" t="s">
        <v>1359</v>
      </c>
      <c r="D680" s="6"/>
      <c r="E680" s="7" t="str">
        <f aca="false">IFERROR(__xludf.dummyfunction("lower(GOOGLETRANSLATE(B680,""es"",""en""))"),"this dictionary")</f>
        <v>this dictionary</v>
      </c>
      <c r="F680" s="7" t="str">
        <f aca="false">IFERROR(__xludf.dummyfunction("lower(GOOGLETRANSLATE(A680,""en"",""es""))"),"este diccionario")</f>
        <v>este diccionario</v>
      </c>
      <c r="H680" s="0" t="str">
        <f aca="false">A680&amp;"|"&amp;B680</f>
        <v>this dictionary|esto diccionario</v>
      </c>
    </row>
    <row r="681" customFormat="false" ht="15.75" hidden="false" customHeight="false" outlineLevel="0" collapsed="false">
      <c r="A681" s="4" t="s">
        <v>1380</v>
      </c>
      <c r="B681" s="5" t="s">
        <v>1381</v>
      </c>
      <c r="C681" s="5" t="s">
        <v>1359</v>
      </c>
      <c r="D681" s="6"/>
      <c r="E681" s="7" t="str">
        <f aca="false">IFERROR(__xludf.dummyfunction("lower(GOOGLETRANSLATE(B681,""es"",""en""))"),"these archivadors")</f>
        <v>these archivadors</v>
      </c>
      <c r="F681" s="7" t="str">
        <f aca="false">IFERROR(__xludf.dummyfunction("lower(GOOGLETRANSLATE(A681,""en"",""es""))"),"esos gabinetes")</f>
        <v>esos gabinetes</v>
      </c>
      <c r="H681" s="0" t="str">
        <f aca="false">A681&amp;"|"&amp;B681</f>
        <v>those cabinets|esas archivadors</v>
      </c>
    </row>
    <row r="682" customFormat="false" ht="15.75" hidden="false" customHeight="false" outlineLevel="0" collapsed="false">
      <c r="A682" s="4" t="s">
        <v>1382</v>
      </c>
      <c r="B682" s="5" t="s">
        <v>1383</v>
      </c>
      <c r="C682" s="5" t="s">
        <v>1359</v>
      </c>
      <c r="D682" s="6"/>
      <c r="E682" s="7" t="str">
        <f aca="false">IFERROR(__xludf.dummyfunction("lower(GOOGLETRANSLATE(B682,""es"",""en""))"),"that day")</f>
        <v>that day</v>
      </c>
      <c r="F682" s="7" t="str">
        <f aca="false">IFERROR(__xludf.dummyfunction("lower(GOOGLETRANSLATE(A682,""en"",""es""))"),"ese día")</f>
        <v>ese día</v>
      </c>
      <c r="H682" s="0" t="str">
        <f aca="false">A682&amp;"|"&amp;B682</f>
        <v>that day|ese día</v>
      </c>
    </row>
    <row r="683" customFormat="false" ht="15.75" hidden="false" customHeight="false" outlineLevel="0" collapsed="false">
      <c r="A683" s="4" t="s">
        <v>1384</v>
      </c>
      <c r="B683" s="5" t="s">
        <v>1385</v>
      </c>
      <c r="C683" s="5" t="s">
        <v>1359</v>
      </c>
      <c r="D683" s="6"/>
      <c r="E683" s="7" t="str">
        <f aca="false">IFERROR(__xludf.dummyfunction("lower(GOOGLETRANSLATE(B683,""es"",""en""))"),"that calculator")</f>
        <v>that calculator</v>
      </c>
      <c r="F683" s="7" t="str">
        <f aca="false">IFERROR(__xludf.dummyfunction("lower(GOOGLETRANSLATE(A683,""en"",""es""))"),"que la calculadora")</f>
        <v>que la calculadora</v>
      </c>
      <c r="H683" s="0" t="str">
        <f aca="false">A683&amp;"|"&amp;B683</f>
        <v>that calculator|esa calculadora</v>
      </c>
    </row>
    <row r="684" customFormat="false" ht="15.75" hidden="false" customHeight="false" outlineLevel="0" collapsed="false">
      <c r="A684" s="4" t="s">
        <v>1386</v>
      </c>
      <c r="B684" s="5" t="s">
        <v>1387</v>
      </c>
      <c r="C684" s="5" t="s">
        <v>1359</v>
      </c>
      <c r="D684" s="6"/>
      <c r="E684" s="7" t="str">
        <f aca="false">IFERROR(__xludf.dummyfunction("lower(GOOGLETRANSLATE(B684,""es"",""en""))"),"this capeta")</f>
        <v>this capeta</v>
      </c>
      <c r="F684" s="7" t="str">
        <f aca="false">IFERROR(__xludf.dummyfunction("lower(GOOGLETRANSLATE(A684,""en"",""es""))"),"esta carpeta")</f>
        <v>esta carpeta</v>
      </c>
      <c r="H684" s="0" t="str">
        <f aca="false">A684&amp;"|"&amp;B684</f>
        <v>this folder|esta capeta</v>
      </c>
    </row>
    <row r="685" customFormat="false" ht="15.75" hidden="false" customHeight="false" outlineLevel="0" collapsed="false">
      <c r="A685" s="4" t="s">
        <v>1388</v>
      </c>
      <c r="B685" s="5" t="s">
        <v>1389</v>
      </c>
      <c r="C685" s="5" t="s">
        <v>1359</v>
      </c>
      <c r="D685" s="6"/>
      <c r="E685" s="7" t="str">
        <f aca="false">IFERROR(__xludf.dummyfunction("lower(GOOGLETRANSLATE(B685,""es"",""en""))"),"the pen")</f>
        <v>the pen</v>
      </c>
      <c r="F685" s="7" t="str">
        <f aca="false">IFERROR(__xludf.dummyfunction("lower(GOOGLETRANSLATE(A685,""en"",""es""))"),"esa pluma")</f>
        <v>esa pluma</v>
      </c>
      <c r="H685" s="0" t="str">
        <f aca="false">A685&amp;"|"&amp;B685</f>
        <v>that pen|esa bolígrafo</v>
      </c>
    </row>
    <row r="686" customFormat="false" ht="15.75" hidden="false" customHeight="false" outlineLevel="0" collapsed="false">
      <c r="A686" s="4" t="s">
        <v>1357</v>
      </c>
      <c r="B686" s="5" t="s">
        <v>1358</v>
      </c>
      <c r="C686" s="5" t="s">
        <v>1359</v>
      </c>
      <c r="D686" s="6"/>
      <c r="E686" s="7" t="str">
        <f aca="false">IFERROR(__xludf.dummyfunction("lower(GOOGLETRANSLATE(B686,""es"",""en""))"),"these books")</f>
        <v>these books</v>
      </c>
      <c r="F686" s="7" t="str">
        <f aca="false">IFERROR(__xludf.dummyfunction("lower(GOOGLETRANSLATE(A686,""en"",""es""))"),"esos libros")</f>
        <v>esos libros</v>
      </c>
      <c r="H686" s="0" t="str">
        <f aca="false">A686&amp;"|"&amp;B686</f>
        <v>those books|esas libros</v>
      </c>
    </row>
    <row r="687" customFormat="false" ht="15.75" hidden="false" customHeight="false" outlineLevel="0" collapsed="false">
      <c r="A687" s="4" t="s">
        <v>1390</v>
      </c>
      <c r="B687" s="5" t="s">
        <v>1391</v>
      </c>
      <c r="C687" s="5" t="s">
        <v>1359</v>
      </c>
      <c r="D687" s="6"/>
      <c r="E687" s="7" t="str">
        <f aca="false">IFERROR(__xludf.dummyfunction("lower(GOOGLETRANSLATE(B687,""es"",""en""))"),"this file")</f>
        <v>this file</v>
      </c>
      <c r="F687" s="7" t="str">
        <f aca="false">IFERROR(__xludf.dummyfunction("lower(GOOGLETRANSLATE(A687,""en"",""es""))"),"este gabinete")</f>
        <v>este gabinete</v>
      </c>
      <c r="H687" s="0" t="str">
        <f aca="false">A687&amp;"|"&amp;B687</f>
        <v>this cabinet|esta archivador</v>
      </c>
    </row>
    <row r="688" customFormat="false" ht="15.75" hidden="false" customHeight="false" outlineLevel="0" collapsed="false">
      <c r="A688" s="4" t="s">
        <v>1392</v>
      </c>
      <c r="B688" s="5" t="s">
        <v>1393</v>
      </c>
      <c r="C688" s="5" t="s">
        <v>1359</v>
      </c>
      <c r="D688" s="6"/>
      <c r="E688" s="7" t="str">
        <f aca="false">IFERROR(__xludf.dummyfunction("lower(GOOGLETRANSLATE(B688,""es"",""en""))"),"that capeta")</f>
        <v>that capeta</v>
      </c>
      <c r="F688" s="7" t="str">
        <f aca="false">IFERROR(__xludf.dummyfunction("lower(GOOGLETRANSLATE(A688,""en"",""es""))"),"esa carpeta")</f>
        <v>esa carpeta</v>
      </c>
      <c r="H688" s="0" t="str">
        <f aca="false">A688&amp;"|"&amp;B688</f>
        <v>that folder|esa capeta</v>
      </c>
    </row>
    <row r="689" customFormat="false" ht="15.75" hidden="false" customHeight="false" outlineLevel="0" collapsed="false">
      <c r="A689" s="4" t="s">
        <v>1394</v>
      </c>
      <c r="B689" s="5" t="s">
        <v>1395</v>
      </c>
      <c r="C689" s="5" t="s">
        <v>1359</v>
      </c>
      <c r="D689" s="6"/>
      <c r="E689" s="7" t="str">
        <f aca="false">IFERROR(__xludf.dummyfunction("lower(GOOGLETRANSLATE(B689,""es"",""en""))"),"the filer")</f>
        <v>the filer</v>
      </c>
      <c r="F689" s="7" t="str">
        <f aca="false">IFERROR(__xludf.dummyfunction("lower(GOOGLETRANSLATE(A689,""en"",""es""))"),"que el gabinete")</f>
        <v>que el gabinete</v>
      </c>
      <c r="H689" s="0" t="str">
        <f aca="false">A689&amp;"|"&amp;B689</f>
        <v>that cabinet|esa archivador</v>
      </c>
    </row>
    <row r="690" customFormat="false" ht="15.75" hidden="false" customHeight="false" outlineLevel="0" collapsed="false">
      <c r="A690" s="4" t="s">
        <v>1396</v>
      </c>
      <c r="B690" s="5" t="s">
        <v>1397</v>
      </c>
      <c r="C690" s="5" t="s">
        <v>1359</v>
      </c>
      <c r="D690" s="6"/>
      <c r="E690" s="7" t="str">
        <f aca="false">IFERROR(__xludf.dummyfunction("lower(GOOGLETRANSLATE(B690,""es"",""en""))"),"these papels")</f>
        <v>these papels</v>
      </c>
      <c r="F690" s="7" t="str">
        <f aca="false">IFERROR(__xludf.dummyfunction("lower(GOOGLETRANSLATE(A690,""en"",""es""))"),"estos papeles")</f>
        <v>estos papeles</v>
      </c>
      <c r="H690" s="0" t="str">
        <f aca="false">A690&amp;"|"&amp;B690</f>
        <v>these papers|estas papels</v>
      </c>
    </row>
    <row r="691" customFormat="false" ht="15.75" hidden="false" customHeight="false" outlineLevel="0" collapsed="false">
      <c r="A691" s="4" t="s">
        <v>1374</v>
      </c>
      <c r="B691" s="5" t="s">
        <v>1375</v>
      </c>
      <c r="C691" s="5" t="s">
        <v>1359</v>
      </c>
      <c r="D691" s="6"/>
      <c r="E691" s="7" t="str">
        <f aca="false">IFERROR(__xludf.dummyfunction("lower(GOOGLETRANSLATE(B691,""es"",""en""))"),"this week")</f>
        <v>this week</v>
      </c>
      <c r="F691" s="7" t="str">
        <f aca="false">IFERROR(__xludf.dummyfunction("lower(GOOGLETRANSLATE(A691,""en"",""es""))"),"esa semana")</f>
        <v>esa semana</v>
      </c>
      <c r="H691" s="0" t="str">
        <f aca="false">A691&amp;"|"&amp;B691</f>
        <v>that week|esa semana</v>
      </c>
    </row>
    <row r="692" customFormat="false" ht="15.75" hidden="false" customHeight="false" outlineLevel="0" collapsed="false">
      <c r="A692" s="4" t="s">
        <v>1398</v>
      </c>
      <c r="B692" s="5" t="s">
        <v>1399</v>
      </c>
      <c r="C692" s="5" t="s">
        <v>1359</v>
      </c>
      <c r="D692" s="6"/>
      <c r="E692" s="7" t="str">
        <f aca="false">IFERROR(__xludf.dummyfunction("lower(GOOGLETRANSLATE(B692,""es"",""en""))"),"this marker")</f>
        <v>this marker</v>
      </c>
      <c r="F692" s="7" t="str">
        <f aca="false">IFERROR(__xludf.dummyfunction("lower(GOOGLETRANSLATE(A692,""en"",""es""))"),"ese marcador")</f>
        <v>ese marcador</v>
      </c>
      <c r="H692" s="0" t="str">
        <f aca="false">A692&amp;"|"&amp;B692</f>
        <v>that marker|esa marcador</v>
      </c>
    </row>
    <row r="693" customFormat="false" ht="15.75" hidden="false" customHeight="false" outlineLevel="0" collapsed="false">
      <c r="A693" s="4" t="s">
        <v>1400</v>
      </c>
      <c r="B693" s="5" t="s">
        <v>1401</v>
      </c>
      <c r="C693" s="5" t="s">
        <v>1359</v>
      </c>
      <c r="D693" s="6"/>
      <c r="E693" s="7" t="str">
        <f aca="false">IFERROR(__xludf.dummyfunction("lower(GOOGLETRANSLATE(B693,""es"",""en""))"),"these agendas")</f>
        <v>these agendas</v>
      </c>
      <c r="F693" s="7" t="str">
        <f aca="false">IFERROR(__xludf.dummyfunction("lower(GOOGLETRANSLATE(A693,""en"",""es""))"),"los planificadores")</f>
        <v>los planificadores</v>
      </c>
      <c r="H693" s="0" t="str">
        <f aca="false">A693&amp;"|"&amp;B693</f>
        <v>those planners|esas agendas</v>
      </c>
    </row>
    <row r="694" customFormat="false" ht="15.75" hidden="false" customHeight="false" outlineLevel="0" collapsed="false">
      <c r="A694" s="4" t="s">
        <v>1402</v>
      </c>
      <c r="B694" s="5" t="s">
        <v>1403</v>
      </c>
      <c r="C694" s="5" t="s">
        <v>1359</v>
      </c>
      <c r="D694" s="6"/>
      <c r="E694" s="7" t="str">
        <f aca="false">IFERROR(__xludf.dummyfunction("lower(GOOGLETRANSLATE(B694,""es"",""en""))"),"that agenda")</f>
        <v>that agenda</v>
      </c>
      <c r="F694" s="7" t="str">
        <f aca="false">IFERROR(__xludf.dummyfunction("lower(GOOGLETRANSLATE(A694,""en"",""es""))"),"que planificador")</f>
        <v>que planificador</v>
      </c>
      <c r="H694" s="0" t="str">
        <f aca="false">A694&amp;"|"&amp;B694</f>
        <v>that planner|esa agenda</v>
      </c>
    </row>
    <row r="695" customFormat="false" ht="15.75" hidden="false" customHeight="false" outlineLevel="0" collapsed="false">
      <c r="A695" s="4" t="s">
        <v>1404</v>
      </c>
      <c r="B695" s="5" t="s">
        <v>1405</v>
      </c>
      <c r="C695" s="5" t="s">
        <v>1359</v>
      </c>
      <c r="D695" s="6"/>
      <c r="E695" s="7" t="str">
        <f aca="false">IFERROR(__xludf.dummyfunction("lower(GOOGLETRANSLATE(B695,""es"",""en""))"),"these capetian")</f>
        <v>these capetian</v>
      </c>
      <c r="F695" s="7" t="str">
        <f aca="false">IFERROR(__xludf.dummyfunction("lower(GOOGLETRANSLATE(A695,""en"",""es""))"),"estas carpetas")</f>
        <v>estas carpetas</v>
      </c>
      <c r="H695" s="0" t="str">
        <f aca="false">A695&amp;"|"&amp;B695</f>
        <v>these folders|estas capetas</v>
      </c>
    </row>
    <row r="696" customFormat="false" ht="15.75" hidden="false" customHeight="false" outlineLevel="0" collapsed="false">
      <c r="A696" s="4" t="s">
        <v>1406</v>
      </c>
      <c r="B696" s="5" t="s">
        <v>1407</v>
      </c>
      <c r="C696" s="5" t="s">
        <v>1359</v>
      </c>
      <c r="D696" s="6"/>
      <c r="E696" s="7" t="str">
        <f aca="false">IFERROR(__xludf.dummyfunction("lower(GOOGLETRANSLATE(B696,""es"",""en""))"),"these rules")</f>
        <v>these rules</v>
      </c>
      <c r="F696" s="7" t="str">
        <f aca="false">IFERROR(__xludf.dummyfunction("lower(GOOGLETRANSLATE(A696,""en"",""es""))"),"estos regla / reglas")</f>
        <v>estos regla / reglas</v>
      </c>
      <c r="H696" s="0" t="str">
        <f aca="false">A696&amp;"|"&amp;B696</f>
        <v>these ruler/rules|estas reglas</v>
      </c>
    </row>
    <row r="697" customFormat="false" ht="15.75" hidden="false" customHeight="false" outlineLevel="0" collapsed="false">
      <c r="A697" s="4" t="s">
        <v>1408</v>
      </c>
      <c r="B697" s="5" t="s">
        <v>1409</v>
      </c>
      <c r="C697" s="5" t="s">
        <v>1359</v>
      </c>
      <c r="D697" s="6"/>
      <c r="E697" s="7" t="str">
        <f aca="false">IFERROR(__xludf.dummyfunction("lower(GOOGLETRANSLATE(B697,""es"",""en""))"),"these notebooks")</f>
        <v>these notebooks</v>
      </c>
      <c r="F697" s="7" t="str">
        <f aca="false">IFERROR(__xludf.dummyfunction("lower(GOOGLETRANSLATE(A697,""en"",""es""))"),"esos cuadernos")</f>
        <v>esos cuadernos</v>
      </c>
      <c r="H697" s="0" t="str">
        <f aca="false">A697&amp;"|"&amp;B697</f>
        <v>those notebooks|esas cuadernos</v>
      </c>
    </row>
    <row r="698" customFormat="false" ht="15.75" hidden="false" customHeight="false" outlineLevel="0" collapsed="false">
      <c r="A698" s="4" t="s">
        <v>1372</v>
      </c>
      <c r="B698" s="5" t="s">
        <v>1373</v>
      </c>
      <c r="C698" s="5" t="s">
        <v>1359</v>
      </c>
      <c r="D698" s="6"/>
      <c r="E698" s="7" t="str">
        <f aca="false">IFERROR(__xludf.dummyfunction("lower(GOOGLETRANSLATE(B698,""es"",""en""))"),"those weeks")</f>
        <v>those weeks</v>
      </c>
      <c r="F698" s="7" t="str">
        <f aca="false">IFERROR(__xludf.dummyfunction("lower(GOOGLETRANSLATE(A698,""en"",""es""))"),"esas semanas")</f>
        <v>esas semanas</v>
      </c>
      <c r="H698" s="0" t="str">
        <f aca="false">A698&amp;"|"&amp;B698</f>
        <v>those weeks|esas semanas</v>
      </c>
    </row>
    <row r="699" customFormat="false" ht="15.75" hidden="false" customHeight="false" outlineLevel="0" collapsed="false">
      <c r="A699" s="4" t="s">
        <v>1410</v>
      </c>
      <c r="B699" s="5" t="s">
        <v>1411</v>
      </c>
      <c r="C699" s="5" t="s">
        <v>1359</v>
      </c>
      <c r="D699" s="6"/>
      <c r="E699" s="7" t="str">
        <f aca="false">IFERROR(__xludf.dummyfunction("lower(GOOGLETRANSLATE(B699,""es"",""en""))"),"that backpack")</f>
        <v>that backpack</v>
      </c>
      <c r="F699" s="7" t="str">
        <f aca="false">IFERROR(__xludf.dummyfunction("lower(GOOGLETRANSLATE(A699,""en"",""es""))"),"que en rústica")</f>
        <v>que en rústica</v>
      </c>
      <c r="H699" s="0" t="str">
        <f aca="false">A699&amp;"|"&amp;B699</f>
        <v>that paperback|esa mochila</v>
      </c>
    </row>
    <row r="700" customFormat="false" ht="15.75" hidden="false" customHeight="false" outlineLevel="0" collapsed="false">
      <c r="A700" s="4" t="s">
        <v>1388</v>
      </c>
      <c r="B700" s="5" t="s">
        <v>1412</v>
      </c>
      <c r="C700" s="5" t="s">
        <v>1359</v>
      </c>
      <c r="D700" s="6"/>
      <c r="E700" s="7" t="str">
        <f aca="false">IFERROR(__xludf.dummyfunction("lower(GOOGLETRANSLATE(B700,""es"",""en""))"),"that pen")</f>
        <v>that pen</v>
      </c>
      <c r="F700" s="7" t="str">
        <f aca="false">IFERROR(__xludf.dummyfunction("lower(GOOGLETRANSLATE(A700,""en"",""es""))"),"esa pluma")</f>
        <v>esa pluma</v>
      </c>
      <c r="H700" s="0" t="str">
        <f aca="false">A700&amp;"|"&amp;B700</f>
        <v>that pen|esa pluma</v>
      </c>
    </row>
    <row r="701" customFormat="false" ht="15.75" hidden="false" customHeight="false" outlineLevel="0" collapsed="false">
      <c r="A701" s="4" t="s">
        <v>1413</v>
      </c>
      <c r="B701" s="5" t="s">
        <v>1414</v>
      </c>
      <c r="C701" s="5" t="s">
        <v>1359</v>
      </c>
      <c r="D701" s="6"/>
      <c r="E701" s="7" t="str">
        <f aca="false">IFERROR(__xludf.dummyfunction("lower(GOOGLETRANSLATE(B701,""es"",""en""))"),"that role")</f>
        <v>that role</v>
      </c>
      <c r="F701" s="7" t="str">
        <f aca="false">IFERROR(__xludf.dummyfunction("lower(GOOGLETRANSLATE(A701,""en"",""es""))"),"que el papel")</f>
        <v>que el papel</v>
      </c>
      <c r="H701" s="0" t="str">
        <f aca="false">A701&amp;"|"&amp;B701</f>
        <v>that paper|esa papel</v>
      </c>
    </row>
    <row r="702" customFormat="false" ht="15.75" hidden="false" customHeight="false" outlineLevel="0" collapsed="false">
      <c r="A702" s="4" t="s">
        <v>1384</v>
      </c>
      <c r="B702" s="5" t="s">
        <v>1385</v>
      </c>
      <c r="C702" s="5" t="s">
        <v>1359</v>
      </c>
      <c r="D702" s="6"/>
      <c r="E702" s="7" t="str">
        <f aca="false">IFERROR(__xludf.dummyfunction("lower(GOOGLETRANSLATE(B702,""es"",""en""))"),"that calculator")</f>
        <v>that calculator</v>
      </c>
      <c r="F702" s="7" t="str">
        <f aca="false">IFERROR(__xludf.dummyfunction("lower(GOOGLETRANSLATE(A702,""en"",""es""))"),"que la calculadora")</f>
        <v>que la calculadora</v>
      </c>
      <c r="H702" s="0" t="str">
        <f aca="false">A702&amp;"|"&amp;B702</f>
        <v>that calculator|esa calculadora</v>
      </c>
    </row>
    <row r="703" customFormat="false" ht="15.75" hidden="false" customHeight="false" outlineLevel="0" collapsed="false">
      <c r="A703" s="4" t="s">
        <v>1415</v>
      </c>
      <c r="B703" s="5" t="s">
        <v>1416</v>
      </c>
      <c r="C703" s="5" t="s">
        <v>1359</v>
      </c>
      <c r="D703" s="6"/>
      <c r="E703" s="7" t="str">
        <f aca="false">IFERROR(__xludf.dummyfunction("lower(GOOGLETRANSLATE(B703,""es"",""en""))"),"the notebook")</f>
        <v>the notebook</v>
      </c>
      <c r="F703" s="7" t="str">
        <f aca="false">IFERROR(__xludf.dummyfunction("lower(GOOGLETRANSLATE(A703,""en"",""es""))"),"ese cuaderno")</f>
        <v>ese cuaderno</v>
      </c>
      <c r="H703" s="0" t="str">
        <f aca="false">A703&amp;"|"&amp;B703</f>
        <v>that notebook|esa cuaderno</v>
      </c>
    </row>
    <row r="704" customFormat="false" ht="15.75" hidden="false" customHeight="false" outlineLevel="0" collapsed="false">
      <c r="A704" s="4" t="s">
        <v>1417</v>
      </c>
      <c r="B704" s="5" t="s">
        <v>1418</v>
      </c>
      <c r="C704" s="5" t="s">
        <v>1359</v>
      </c>
      <c r="D704" s="6"/>
      <c r="E704" s="7" t="str">
        <f aca="false">IFERROR(__xludf.dummyfunction("lower(GOOGLETRANSLATE(B704,""es"",""en""))"),"this date")</f>
        <v>this date</v>
      </c>
      <c r="F704" s="7" t="str">
        <f aca="false">IFERROR(__xludf.dummyfunction("lower(GOOGLETRANSLATE(A704,""en"",""es""))"),"esta fecha")</f>
        <v>esta fecha</v>
      </c>
      <c r="H704" s="0" t="str">
        <f aca="false">A704&amp;"|"&amp;B704</f>
        <v>this date|esta fecha</v>
      </c>
    </row>
    <row r="705" customFormat="false" ht="15.75" hidden="false" customHeight="false" outlineLevel="0" collapsed="false">
      <c r="A705" s="4" t="s">
        <v>1419</v>
      </c>
      <c r="B705" s="5" t="s">
        <v>1420</v>
      </c>
      <c r="C705" s="5" t="s">
        <v>1359</v>
      </c>
      <c r="D705" s="6"/>
      <c r="E705" s="7" t="str">
        <f aca="false">IFERROR(__xludf.dummyfunction("lower(GOOGLETRANSLATE(B705,""es"",""en""))"),"these desks")</f>
        <v>these desks</v>
      </c>
      <c r="F705" s="7" t="str">
        <f aca="false">IFERROR(__xludf.dummyfunction("lower(GOOGLETRANSLATE(A705,""en"",""es""))"),"los escritorios")</f>
        <v>los escritorios</v>
      </c>
      <c r="H705" s="0" t="str">
        <f aca="false">A705&amp;"|"&amp;B705</f>
        <v>those desks|esas escritorios</v>
      </c>
    </row>
    <row r="706" customFormat="false" ht="15.75" hidden="false" customHeight="false" outlineLevel="0" collapsed="false">
      <c r="A706" s="4" t="s">
        <v>1421</v>
      </c>
      <c r="B706" s="5" t="s">
        <v>1422</v>
      </c>
      <c r="C706" s="5" t="s">
        <v>1359</v>
      </c>
      <c r="D706" s="6"/>
      <c r="E706" s="7" t="str">
        <f aca="false">IFERROR(__xludf.dummyfunction("lower(GOOGLETRANSLATE(B706,""es"",""en""))"),"these marcadors")</f>
        <v>these marcadors</v>
      </c>
      <c r="F706" s="7" t="str">
        <f aca="false">IFERROR(__xludf.dummyfunction("lower(GOOGLETRANSLATE(A706,""en"",""es""))"),"estos marcadores")</f>
        <v>estos marcadores</v>
      </c>
      <c r="H706" s="0" t="str">
        <f aca="false">A706&amp;"|"&amp;B706</f>
        <v>these markers|estas marcadors</v>
      </c>
    </row>
    <row r="707" customFormat="false" ht="15.75" hidden="false" customHeight="false" outlineLevel="0" collapsed="false">
      <c r="A707" s="4" t="s">
        <v>1374</v>
      </c>
      <c r="B707" s="5" t="s">
        <v>1375</v>
      </c>
      <c r="C707" s="5" t="s">
        <v>1359</v>
      </c>
      <c r="D707" s="6"/>
      <c r="E707" s="7" t="str">
        <f aca="false">IFERROR(__xludf.dummyfunction("lower(GOOGLETRANSLATE(B707,""es"",""en""))"),"this week")</f>
        <v>this week</v>
      </c>
      <c r="F707" s="7" t="str">
        <f aca="false">IFERROR(__xludf.dummyfunction("lower(GOOGLETRANSLATE(A707,""en"",""es""))"),"esa semana")</f>
        <v>esa semana</v>
      </c>
      <c r="H707" s="0" t="str">
        <f aca="false">A707&amp;"|"&amp;B707</f>
        <v>that week|esa semana</v>
      </c>
    </row>
    <row r="708" customFormat="false" ht="15.75" hidden="false" customHeight="false" outlineLevel="0" collapsed="false">
      <c r="A708" s="4" t="s">
        <v>1423</v>
      </c>
      <c r="B708" s="5" t="s">
        <v>1424</v>
      </c>
      <c r="C708" s="5" t="s">
        <v>1359</v>
      </c>
      <c r="D708" s="6"/>
      <c r="E708" s="7" t="str">
        <f aca="false">IFERROR(__xludf.dummyfunction("lower(GOOGLETRANSLATE(B708,""es"",""en""))"),"this pen")</f>
        <v>this pen</v>
      </c>
      <c r="F708" s="7" t="str">
        <f aca="false">IFERROR(__xludf.dummyfunction("lower(GOOGLETRANSLATE(A708,""en"",""es""))"),"este lápiz")</f>
        <v>este lápiz</v>
      </c>
      <c r="H708" s="0" t="str">
        <f aca="false">A708&amp;"|"&amp;B708</f>
        <v>this pencil|esta lápiz</v>
      </c>
    </row>
    <row r="709" customFormat="false" ht="15.75" hidden="false" customHeight="false" outlineLevel="0" collapsed="false">
      <c r="A709" s="4" t="s">
        <v>1392</v>
      </c>
      <c r="B709" s="5" t="s">
        <v>1393</v>
      </c>
      <c r="C709" s="5" t="s">
        <v>1359</v>
      </c>
      <c r="D709" s="6"/>
      <c r="E709" s="7" t="str">
        <f aca="false">IFERROR(__xludf.dummyfunction("lower(GOOGLETRANSLATE(B709,""es"",""en""))"),"that capeta")</f>
        <v>that capeta</v>
      </c>
      <c r="F709" s="7" t="str">
        <f aca="false">IFERROR(__xludf.dummyfunction("lower(GOOGLETRANSLATE(A709,""en"",""es""))"),"esa carpeta")</f>
        <v>esa carpeta</v>
      </c>
      <c r="H709" s="0" t="str">
        <f aca="false">A709&amp;"|"&amp;B709</f>
        <v>that folder|esa capeta</v>
      </c>
    </row>
    <row r="710" customFormat="false" ht="15.75" hidden="false" customHeight="false" outlineLevel="0" collapsed="false">
      <c r="A710" s="4" t="s">
        <v>1425</v>
      </c>
      <c r="B710" s="5" t="s">
        <v>1426</v>
      </c>
      <c r="C710" s="5" t="s">
        <v>1359</v>
      </c>
      <c r="D710" s="6"/>
      <c r="E710" s="7" t="str">
        <f aca="false">IFERROR(__xludf.dummyfunction("lower(GOOGLETRANSLATE(B710,""es"",""en""))"),"this school")</f>
        <v>this school</v>
      </c>
      <c r="F710" s="7" t="str">
        <f aca="false">IFERROR(__xludf.dummyfunction("lower(GOOGLETRANSLATE(A710,""en"",""es""))"),"esta escuela")</f>
        <v>esta escuela</v>
      </c>
      <c r="H710" s="0" t="str">
        <f aca="false">A710&amp;"|"&amp;B710</f>
        <v>this school|esta escuela</v>
      </c>
    </row>
    <row r="711" customFormat="false" ht="15.75" hidden="false" customHeight="false" outlineLevel="0" collapsed="false">
      <c r="A711" s="4" t="s">
        <v>1427</v>
      </c>
      <c r="B711" s="5" t="s">
        <v>1428</v>
      </c>
      <c r="C711" s="5" t="s">
        <v>1359</v>
      </c>
      <c r="D711" s="6"/>
      <c r="E711" s="7" t="str">
        <f aca="false">IFERROR(__xludf.dummyfunction("lower(GOOGLETRANSLATE(B711,""es"",""en""))"),"the pencil")</f>
        <v>the pencil</v>
      </c>
      <c r="F711" s="7" t="str">
        <f aca="false">IFERROR(__xludf.dummyfunction("lower(GOOGLETRANSLATE(A711,""en"",""es""))"),"ese lápiz")</f>
        <v>ese lápiz</v>
      </c>
      <c r="H711" s="0" t="str">
        <f aca="false">A711&amp;"|"&amp;B711</f>
        <v>that pencil|esa lápiz</v>
      </c>
    </row>
    <row r="712" customFormat="false" ht="15.75" hidden="false" customHeight="false" outlineLevel="0" collapsed="false">
      <c r="A712" s="4" t="s">
        <v>1429</v>
      </c>
      <c r="B712" s="5" t="s">
        <v>1430</v>
      </c>
      <c r="C712" s="5" t="s">
        <v>1359</v>
      </c>
      <c r="D712" s="6"/>
      <c r="E712" s="7" t="str">
        <f aca="false">IFERROR(__xludf.dummyfunction("lower(GOOGLETRANSLATE(B712,""es"",""en""))"),"this desktop")</f>
        <v>this desktop</v>
      </c>
      <c r="F712" s="7" t="str">
        <f aca="false">IFERROR(__xludf.dummyfunction("lower(GOOGLETRANSLATE(A712,""en"",""es""))"),"este escritorio")</f>
        <v>este escritorio</v>
      </c>
      <c r="H712" s="0" t="str">
        <f aca="false">A712&amp;"|"&amp;B712</f>
        <v>this desk|esta escritorio</v>
      </c>
    </row>
    <row r="713" customFormat="false" ht="15.75" hidden="false" customHeight="false" outlineLevel="0" collapsed="false">
      <c r="A713" s="4" t="s">
        <v>1400</v>
      </c>
      <c r="B713" s="5" t="s">
        <v>1401</v>
      </c>
      <c r="C713" s="5" t="s">
        <v>1359</v>
      </c>
      <c r="D713" s="6"/>
      <c r="E713" s="7" t="str">
        <f aca="false">IFERROR(__xludf.dummyfunction("lower(GOOGLETRANSLATE(B713,""es"",""en""))"),"these agendas")</f>
        <v>these agendas</v>
      </c>
      <c r="F713" s="7" t="str">
        <f aca="false">IFERROR(__xludf.dummyfunction("lower(GOOGLETRANSLATE(A713,""en"",""es""))"),"los planificadores")</f>
        <v>los planificadores</v>
      </c>
      <c r="H713" s="0" t="str">
        <f aca="false">A713&amp;"|"&amp;B713</f>
        <v>those planners|esas agendas</v>
      </c>
    </row>
    <row r="714" customFormat="false" ht="15.75" hidden="false" customHeight="false" outlineLevel="0" collapsed="false">
      <c r="A714" s="4" t="s">
        <v>1431</v>
      </c>
      <c r="B714" s="5" t="s">
        <v>1432</v>
      </c>
      <c r="C714" s="5" t="s">
        <v>1359</v>
      </c>
      <c r="D714" s="6"/>
      <c r="E714" s="7" t="str">
        <f aca="false">IFERROR(__xludf.dummyfunction("lower(GOOGLETRANSLATE(B714,""es"",""en""))"),"these notebooks")</f>
        <v>these notebooks</v>
      </c>
      <c r="F714" s="7" t="str">
        <f aca="false">IFERROR(__xludf.dummyfunction("lower(GOOGLETRANSLATE(A714,""en"",""es""))"),"estos cuadernos")</f>
        <v>estos cuadernos</v>
      </c>
      <c r="H714" s="0" t="str">
        <f aca="false">A714&amp;"|"&amp;B714</f>
        <v>these notebooks|estas cuadernos</v>
      </c>
    </row>
    <row r="715" customFormat="false" ht="15.75" hidden="false" customHeight="false" outlineLevel="0" collapsed="false">
      <c r="A715" s="4" t="s">
        <v>1431</v>
      </c>
      <c r="B715" s="5" t="s">
        <v>1432</v>
      </c>
      <c r="C715" s="5" t="s">
        <v>1359</v>
      </c>
      <c r="D715" s="6"/>
      <c r="E715" s="7" t="str">
        <f aca="false">IFERROR(__xludf.dummyfunction("lower(GOOGLETRANSLATE(B715,""es"",""en""))"),"these notebooks")</f>
        <v>these notebooks</v>
      </c>
      <c r="F715" s="7" t="str">
        <f aca="false">IFERROR(__xludf.dummyfunction("lower(GOOGLETRANSLATE(A715,""en"",""es""))"),"estos cuadernos")</f>
        <v>estos cuadernos</v>
      </c>
      <c r="H715" s="0" t="str">
        <f aca="false">A715&amp;"|"&amp;B715</f>
        <v>these notebooks|estas cuadernos</v>
      </c>
    </row>
    <row r="716" customFormat="false" ht="15.75" hidden="false" customHeight="false" outlineLevel="0" collapsed="false">
      <c r="A716" s="4" t="s">
        <v>1357</v>
      </c>
      <c r="B716" s="5" t="s">
        <v>1433</v>
      </c>
      <c r="C716" s="5" t="s">
        <v>1359</v>
      </c>
      <c r="D716" s="6"/>
      <c r="E716" s="7" t="str">
        <f aca="false">IFERROR(__xludf.dummyfunction("lower(GOOGLETRANSLATE(B716,""es"",""en""))"),"those books")</f>
        <v>those books</v>
      </c>
      <c r="F716" s="7" t="str">
        <f aca="false">IFERROR(__xludf.dummyfunction("lower(GOOGLETRANSLATE(A716,""en"",""es""))"),"esos libros")</f>
        <v>esos libros</v>
      </c>
      <c r="H716" s="0" t="str">
        <f aca="false">A716&amp;"|"&amp;B716</f>
        <v>those books|esos libros</v>
      </c>
    </row>
    <row r="717" customFormat="false" ht="15.75" hidden="false" customHeight="false" outlineLevel="0" collapsed="false">
      <c r="A717" s="4" t="s">
        <v>1434</v>
      </c>
      <c r="B717" s="5" t="s">
        <v>1435</v>
      </c>
      <c r="C717" s="5" t="s">
        <v>1359</v>
      </c>
      <c r="D717" s="6"/>
      <c r="E717" s="7" t="str">
        <f aca="false">IFERROR(__xludf.dummyfunction("lower(GOOGLETRANSLATE(B717,""es"",""en""))"),"stay")</f>
        <v>stay</v>
      </c>
      <c r="F717" s="7" t="str">
        <f aca="false">IFERROR(__xludf.dummyfunction("lower(GOOGLETRANSLATE(A717,""en"",""es""))"),"este día")</f>
        <v>este día</v>
      </c>
      <c r="H717" s="0" t="str">
        <f aca="false">A717&amp;"|"&amp;B717</f>
        <v>this day|esta día</v>
      </c>
    </row>
    <row r="718" customFormat="false" ht="15.75" hidden="false" customHeight="false" outlineLevel="0" collapsed="false">
      <c r="A718" s="4" t="s">
        <v>1436</v>
      </c>
      <c r="B718" s="5" t="s">
        <v>1437</v>
      </c>
      <c r="C718" s="5" t="s">
        <v>1359</v>
      </c>
      <c r="D718" s="6"/>
      <c r="E718" s="7" t="str">
        <f aca="false">IFERROR(__xludf.dummyfunction("lower(GOOGLETRANSLATE(B718,""es"",""en""))"),"these days")</f>
        <v>these days</v>
      </c>
      <c r="F718" s="7" t="str">
        <f aca="false">IFERROR(__xludf.dummyfunction("lower(GOOGLETRANSLATE(A718,""en"",""es""))"),"estos días")</f>
        <v>estos días</v>
      </c>
      <c r="H718" s="0" t="str">
        <f aca="false">A718&amp;"|"&amp;B718</f>
        <v>these days|estas días</v>
      </c>
    </row>
    <row r="719" customFormat="false" ht="15.75" hidden="false" customHeight="false" outlineLevel="0" collapsed="false">
      <c r="A719" s="4" t="s">
        <v>1438</v>
      </c>
      <c r="B719" s="5" t="s">
        <v>1439</v>
      </c>
      <c r="C719" s="5" t="s">
        <v>1359</v>
      </c>
      <c r="D719" s="6"/>
      <c r="E719" s="7" t="str">
        <f aca="false">IFERROR(__xludf.dummyfunction("lower(GOOGLETRANSLATE(B719,""es"",""en""))"),"that schedule")</f>
        <v>that schedule</v>
      </c>
      <c r="F719" s="7" t="str">
        <f aca="false">IFERROR(__xludf.dummyfunction("lower(GOOGLETRANSLATE(A719,""en"",""es""))"),"ese horario")</f>
        <v>ese horario</v>
      </c>
      <c r="H719" s="0" t="str">
        <f aca="false">A719&amp;"|"&amp;B719</f>
        <v>that schedule|esa horario</v>
      </c>
    </row>
    <row r="720" customFormat="false" ht="15.75" hidden="false" customHeight="false" outlineLevel="0" collapsed="false">
      <c r="A720" s="4" t="s">
        <v>1440</v>
      </c>
      <c r="B720" s="5" t="s">
        <v>1441</v>
      </c>
      <c r="C720" s="5" t="s">
        <v>1442</v>
      </c>
      <c r="D720" s="6"/>
      <c r="E720" s="7" t="str">
        <f aca="false">IFERROR(__xludf.dummyfunction("lower(GOOGLETRANSLATE(B720,""es"",""en""))"),"you need this file")</f>
        <v>you need this file</v>
      </c>
      <c r="F720" s="7" t="str">
        <f aca="false">IFERROR(__xludf.dummyfunction("lower(GOOGLETRANSLATE(A720,""en"",""es""))"),"que necesita este gabinete")</f>
        <v>que necesita este gabinete</v>
      </c>
      <c r="H720" s="0" t="str">
        <f aca="false">A720&amp;"|"&amp;B720</f>
        <v>you need this cabinet|tú necesitas esta archivador</v>
      </c>
    </row>
    <row r="721" customFormat="false" ht="15.75" hidden="false" customHeight="false" outlineLevel="0" collapsed="false">
      <c r="A721" s="4" t="s">
        <v>1443</v>
      </c>
      <c r="B721" s="5" t="s">
        <v>1444</v>
      </c>
      <c r="C721" s="5" t="s">
        <v>1442</v>
      </c>
      <c r="D721" s="6"/>
      <c r="E721" s="7" t="str">
        <f aca="false">IFERROR(__xludf.dummyfunction("lower(GOOGLETRANSLATE(B721,""es"",""en""))"),"i know this book")</f>
        <v>i know this book</v>
      </c>
      <c r="F721" s="7" t="str">
        <f aca="false">IFERROR(__xludf.dummyfunction("lower(GOOGLETRANSLATE(A721,""en"",""es""))"),"sé que este libro")</f>
        <v>sé que este libro</v>
      </c>
      <c r="H721" s="0" t="str">
        <f aca="false">A721&amp;"|"&amp;B721</f>
        <v>i know this book|yo sé esta libro</v>
      </c>
    </row>
    <row r="722" customFormat="false" ht="15.75" hidden="false" customHeight="false" outlineLevel="0" collapsed="false">
      <c r="A722" s="4" t="s">
        <v>1445</v>
      </c>
      <c r="B722" s="5" t="s">
        <v>1446</v>
      </c>
      <c r="C722" s="5" t="s">
        <v>1442</v>
      </c>
      <c r="D722" s="6"/>
      <c r="E722" s="7" t="str">
        <f aca="false">IFERROR(__xludf.dummyfunction("lower(GOOGLETRANSLATE(B722,""es"",""en""))"),"he has these tables")</f>
        <v>he has these tables</v>
      </c>
      <c r="F722" s="7" t="str">
        <f aca="false">IFERROR(__xludf.dummyfunction("lower(GOOGLETRANSLATE(A722,""en"",""es""))"),"que tiene que estas tablas")</f>
        <v>que tiene que estas tablas</v>
      </c>
      <c r="H722" s="0" t="str">
        <f aca="false">A722&amp;"|"&amp;B722</f>
        <v>he has to these tables|el tiene estas mesas</v>
      </c>
    </row>
    <row r="723" customFormat="false" ht="15.75" hidden="false" customHeight="false" outlineLevel="0" collapsed="false">
      <c r="A723" s="4" t="s">
        <v>1447</v>
      </c>
      <c r="B723" s="5" t="s">
        <v>1448</v>
      </c>
      <c r="C723" s="5" t="s">
        <v>1442</v>
      </c>
      <c r="D723" s="6"/>
      <c r="E723" s="7" t="str">
        <f aca="false">IFERROR(__xludf.dummyfunction("lower(GOOGLETRANSLATE(B723,""es"",""en""))"),"you have to paint this desk")</f>
        <v>you have to paint this desk</v>
      </c>
      <c r="F723" s="7" t="str">
        <f aca="false">IFERROR(__xludf.dummyfunction("lower(GOOGLETRANSLATE(A723,""en"",""es""))"),"tienes que pintar este escritorio")</f>
        <v>tienes que pintar este escritorio</v>
      </c>
      <c r="H723" s="0" t="str">
        <f aca="false">A723&amp;"|"&amp;B723</f>
        <v>you have to paint this desk|tú tienes que pintar esta escritorio</v>
      </c>
    </row>
    <row r="724" customFormat="false" ht="15.75" hidden="false" customHeight="false" outlineLevel="0" collapsed="false">
      <c r="A724" s="4" t="s">
        <v>1449</v>
      </c>
      <c r="B724" s="5" t="s">
        <v>1450</v>
      </c>
      <c r="C724" s="5" t="s">
        <v>1442</v>
      </c>
      <c r="D724" s="6"/>
      <c r="E724" s="7" t="str">
        <f aca="false">IFERROR(__xludf.dummyfunction("lower(GOOGLETRANSLATE(B724,""es"",""en""))"),"he has this desktop")</f>
        <v>he has this desktop</v>
      </c>
      <c r="F724" s="7" t="str">
        <f aca="false">IFERROR(__xludf.dummyfunction("lower(GOOGLETRANSLATE(A724,""en"",""es""))"),"que tiene que este escritorio")</f>
        <v>que tiene que este escritorio</v>
      </c>
      <c r="H724" s="0" t="str">
        <f aca="false">A724&amp;"|"&amp;B724</f>
        <v>he has to this desk|el tiene esta escritorio</v>
      </c>
    </row>
    <row r="725" customFormat="false" ht="15.75" hidden="false" customHeight="false" outlineLevel="0" collapsed="false">
      <c r="A725" s="4" t="s">
        <v>1451</v>
      </c>
      <c r="B725" s="5" t="s">
        <v>1452</v>
      </c>
      <c r="C725" s="5" t="s">
        <v>1442</v>
      </c>
      <c r="D725" s="6"/>
      <c r="E725" s="7" t="str">
        <f aca="false">IFERROR(__xludf.dummyfunction("lower(GOOGLETRANSLATE(B725,""es"",""en""))"),"like the pencil")</f>
        <v>like the pencil</v>
      </c>
      <c r="F725" s="7" t="str">
        <f aca="false">IFERROR(__xludf.dummyfunction("lower(GOOGLETRANSLATE(A725,""en"",""es""))"),"te gusta ese lápiz")</f>
        <v>te gusta ese lápiz</v>
      </c>
      <c r="H725" s="0" t="str">
        <f aca="false">A725&amp;"|"&amp;B725</f>
        <v>you like that pencil|te gusta esa lápiz</v>
      </c>
    </row>
    <row r="726" customFormat="false" ht="15.75" hidden="false" customHeight="false" outlineLevel="0" collapsed="false">
      <c r="A726" s="4" t="s">
        <v>1453</v>
      </c>
      <c r="B726" s="5" t="s">
        <v>1454</v>
      </c>
      <c r="C726" s="5" t="s">
        <v>1442</v>
      </c>
      <c r="D726" s="6"/>
      <c r="E726" s="7" t="str">
        <f aca="false">IFERROR(__xludf.dummyfunction("lower(GOOGLETRANSLATE(B726,""es"",""en""))"),"she needs that backpack")</f>
        <v>she needs that backpack</v>
      </c>
      <c r="F726" s="7" t="str">
        <f aca="false">IFERROR(__xludf.dummyfunction("lower(GOOGLETRANSLATE(A726,""en"",""es""))"),"ella necesita que paperback")</f>
        <v>ella necesita que paperback</v>
      </c>
      <c r="H726" s="0" t="str">
        <f aca="false">A726&amp;"|"&amp;B726</f>
        <v>she needs that paperback|ella necesita esa mochila</v>
      </c>
    </row>
    <row r="727" customFormat="false" ht="15.75" hidden="false" customHeight="false" outlineLevel="0" collapsed="false">
      <c r="A727" s="4" t="s">
        <v>1455</v>
      </c>
      <c r="B727" s="5" t="s">
        <v>1456</v>
      </c>
      <c r="C727" s="5" t="s">
        <v>1442</v>
      </c>
      <c r="D727" s="6"/>
      <c r="E727" s="7" t="str">
        <f aca="false">IFERROR(__xludf.dummyfunction("lower(GOOGLETRANSLATE(B727,""es"",""en""))"),"she goes this date")</f>
        <v>she goes this date</v>
      </c>
      <c r="F727" s="7" t="str">
        <f aca="false">IFERROR(__xludf.dummyfunction("lower(GOOGLETRANSLATE(A727,""en"",""es""))"),"ella va a esta fecha")</f>
        <v>ella va a esta fecha</v>
      </c>
      <c r="H727" s="0" t="str">
        <f aca="false">A727&amp;"|"&amp;B727</f>
        <v>she is going to this date|ella va esta fecha</v>
      </c>
    </row>
    <row r="728" customFormat="false" ht="15.75" hidden="false" customHeight="false" outlineLevel="0" collapsed="false">
      <c r="A728" s="4" t="s">
        <v>1457</v>
      </c>
      <c r="B728" s="5" t="s">
        <v>1458</v>
      </c>
      <c r="C728" s="5" t="s">
        <v>1442</v>
      </c>
      <c r="D728" s="6"/>
      <c r="E728" s="7" t="str">
        <f aca="false">IFERROR(__xludf.dummyfunction("lower(GOOGLETRANSLATE(B728,""es"",""en""))"),"i have this notebook")</f>
        <v>i have this notebook</v>
      </c>
      <c r="F728" s="7" t="str">
        <f aca="false">IFERROR(__xludf.dummyfunction("lower(GOOGLETRANSLATE(A728,""en"",""es""))"),"tengo a este bloc de notas")</f>
        <v>tengo a este bloc de notas</v>
      </c>
      <c r="H728" s="0" t="str">
        <f aca="false">A728&amp;"|"&amp;B728</f>
        <v>i have to this notebook|yo tengo que esta cuaderno</v>
      </c>
    </row>
    <row r="729" customFormat="false" ht="15.75" hidden="false" customHeight="false" outlineLevel="0" collapsed="false">
      <c r="A729" s="4" t="s">
        <v>1459</v>
      </c>
      <c r="B729" s="5" t="s">
        <v>1460</v>
      </c>
      <c r="C729" s="5" t="s">
        <v>1442</v>
      </c>
      <c r="D729" s="6"/>
      <c r="E729" s="7" t="str">
        <f aca="false">IFERROR(__xludf.dummyfunction("lower(GOOGLETRANSLATE(B729,""es"",""en""))"),"he wants that date")</f>
        <v>he wants that date</v>
      </c>
      <c r="F729" s="7" t="str">
        <f aca="false">IFERROR(__xludf.dummyfunction("lower(GOOGLETRANSLATE(A729,""en"",""es""))"),"que quiere esa fecha")</f>
        <v>que quiere esa fecha</v>
      </c>
      <c r="H729" s="0" t="str">
        <f aca="false">A729&amp;"|"&amp;B729</f>
        <v>he wants that date|el quiere esa fecha</v>
      </c>
    </row>
    <row r="730" customFormat="false" ht="15.75" hidden="false" customHeight="false" outlineLevel="0" collapsed="false">
      <c r="A730" s="4" t="s">
        <v>1461</v>
      </c>
      <c r="B730" s="5" t="s">
        <v>1462</v>
      </c>
      <c r="C730" s="5" t="s">
        <v>1442</v>
      </c>
      <c r="D730" s="6"/>
      <c r="E730" s="7" t="str">
        <f aca="false">IFERROR(__xludf.dummyfunction("lower(GOOGLETRANSLATE(B730,""es"",""en""))"),"he has this role")</f>
        <v>he has this role</v>
      </c>
      <c r="F730" s="7" t="str">
        <f aca="false">IFERROR(__xludf.dummyfunction("lower(GOOGLETRANSLATE(A730,""en"",""es""))"),"que tiene que este documento")</f>
        <v>que tiene que este documento</v>
      </c>
      <c r="H730" s="0" t="str">
        <f aca="false">A730&amp;"|"&amp;B730</f>
        <v>he has to this paper|el tiene esta papel</v>
      </c>
    </row>
    <row r="731" customFormat="false" ht="15.75" hidden="false" customHeight="false" outlineLevel="0" collapsed="false">
      <c r="A731" s="4" t="s">
        <v>1463</v>
      </c>
      <c r="B731" s="5" t="s">
        <v>1464</v>
      </c>
      <c r="C731" s="5" t="s">
        <v>1442</v>
      </c>
      <c r="D731" s="6"/>
      <c r="E731" s="7" t="str">
        <f aca="false">IFERROR(__xludf.dummyfunction("lower(GOOGLETRANSLATE(B731,""es"",""en""))"),"he has these capetian")</f>
        <v>he has these capetian</v>
      </c>
      <c r="F731" s="7" t="str">
        <f aca="false">IFERROR(__xludf.dummyfunction("lower(GOOGLETRANSLATE(A731,""en"",""es""))"),"que tiene que esas carpetas")</f>
        <v>que tiene que esas carpetas</v>
      </c>
      <c r="H731" s="0" t="str">
        <f aca="false">A731&amp;"|"&amp;B731</f>
        <v>he has to those folders|el tiene esas capetas</v>
      </c>
    </row>
    <row r="732" customFormat="false" ht="15.75" hidden="false" customHeight="false" outlineLevel="0" collapsed="false">
      <c r="A732" s="4" t="s">
        <v>1465</v>
      </c>
      <c r="B732" s="5" t="s">
        <v>1466</v>
      </c>
      <c r="C732" s="5" t="s">
        <v>1442</v>
      </c>
      <c r="D732" s="6"/>
      <c r="E732" s="7" t="str">
        <f aca="false">IFERROR(__xludf.dummyfunction("lower(GOOGLETRANSLATE(B732,""es"",""en""))"),"he goes to these papels")</f>
        <v>he goes to these papels</v>
      </c>
      <c r="F732" s="7" t="str">
        <f aca="false">IFERROR(__xludf.dummyfunction("lower(GOOGLETRANSLATE(A732,""en"",""es""))"),"que va a estos documentos")</f>
        <v>que va a estos documentos</v>
      </c>
      <c r="H732" s="0" t="str">
        <f aca="false">A732&amp;"|"&amp;B732</f>
        <v>he is going to these papers|el va a estas papels</v>
      </c>
    </row>
    <row r="733" customFormat="false" ht="15.75" hidden="false" customHeight="false" outlineLevel="0" collapsed="false">
      <c r="A733" s="4" t="s">
        <v>1467</v>
      </c>
      <c r="B733" s="5" t="s">
        <v>1468</v>
      </c>
      <c r="C733" s="5" t="s">
        <v>1442</v>
      </c>
      <c r="D733" s="6"/>
      <c r="E733" s="7" t="str">
        <f aca="false">IFERROR(__xludf.dummyfunction("lower(GOOGLETRANSLATE(B733,""es"",""en""))"),"he prefers this computer")</f>
        <v>he prefers this computer</v>
      </c>
      <c r="F733" s="7" t="str">
        <f aca="false">IFERROR(__xludf.dummyfunction("lower(GOOGLETRANSLATE(A733,""en"",""es""))"),"él prefiere este equipo")</f>
        <v>él prefiere este equipo</v>
      </c>
      <c r="H733" s="0" t="str">
        <f aca="false">A733&amp;"|"&amp;B733</f>
        <v>he prefers this computer|el prefiere esta computadora</v>
      </c>
    </row>
    <row r="734" customFormat="false" ht="15.75" hidden="false" customHeight="false" outlineLevel="0" collapsed="false">
      <c r="A734" s="4" t="s">
        <v>1469</v>
      </c>
      <c r="B734" s="5" t="s">
        <v>1470</v>
      </c>
      <c r="C734" s="5" t="s">
        <v>1442</v>
      </c>
      <c r="D734" s="6"/>
      <c r="E734" s="7" t="str">
        <f aca="false">IFERROR(__xludf.dummyfunction("lower(GOOGLETRANSLATE(B734,""es"",""en""))"),"you need this table")</f>
        <v>you need this table</v>
      </c>
      <c r="F734" s="7" t="str">
        <f aca="false">IFERROR(__xludf.dummyfunction("lower(GOOGLETRANSLATE(A734,""en"",""es""))"),"que necesita esta tabla")</f>
        <v>que necesita esta tabla</v>
      </c>
      <c r="H734" s="0" t="str">
        <f aca="false">A734&amp;"|"&amp;B734</f>
        <v>you need this table|tú necesitas esta mesa</v>
      </c>
    </row>
    <row r="735" customFormat="false" ht="15.75" hidden="false" customHeight="false" outlineLevel="0" collapsed="false">
      <c r="A735" s="4" t="s">
        <v>1471</v>
      </c>
      <c r="B735" s="5" t="s">
        <v>1472</v>
      </c>
      <c r="C735" s="5" t="s">
        <v>1442</v>
      </c>
      <c r="D735" s="6"/>
      <c r="E735" s="7" t="str">
        <f aca="false">IFERROR(__xludf.dummyfunction("lower(GOOGLETRANSLATE(B735,""es"",""en""))"),"he has these dictionaries")</f>
        <v>he has these dictionaries</v>
      </c>
      <c r="F735" s="7" t="str">
        <f aca="false">IFERROR(__xludf.dummyfunction("lower(GOOGLETRANSLATE(A735,""en"",""es""))"),"que tiene que esos dictionarys")</f>
        <v>que tiene que esos dictionarys</v>
      </c>
      <c r="H735" s="0" t="str">
        <f aca="false">A735&amp;"|"&amp;B735</f>
        <v>he has to those dictionarys|el tiene esas diccionarios</v>
      </c>
    </row>
    <row r="736" customFormat="false" ht="15.75" hidden="false" customHeight="false" outlineLevel="0" collapsed="false">
      <c r="A736" s="4" t="s">
        <v>1473</v>
      </c>
      <c r="B736" s="5" t="s">
        <v>1474</v>
      </c>
      <c r="C736" s="5" t="s">
        <v>1442</v>
      </c>
      <c r="D736" s="6"/>
      <c r="E736" s="7" t="str">
        <f aca="false">IFERROR(__xludf.dummyfunction("lower(GOOGLETRANSLATE(B736,""es"",""en""))"),"the need that desktop")</f>
        <v>the need that desktop</v>
      </c>
      <c r="F736" s="7" t="str">
        <f aca="false">IFERROR(__xludf.dummyfunction("lower(GOOGLETRANSLATE(A736,""en"",""es""))"),"que necesita ese escritorio")</f>
        <v>que necesita ese escritorio</v>
      </c>
      <c r="H736" s="0" t="str">
        <f aca="false">A736&amp;"|"&amp;B736</f>
        <v>he needs that desk|el necesita esa escritorio</v>
      </c>
    </row>
    <row r="737" customFormat="false" ht="15.75" hidden="false" customHeight="false" outlineLevel="0" collapsed="false">
      <c r="A737" s="4" t="s">
        <v>1475</v>
      </c>
      <c r="B737" s="5" t="s">
        <v>1476</v>
      </c>
      <c r="C737" s="5" t="s">
        <v>1442</v>
      </c>
      <c r="D737" s="6"/>
      <c r="E737" s="7" t="str">
        <f aca="false">IFERROR(__xludf.dummyfunction("lower(GOOGLETRANSLATE(B737,""es"",""en""))"),"she has that marker")</f>
        <v>she has that marker</v>
      </c>
      <c r="F737" s="7" t="str">
        <f aca="false">IFERROR(__xludf.dummyfunction("lower(GOOGLETRANSLATE(A737,""en"",""es""))"),"ella tiene que ese marcador")</f>
        <v>ella tiene que ese marcador</v>
      </c>
      <c r="H737" s="0" t="str">
        <f aca="false">A737&amp;"|"&amp;B737</f>
        <v>she has to that marker|ella tiene esa marcador</v>
      </c>
    </row>
    <row r="738" customFormat="false" ht="15.75" hidden="false" customHeight="false" outlineLevel="0" collapsed="false">
      <c r="A738" s="4" t="s">
        <v>1477</v>
      </c>
      <c r="B738" s="5" t="s">
        <v>1478</v>
      </c>
      <c r="C738" s="5" t="s">
        <v>1442</v>
      </c>
      <c r="D738" s="6"/>
      <c r="E738" s="7" t="str">
        <f aca="false">IFERROR(__xludf.dummyfunction("lower(GOOGLETRANSLATE(B738,""es"",""en""))"),"she prefers these calendars")</f>
        <v>she prefers these calendars</v>
      </c>
      <c r="F738" s="7" t="str">
        <f aca="false">IFERROR(__xludf.dummyfunction("lower(GOOGLETRANSLATE(A738,""en"",""es""))"),"ella prefiere estos calendarios")</f>
        <v>ella prefiere estos calendarios</v>
      </c>
      <c r="H738" s="0" t="str">
        <f aca="false">A738&amp;"|"&amp;B738</f>
        <v>she prefers these calendars|ella prefiere estas calendarios</v>
      </c>
    </row>
    <row r="739" customFormat="false" ht="15.75" hidden="false" customHeight="false" outlineLevel="0" collapsed="false">
      <c r="A739" s="4" t="s">
        <v>1479</v>
      </c>
      <c r="B739" s="5" t="s">
        <v>1480</v>
      </c>
      <c r="C739" s="5" t="s">
        <v>1442</v>
      </c>
      <c r="D739" s="6"/>
      <c r="E739" s="7" t="str">
        <f aca="false">IFERROR(__xludf.dummyfunction("lower(GOOGLETRANSLATE(B739,""es"",""en""))"),"he wants these archivadors")</f>
        <v>he wants these archivadors</v>
      </c>
      <c r="F739" s="7" t="str">
        <f aca="false">IFERROR(__xludf.dummyfunction("lower(GOOGLETRANSLATE(A739,""en"",""es""))"),"que quiere estos gabinetes")</f>
        <v>que quiere estos gabinetes</v>
      </c>
      <c r="H739" s="0" t="str">
        <f aca="false">A739&amp;"|"&amp;B739</f>
        <v>he wants these cabinets|el quiere estas archivadors</v>
      </c>
    </row>
    <row r="740" customFormat="false" ht="15.75" hidden="false" customHeight="false" outlineLevel="0" collapsed="false">
      <c r="A740" s="4" t="s">
        <v>1481</v>
      </c>
      <c r="B740" s="5" t="s">
        <v>1482</v>
      </c>
      <c r="C740" s="5" t="s">
        <v>1442</v>
      </c>
      <c r="D740" s="6"/>
      <c r="E740" s="7" t="str">
        <f aca="false">IFERROR(__xludf.dummyfunction("lower(GOOGLETRANSLATE(B740,""es"",""en""))"),"she knows these computers")</f>
        <v>she knows these computers</v>
      </c>
      <c r="F740" s="7" t="str">
        <f aca="false">IFERROR(__xludf.dummyfunction("lower(GOOGLETRANSLATE(A740,""en"",""es""))"),"ella sabe que estos equipos")</f>
        <v>ella sabe que estos equipos</v>
      </c>
      <c r="H740" s="0" t="str">
        <f aca="false">A740&amp;"|"&amp;B740</f>
        <v>she knows these computers|ella sabe estas computadoras</v>
      </c>
    </row>
    <row r="741" customFormat="false" ht="15.75" hidden="false" customHeight="false" outlineLevel="0" collapsed="false">
      <c r="A741" s="4" t="s">
        <v>1483</v>
      </c>
      <c r="B741" s="5" t="s">
        <v>1484</v>
      </c>
      <c r="C741" s="5" t="s">
        <v>1442</v>
      </c>
      <c r="D741" s="6"/>
      <c r="E741" s="7" t="str">
        <f aca="false">IFERROR(__xludf.dummyfunction("lower(GOOGLETRANSLATE(B741,""es"",""en""))"),"he likes this pen")</f>
        <v>he likes this pen</v>
      </c>
      <c r="F741" s="7" t="str">
        <f aca="false">IFERROR(__xludf.dummyfunction("lower(GOOGLETRANSLATE(A741,""en"",""es""))"),"que le gusta esta pluma")</f>
        <v>que le gusta esta pluma</v>
      </c>
      <c r="H741" s="0" t="str">
        <f aca="false">A741&amp;"|"&amp;B741</f>
        <v>he likes this pen|le gusta esta bolígrafo</v>
      </c>
    </row>
    <row r="742" customFormat="false" ht="15.75" hidden="false" customHeight="false" outlineLevel="0" collapsed="false">
      <c r="A742" s="4" t="s">
        <v>1485</v>
      </c>
      <c r="B742" s="5" t="s">
        <v>1486</v>
      </c>
      <c r="C742" s="5" t="s">
        <v>1442</v>
      </c>
      <c r="D742" s="6"/>
      <c r="E742" s="7" t="str">
        <f aca="false">IFERROR(__xludf.dummyfunction("lower(GOOGLETRANSLATE(B742,""es"",""en""))"),"he knows this computer")</f>
        <v>he knows this computer</v>
      </c>
      <c r="F742" s="7" t="str">
        <f aca="false">IFERROR(__xludf.dummyfunction("lower(GOOGLETRANSLATE(A742,""en"",""es""))"),"él sabe que este equipo")</f>
        <v>él sabe que este equipo</v>
      </c>
      <c r="H742" s="0" t="str">
        <f aca="false">A742&amp;"|"&amp;B742</f>
        <v>he knows this computer|el sabe esta computadora</v>
      </c>
    </row>
    <row r="743" customFormat="false" ht="15.75" hidden="false" customHeight="false" outlineLevel="0" collapsed="false">
      <c r="A743" s="4" t="s">
        <v>1487</v>
      </c>
      <c r="B743" s="5" t="s">
        <v>1488</v>
      </c>
      <c r="C743" s="5" t="s">
        <v>1442</v>
      </c>
      <c r="D743" s="6"/>
      <c r="E743" s="7" t="str">
        <f aca="false">IFERROR(__xludf.dummyfunction("lower(GOOGLETRANSLATE(B743,""es"",""en""))"),"i have this role")</f>
        <v>i have this role</v>
      </c>
      <c r="F743" s="7" t="str">
        <f aca="false">IFERROR(__xludf.dummyfunction("lower(GOOGLETRANSLATE(A743,""en"",""es""))"),"tengo a este documento")</f>
        <v>tengo a este documento</v>
      </c>
      <c r="H743" s="0" t="str">
        <f aca="false">A743&amp;"|"&amp;B743</f>
        <v>i have to this paper|yo tengo que esta papel</v>
      </c>
    </row>
    <row r="744" customFormat="false" ht="15.75" hidden="false" customHeight="false" outlineLevel="0" collapsed="false">
      <c r="A744" s="4" t="s">
        <v>1489</v>
      </c>
      <c r="B744" s="5" t="s">
        <v>1490</v>
      </c>
      <c r="C744" s="5" t="s">
        <v>1442</v>
      </c>
      <c r="D744" s="6"/>
      <c r="E744" s="7" t="str">
        <f aca="false">IFERROR(__xludf.dummyfunction("lower(GOOGLETRANSLATE(B744,""es"",""en""))"),"i have these rules")</f>
        <v>i have these rules</v>
      </c>
      <c r="F744" s="7" t="str">
        <f aca="false">IFERROR(__xludf.dummyfunction("lower(GOOGLETRANSLATE(A744,""en"",""es""))"),"tengo que esos regla / reglas")</f>
        <v>tengo que esos regla / reglas</v>
      </c>
      <c r="H744" s="0" t="str">
        <f aca="false">A744&amp;"|"&amp;B744</f>
        <v>i have to those ruler/rules|yo tengo que esas reglas</v>
      </c>
    </row>
    <row r="745" customFormat="false" ht="15.75" hidden="false" customHeight="false" outlineLevel="0" collapsed="false">
      <c r="A745" s="4" t="s">
        <v>1491</v>
      </c>
      <c r="B745" s="5" t="s">
        <v>1492</v>
      </c>
      <c r="C745" s="5" t="s">
        <v>1442</v>
      </c>
      <c r="D745" s="6"/>
      <c r="E745" s="7" t="str">
        <f aca="false">IFERROR(__xludf.dummyfunction("lower(GOOGLETRANSLATE(B745,""es"",""en""))"),"i want these desks")</f>
        <v>i want these desks</v>
      </c>
      <c r="F745" s="7" t="str">
        <f aca="false">IFERROR(__xludf.dummyfunction("lower(GOOGLETRANSLATE(A745,""en"",""es""))"),"quiero que estos escritorios")</f>
        <v>quiero que estos escritorios</v>
      </c>
      <c r="H745" s="0" t="str">
        <f aca="false">A745&amp;"|"&amp;B745</f>
        <v>i want these desks|yo quiero estas escritorios</v>
      </c>
    </row>
    <row r="746" customFormat="false" ht="15.75" hidden="false" customHeight="false" outlineLevel="0" collapsed="false">
      <c r="A746" s="4" t="s">
        <v>1493</v>
      </c>
      <c r="B746" s="5" t="s">
        <v>1494</v>
      </c>
      <c r="C746" s="5" t="s">
        <v>1442</v>
      </c>
      <c r="D746" s="6"/>
      <c r="E746" s="7" t="str">
        <f aca="false">IFERROR(__xludf.dummyfunction("lower(GOOGLETRANSLATE(B746,""es"",""en""))"),"you have that calculator")</f>
        <v>you have that calculator</v>
      </c>
      <c r="F746" s="7" t="str">
        <f aca="false">IFERROR(__xludf.dummyfunction("lower(GOOGLETRANSLATE(A746,""en"",""es""))"),"usted tiene a la calculadora")</f>
        <v>usted tiene a la calculadora</v>
      </c>
      <c r="H746" s="0" t="str">
        <f aca="false">A746&amp;"|"&amp;B746</f>
        <v>you have to that calculator|tú tienes que esa calculadora</v>
      </c>
    </row>
    <row r="747" customFormat="false" ht="15.75" hidden="false" customHeight="false" outlineLevel="0" collapsed="false">
      <c r="A747" s="4" t="s">
        <v>1495</v>
      </c>
      <c r="B747" s="5" t="s">
        <v>1496</v>
      </c>
      <c r="C747" s="5" t="s">
        <v>1442</v>
      </c>
      <c r="D747" s="6"/>
      <c r="E747" s="7" t="str">
        <f aca="false">IFERROR(__xludf.dummyfunction("lower(GOOGLETRANSLATE(B747,""es"",""en""))"),"you need those calculators")</f>
        <v>you need those calculators</v>
      </c>
      <c r="F747" s="7" t="str">
        <f aca="false">IFERROR(__xludf.dummyfunction("lower(GOOGLETRANSLATE(A747,""en"",""es""))"),"que necesita esas calculadoras")</f>
        <v>que necesita esas calculadoras</v>
      </c>
      <c r="H747" s="0" t="str">
        <f aca="false">A747&amp;"|"&amp;B747</f>
        <v>you need those calculators|tú necesitas esas calculadoras</v>
      </c>
    </row>
    <row r="748" customFormat="false" ht="15.75" hidden="false" customHeight="false" outlineLevel="0" collapsed="false">
      <c r="A748" s="4" t="s">
        <v>1497</v>
      </c>
      <c r="B748" s="5" t="s">
        <v>1498</v>
      </c>
      <c r="C748" s="5" t="s">
        <v>1442</v>
      </c>
      <c r="D748" s="6"/>
      <c r="E748" s="7" t="str">
        <f aca="false">IFERROR(__xludf.dummyfunction("lower(GOOGLETRANSLATE(B748,""es"",""en""))"),"like those marcadors")</f>
        <v>like those marcadors</v>
      </c>
      <c r="F748" s="7" t="str">
        <f aca="false">IFERROR(__xludf.dummyfunction("lower(GOOGLETRANSLATE(A748,""en"",""es""))"),"te gustan esos marcadores")</f>
        <v>te gustan esos marcadores</v>
      </c>
      <c r="H748" s="0" t="str">
        <f aca="false">A748&amp;"|"&amp;B748</f>
        <v>you like those markers|te gusta esas marcadors</v>
      </c>
    </row>
    <row r="749" customFormat="false" ht="15.75" hidden="false" customHeight="false" outlineLevel="0" collapsed="false">
      <c r="A749" s="4" t="s">
        <v>1499</v>
      </c>
      <c r="B749" s="5" t="s">
        <v>1500</v>
      </c>
      <c r="C749" s="5" t="s">
        <v>1442</v>
      </c>
      <c r="D749" s="6"/>
      <c r="E749" s="7" t="str">
        <f aca="false">IFERROR(__xludf.dummyfunction("lower(GOOGLETRANSLATE(B749,""es"",""en""))"),"i like that schedule")</f>
        <v>i like that schedule</v>
      </c>
      <c r="F749" s="7" t="str">
        <f aca="false">IFERROR(__xludf.dummyfunction("lower(GOOGLETRANSLATE(A749,""en"",""es""))"),"me gusta ese horario")</f>
        <v>me gusta ese horario</v>
      </c>
      <c r="H749" s="0" t="str">
        <f aca="false">A749&amp;"|"&amp;B749</f>
        <v>i like that schedule|me gusta esa horario</v>
      </c>
    </row>
    <row r="750" customFormat="false" ht="15.75" hidden="false" customHeight="false" outlineLevel="0" collapsed="false">
      <c r="A750" s="4" t="s">
        <v>1501</v>
      </c>
      <c r="B750" s="5" t="s">
        <v>1502</v>
      </c>
      <c r="C750" s="5" t="s">
        <v>1442</v>
      </c>
      <c r="D750" s="6"/>
      <c r="E750" s="7" t="str">
        <f aca="false">IFERROR(__xludf.dummyfunction("lower(GOOGLETRANSLATE(B750,""es"",""en""))"),"you go to these notebooks")</f>
        <v>you go to these notebooks</v>
      </c>
      <c r="F750" s="7" t="str">
        <f aca="false">IFERROR(__xludf.dummyfunction("lower(GOOGLETRANSLATE(A750,""en"",""es""))"),"usted va a estos cuadernos")</f>
        <v>usted va a estos cuadernos</v>
      </c>
      <c r="H750" s="0" t="str">
        <f aca="false">A750&amp;"|"&amp;B750</f>
        <v>you are going to these notebooks|tú vas a estas cuadernos</v>
      </c>
    </row>
    <row r="751" customFormat="false" ht="15.75" hidden="false" customHeight="false" outlineLevel="0" collapsed="false">
      <c r="A751" s="4" t="s">
        <v>1503</v>
      </c>
      <c r="B751" s="5" t="s">
        <v>1504</v>
      </c>
      <c r="C751" s="5" t="s">
        <v>1442</v>
      </c>
      <c r="D751" s="6"/>
      <c r="E751" s="7" t="str">
        <f aca="false">IFERROR(__xludf.dummyfunction("lower(GOOGLETRANSLATE(B751,""es"",""en""))"),"she has those tables")</f>
        <v>she has those tables</v>
      </c>
      <c r="F751" s="7" t="str">
        <f aca="false">IFERROR(__xludf.dummyfunction("lower(GOOGLETRANSLATE(A751,""en"",""es""))"),"ella tiene que esas tablas")</f>
        <v>ella tiene que esas tablas</v>
      </c>
      <c r="H751" s="0" t="str">
        <f aca="false">A751&amp;"|"&amp;B751</f>
        <v>she has to those tables|ella tiene esas mesas</v>
      </c>
    </row>
    <row r="752" customFormat="false" ht="15.75" hidden="false" customHeight="false" outlineLevel="0" collapsed="false">
      <c r="A752" s="4" t="s">
        <v>1505</v>
      </c>
      <c r="B752" s="5" t="s">
        <v>1506</v>
      </c>
      <c r="C752" s="5" t="s">
        <v>1442</v>
      </c>
      <c r="D752" s="6"/>
      <c r="E752" s="7" t="str">
        <f aca="false">IFERROR(__xludf.dummyfunction("lower(GOOGLETRANSLATE(B752,""es"",""en""))"),"i like this school")</f>
        <v>i like this school</v>
      </c>
      <c r="F752" s="7" t="str">
        <f aca="false">IFERROR(__xludf.dummyfunction("lower(GOOGLETRANSLATE(A752,""en"",""es""))"),"me gusta esta escuela")</f>
        <v>me gusta esta escuela</v>
      </c>
      <c r="H752" s="0" t="str">
        <f aca="false">A752&amp;"|"&amp;B752</f>
        <v>i like this school|me gusta esta escuela</v>
      </c>
    </row>
    <row r="753" customFormat="false" ht="15.75" hidden="false" customHeight="false" outlineLevel="0" collapsed="false">
      <c r="A753" s="4" t="s">
        <v>1507</v>
      </c>
      <c r="B753" s="5" t="s">
        <v>1508</v>
      </c>
      <c r="C753" s="5" t="s">
        <v>1442</v>
      </c>
      <c r="D753" s="6"/>
      <c r="E753" s="7" t="str">
        <f aca="false">IFERROR(__xludf.dummyfunction("lower(GOOGLETRANSLATE(B753,""es"",""en""))"),"you know those feathers")</f>
        <v>you know those feathers</v>
      </c>
      <c r="F753" s="7" t="str">
        <f aca="false">IFERROR(__xludf.dummyfunction("lower(GOOGLETRANSLATE(A753,""en"",""es""))"),"sabes esas plumas")</f>
        <v>sabes esas plumas</v>
      </c>
      <c r="H753" s="0" t="str">
        <f aca="false">A753&amp;"|"&amp;B753</f>
        <v>you know those pens|tú sabes esas plumas</v>
      </c>
    </row>
    <row r="754" customFormat="false" ht="15.75" hidden="false" customHeight="false" outlineLevel="0" collapsed="false">
      <c r="A754" s="4" t="s">
        <v>1509</v>
      </c>
      <c r="B754" s="5" t="s">
        <v>1510</v>
      </c>
      <c r="C754" s="5" t="s">
        <v>1442</v>
      </c>
      <c r="D754" s="6"/>
      <c r="E754" s="7" t="str">
        <f aca="false">IFERROR(__xludf.dummyfunction("lower(GOOGLETRANSLATE(B754,""es"",""en""))"),"you can this dictionary")</f>
        <v>you can this dictionary</v>
      </c>
      <c r="F754" s="7" t="str">
        <f aca="false">IFERROR(__xludf.dummyfunction("lower(GOOGLETRANSLATE(A754,""en"",""es""))"),"que se puede diccionario")</f>
        <v>que se puede diccionario</v>
      </c>
      <c r="H754" s="0" t="str">
        <f aca="false">A754&amp;"|"&amp;B754</f>
        <v>you can that dictionary|tú puedes esa diccionario</v>
      </c>
    </row>
    <row r="755" customFormat="false" ht="15.75" hidden="false" customHeight="false" outlineLevel="0" collapsed="false">
      <c r="A755" s="4" t="s">
        <v>1511</v>
      </c>
      <c r="B755" s="5" t="s">
        <v>1512</v>
      </c>
      <c r="C755" s="5" t="s">
        <v>1442</v>
      </c>
      <c r="D755" s="6"/>
      <c r="E755" s="7" t="str">
        <f aca="false">IFERROR(__xludf.dummyfunction("lower(GOOGLETRANSLATE(B755,""es"",""en""))"),"you have this pen")</f>
        <v>you have this pen</v>
      </c>
      <c r="F755" s="7" t="str">
        <f aca="false">IFERROR(__xludf.dummyfunction("lower(GOOGLETRANSLATE(A755,""en"",""es""))"),"usted tiene que este lápiz")</f>
        <v>usted tiene que este lápiz</v>
      </c>
      <c r="H755" s="0" t="str">
        <f aca="false">A755&amp;"|"&amp;B755</f>
        <v>you have to this pencil|tú tienes que esta lápiz</v>
      </c>
    </row>
    <row r="756" customFormat="false" ht="15.75" hidden="false" customHeight="false" outlineLevel="0" collapsed="false">
      <c r="A756" s="4" t="s">
        <v>1513</v>
      </c>
      <c r="B756" s="5" t="s">
        <v>1514</v>
      </c>
      <c r="C756" s="5" t="s">
        <v>1442</v>
      </c>
      <c r="D756" s="6"/>
      <c r="E756" s="7" t="str">
        <f aca="false">IFERROR(__xludf.dummyfunction("lower(GOOGLETRANSLATE(B756,""es"",""en""))"),"i want this week")</f>
        <v>i want this week</v>
      </c>
      <c r="F756" s="7" t="str">
        <f aca="false">IFERROR(__xludf.dummyfunction("lower(GOOGLETRANSLATE(A756,""en"",""es""))"),"quiero esta semana")</f>
        <v>quiero esta semana</v>
      </c>
      <c r="H756" s="0" t="str">
        <f aca="false">A756&amp;"|"&amp;B756</f>
        <v>i want this week|yo quiero esta semana</v>
      </c>
    </row>
    <row r="757" customFormat="false" ht="15.75" hidden="false" customHeight="false" outlineLevel="0" collapsed="false">
      <c r="A757" s="4" t="s">
        <v>1515</v>
      </c>
      <c r="B757" s="5" t="s">
        <v>1516</v>
      </c>
      <c r="C757" s="5" t="s">
        <v>1442</v>
      </c>
      <c r="D757" s="6"/>
      <c r="E757" s="7" t="str">
        <f aca="false">IFERROR(__xludf.dummyfunction("lower(GOOGLETRANSLATE(B757,""es"",""en""))"),"i like that pen")</f>
        <v>i like that pen</v>
      </c>
      <c r="F757" s="7" t="str">
        <f aca="false">IFERROR(__xludf.dummyfunction("lower(GOOGLETRANSLATE(A757,""en"",""es""))"),"me gusta que la pluma")</f>
        <v>me gusta que la pluma</v>
      </c>
      <c r="H757" s="0" t="str">
        <f aca="false">A757&amp;"|"&amp;B757</f>
        <v>i like that pen|me gusta esa pluma</v>
      </c>
    </row>
    <row r="758" customFormat="false" ht="15.75" hidden="false" customHeight="false" outlineLevel="0" collapsed="false">
      <c r="A758" s="4" t="s">
        <v>1517</v>
      </c>
      <c r="B758" s="5" t="s">
        <v>1518</v>
      </c>
      <c r="C758" s="5" t="s">
        <v>1442</v>
      </c>
      <c r="D758" s="6"/>
      <c r="E758" s="7" t="str">
        <f aca="false">IFERROR(__xludf.dummyfunction("lower(GOOGLETRANSLATE(B758,""es"",""en""))"),"he can that backpack")</f>
        <v>he can that backpack</v>
      </c>
      <c r="F758" s="7" t="str">
        <f aca="false">IFERROR(__xludf.dummyfunction("lower(GOOGLETRANSLATE(A758,""en"",""es""))"),"que puede que en rústica")</f>
        <v>que puede que en rústica</v>
      </c>
      <c r="H758" s="0" t="str">
        <f aca="false">A758&amp;"|"&amp;B758</f>
        <v>he can that paperback|el puede esa mochila</v>
      </c>
    </row>
    <row r="759" customFormat="false" ht="15.75" hidden="false" customHeight="false" outlineLevel="0" collapsed="false">
      <c r="A759" s="4" t="s">
        <v>1519</v>
      </c>
      <c r="B759" s="5" t="s">
        <v>1520</v>
      </c>
      <c r="C759" s="5" t="s">
        <v>1442</v>
      </c>
      <c r="D759" s="6"/>
      <c r="E759" s="7" t="str">
        <f aca="false">IFERROR(__xludf.dummyfunction("lower(GOOGLETRANSLATE(B759,""es"",""en""))"),"i go to those weeks")</f>
        <v>i go to those weeks</v>
      </c>
      <c r="F759" s="7" t="str">
        <f aca="false">IFERROR(__xludf.dummyfunction("lower(GOOGLETRANSLATE(A759,""en"",""es""))"),"voy a aquellas semanas")</f>
        <v>voy a aquellas semanas</v>
      </c>
      <c r="H759" s="0" t="str">
        <f aca="false">A759&amp;"|"&amp;B759</f>
        <v>i am going to those weeks|yo voy a esas semanas</v>
      </c>
    </row>
    <row r="760" customFormat="false" ht="15.75" hidden="false" customHeight="false" outlineLevel="0" collapsed="false">
      <c r="A760" s="4" t="s">
        <v>1521</v>
      </c>
      <c r="B760" s="5" t="s">
        <v>1522</v>
      </c>
      <c r="C760" s="5" t="s">
        <v>1442</v>
      </c>
      <c r="D760" s="6"/>
      <c r="E760" s="7" t="str">
        <f aca="false">IFERROR(__xludf.dummyfunction("lower(GOOGLETRANSLATE(B760,""es"",""en""))"),"he liked these books")</f>
        <v>he liked these books</v>
      </c>
      <c r="F760" s="7" t="str">
        <f aca="false">IFERROR(__xludf.dummyfunction("lower(GOOGLETRANSLATE(A760,""en"",""es""))"),"le gustan los libros")</f>
        <v>le gustan los libros</v>
      </c>
      <c r="H760" s="0" t="str">
        <f aca="false">A760&amp;"|"&amp;B760</f>
        <v>he likes those books|le gusta esas libros</v>
      </c>
    </row>
    <row r="761" customFormat="false" ht="15.75" hidden="false" customHeight="false" outlineLevel="0" collapsed="false">
      <c r="A761" s="4" t="s">
        <v>1523</v>
      </c>
      <c r="B761" s="5" t="s">
        <v>1524</v>
      </c>
      <c r="C761" s="5" t="s">
        <v>1442</v>
      </c>
      <c r="D761" s="6"/>
      <c r="E761" s="7" t="str">
        <f aca="false">IFERROR(__xludf.dummyfunction("lower(GOOGLETRANSLATE(B761,""es"",""en""))"),"she needs this pen")</f>
        <v>she needs this pen</v>
      </c>
      <c r="F761" s="7" t="str">
        <f aca="false">IFERROR(__xludf.dummyfunction("lower(GOOGLETRANSLATE(A761,""en"",""es""))"),"que necesita este lápiz")</f>
        <v>que necesita este lápiz</v>
      </c>
      <c r="H761" s="0" t="str">
        <f aca="false">A761&amp;"|"&amp;B761</f>
        <v>she needs this pencil|ella necesita esta lápiz</v>
      </c>
    </row>
    <row r="762" customFormat="false" ht="15.75" hidden="false" customHeight="false" outlineLevel="0" collapsed="false">
      <c r="A762" s="4" t="s">
        <v>1525</v>
      </c>
      <c r="B762" s="5" t="s">
        <v>1526</v>
      </c>
      <c r="C762" s="5" t="s">
        <v>1442</v>
      </c>
      <c r="D762" s="6"/>
      <c r="E762" s="7" t="str">
        <f aca="false">IFERROR(__xludf.dummyfunction("lower(GOOGLETRANSLATE(B762,""es"",""en""))"),"she prefers these backpacks")</f>
        <v>she prefers these backpacks</v>
      </c>
      <c r="F762" s="7" t="str">
        <f aca="false">IFERROR(__xludf.dummyfunction("lower(GOOGLETRANSLATE(A762,""en"",""es""))"),"ella prefiere estos libros de bolsillo")</f>
        <v>ella prefiere estos libros de bolsillo</v>
      </c>
      <c r="H762" s="0" t="str">
        <f aca="false">A762&amp;"|"&amp;B762</f>
        <v>she prefers these paperbacks|ella prefiere estas mochilas</v>
      </c>
    </row>
    <row r="763" customFormat="false" ht="15.75" hidden="false" customHeight="false" outlineLevel="0" collapsed="false">
      <c r="A763" s="4" t="s">
        <v>1527</v>
      </c>
      <c r="B763" s="5" t="s">
        <v>1528</v>
      </c>
      <c r="C763" s="5" t="s">
        <v>1442</v>
      </c>
      <c r="D763" s="6"/>
      <c r="E763" s="7" t="str">
        <f aca="false">IFERROR(__xludf.dummyfunction("lower(GOOGLETRANSLATE(B763,""es"",""en""))"),"you go to these rules")</f>
        <v>you go to these rules</v>
      </c>
      <c r="F763" s="7" t="str">
        <f aca="false">IFERROR(__xludf.dummyfunction("lower(GOOGLETRANSLATE(A763,""en"",""es""))"),"usted va a estas reglas regla /")</f>
        <v>usted va a estas reglas regla /</v>
      </c>
      <c r="H763" s="0" t="str">
        <f aca="false">A763&amp;"|"&amp;B763</f>
        <v>you are going to these ruler/rules|tú vas a estas reglas</v>
      </c>
    </row>
    <row r="764" customFormat="false" ht="15.75" hidden="false" customHeight="false" outlineLevel="0" collapsed="false">
      <c r="A764" s="4" t="s">
        <v>1529</v>
      </c>
      <c r="B764" s="5" t="s">
        <v>1530</v>
      </c>
      <c r="C764" s="5" t="s">
        <v>1442</v>
      </c>
      <c r="D764" s="6"/>
      <c r="E764" s="7" t="str">
        <f aca="false">IFERROR(__xludf.dummyfunction("lower(GOOGLETRANSLATE(B764,""es"",""en""))"),"he has that pencil")</f>
        <v>he has that pencil</v>
      </c>
      <c r="F764" s="7" t="str">
        <f aca="false">IFERROR(__xludf.dummyfunction("lower(GOOGLETRANSLATE(A764,""en"",""es""))"),"que tiene que ese lápiz")</f>
        <v>que tiene que ese lápiz</v>
      </c>
      <c r="H764" s="0" t="str">
        <f aca="false">A764&amp;"|"&amp;B764</f>
        <v>he has to that pencil|el tiene esa lápiz</v>
      </c>
    </row>
    <row r="765" customFormat="false" ht="15.75" hidden="false" customHeight="false" outlineLevel="0" collapsed="false">
      <c r="A765" s="4" t="s">
        <v>1531</v>
      </c>
      <c r="B765" s="5" t="s">
        <v>1532</v>
      </c>
      <c r="C765" s="5" t="s">
        <v>1442</v>
      </c>
      <c r="D765" s="6"/>
      <c r="E765" s="7" t="str">
        <f aca="false">IFERROR(__xludf.dummyfunction("lower(GOOGLETRANSLATE(B765,""es"",""en""))"),"you know those computers")</f>
        <v>you know those computers</v>
      </c>
      <c r="F765" s="7" t="str">
        <f aca="false">IFERROR(__xludf.dummyfunction("lower(GOOGLETRANSLATE(A765,""en"",""es""))"),"sabes que esas computadoras")</f>
        <v>sabes que esas computadoras</v>
      </c>
      <c r="H765" s="0" t="str">
        <f aca="false">A765&amp;"|"&amp;B765</f>
        <v>you know those computers|tú sabes esas computadoras</v>
      </c>
    </row>
    <row r="766" customFormat="false" ht="15.75" hidden="false" customHeight="false" outlineLevel="0" collapsed="false">
      <c r="A766" s="4" t="s">
        <v>1533</v>
      </c>
      <c r="B766" s="5" t="s">
        <v>1534</v>
      </c>
      <c r="C766" s="5" t="s">
        <v>1442</v>
      </c>
      <c r="D766" s="6"/>
      <c r="E766" s="7" t="str">
        <f aca="false">IFERROR(__xludf.dummyfunction("lower(GOOGLETRANSLATE(B766,""es"",""en""))"),"i want those rules")</f>
        <v>i want those rules</v>
      </c>
      <c r="F766" s="7" t="str">
        <f aca="false">IFERROR(__xludf.dummyfunction("lower(GOOGLETRANSLATE(A766,""en"",""es""))"),"quiero esos regla / reglas")</f>
        <v>quiero esos regla / reglas</v>
      </c>
      <c r="H766" s="0" t="str">
        <f aca="false">A766&amp;"|"&amp;B766</f>
        <v>i want those ruler/rules|yo quiero esas reglas</v>
      </c>
    </row>
    <row r="767" customFormat="false" ht="15.75" hidden="false" customHeight="false" outlineLevel="0" collapsed="false">
      <c r="A767" s="4" t="s">
        <v>1535</v>
      </c>
      <c r="B767" s="5" t="s">
        <v>1536</v>
      </c>
      <c r="C767" s="5" t="s">
        <v>1442</v>
      </c>
      <c r="D767" s="6"/>
      <c r="E767" s="7" t="str">
        <f aca="false">IFERROR(__xludf.dummyfunction("lower(GOOGLETRANSLATE(B767,""es"",""en""))"),"she can this role")</f>
        <v>she can this role</v>
      </c>
      <c r="F767" s="7" t="str">
        <f aca="false">IFERROR(__xludf.dummyfunction("lower(GOOGLETRANSLATE(A767,""en"",""es""))"),"que pueda este documento")</f>
        <v>que pueda este documento</v>
      </c>
      <c r="H767" s="0" t="str">
        <f aca="false">A767&amp;"|"&amp;B767</f>
        <v>she can this paper|ella puede esta papel</v>
      </c>
    </row>
    <row r="768" customFormat="false" ht="15.75" hidden="false" customHeight="false" outlineLevel="0" collapsed="false">
      <c r="A768" s="4" t="s">
        <v>1537</v>
      </c>
      <c r="B768" s="5" t="s">
        <v>1538</v>
      </c>
      <c r="C768" s="5" t="s">
        <v>1442</v>
      </c>
      <c r="D768" s="6"/>
      <c r="E768" s="7" t="str">
        <f aca="false">IFERROR(__xludf.dummyfunction("lower(GOOGLETRANSLATE(B768,""es"",""en""))"),"i go to these books")</f>
        <v>i go to these books</v>
      </c>
      <c r="F768" s="7" t="str">
        <f aca="false">IFERROR(__xludf.dummyfunction("lower(GOOGLETRANSLATE(A768,""en"",""es""))"),"voy a esos libros")</f>
        <v>voy a esos libros</v>
      </c>
      <c r="H768" s="0" t="str">
        <f aca="false">A768&amp;"|"&amp;B768</f>
        <v>i am going to those books|yo voy a esos libros</v>
      </c>
    </row>
    <row r="769" customFormat="false" ht="15.75" hidden="false" customHeight="false" outlineLevel="0" collapsed="false">
      <c r="A769" s="4" t="s">
        <v>1539</v>
      </c>
      <c r="B769" s="5" t="s">
        <v>1540</v>
      </c>
      <c r="C769" s="5" t="s">
        <v>1442</v>
      </c>
      <c r="D769" s="6"/>
      <c r="E769" s="7" t="str">
        <f aca="false">IFERROR(__xludf.dummyfunction("lower(GOOGLETRANSLATE(B769,""es"",""en""))"),"you go to those tables")</f>
        <v>you go to those tables</v>
      </c>
      <c r="F769" s="7" t="str">
        <f aca="false">IFERROR(__xludf.dummyfunction("lower(GOOGLETRANSLATE(A769,""en"",""es""))"),"usted va a esas tablas")</f>
        <v>usted va a esas tablas</v>
      </c>
      <c r="H769" s="0" t="str">
        <f aca="false">A769&amp;"|"&amp;B769</f>
        <v>you are going to those tables|tú vas a esas mesas</v>
      </c>
    </row>
    <row r="770" customFormat="false" ht="15.75" hidden="false" customHeight="false" outlineLevel="0" collapsed="false">
      <c r="A770" s="4" t="s">
        <v>1541</v>
      </c>
      <c r="B770" s="5" t="s">
        <v>1542</v>
      </c>
      <c r="C770" s="5" t="s">
        <v>1543</v>
      </c>
      <c r="D770" s="6"/>
      <c r="E770" s="7" t="str">
        <f aca="false">IFERROR(__xludf.dummyfunction("lower(GOOGLETRANSLATE(B770,""es"",""en""))"),"i'm sick")</f>
        <v>i'm sick</v>
      </c>
      <c r="F770" s="7" t="str">
        <f aca="false">IFERROR(__xludf.dummyfunction("lower(GOOGLETRANSLATE(A770,""en"",""es""))"),"i (m) estoy enfermo")</f>
        <v>i (m) estoy enfermo</v>
      </c>
      <c r="H770" s="0" t="str">
        <f aca="false">A770&amp;"|"&amp;B770</f>
        <v>i (m) am ill|estoy enfermo</v>
      </c>
    </row>
    <row r="771" customFormat="false" ht="15.75" hidden="false" customHeight="false" outlineLevel="0" collapsed="false">
      <c r="A771" s="4" t="s">
        <v>1544</v>
      </c>
      <c r="B771" s="5" t="s">
        <v>1545</v>
      </c>
      <c r="C771" s="5" t="s">
        <v>1543</v>
      </c>
      <c r="D771" s="6"/>
      <c r="E771" s="7" t="str">
        <f aca="false">IFERROR(__xludf.dummyfunction("lower(GOOGLETRANSLATE(B771,""es"",""en""))"),"i'm sick")</f>
        <v>i'm sick</v>
      </c>
      <c r="F771" s="7" t="str">
        <f aca="false">IFERROR(__xludf.dummyfunction("lower(GOOGLETRANSLATE(A771,""en"",""es""))"),"i (hembra) esté enfermo")</f>
        <v>i (hembra) esté enfermo</v>
      </c>
      <c r="H771" s="0" t="str">
        <f aca="false">A771&amp;"|"&amp;B771</f>
        <v>i (female) am ill|estoy enferma</v>
      </c>
    </row>
    <row r="772" customFormat="false" ht="15.75" hidden="false" customHeight="false" outlineLevel="0" collapsed="false">
      <c r="A772" s="4" t="s">
        <v>1546</v>
      </c>
      <c r="B772" s="5" t="s">
        <v>1547</v>
      </c>
      <c r="C772" s="5" t="s">
        <v>1543</v>
      </c>
      <c r="D772" s="6"/>
      <c r="E772" s="7" t="str">
        <f aca="false">IFERROR(__xludf.dummyfunction("lower(GOOGLETRANSLATE(B772,""es"",""en""))"),"i'm tired")</f>
        <v>i'm tired</v>
      </c>
      <c r="F772" s="7" t="str">
        <f aca="false">IFERROR(__xludf.dummyfunction("lower(GOOGLETRANSLATE(A772,""en"",""es""))"),"i (masculin) estoy cansado")</f>
        <v>i (masculin) estoy cansado</v>
      </c>
      <c r="H772" s="0" t="str">
        <f aca="false">A772&amp;"|"&amp;B772</f>
        <v>i (masculin) am tired|estoy cansado</v>
      </c>
    </row>
    <row r="773" customFormat="false" ht="15.75" hidden="false" customHeight="false" outlineLevel="0" collapsed="false">
      <c r="A773" s="4" t="s">
        <v>1548</v>
      </c>
      <c r="B773" s="5" t="s">
        <v>1549</v>
      </c>
      <c r="C773" s="5" t="s">
        <v>1543</v>
      </c>
      <c r="D773" s="6"/>
      <c r="E773" s="7" t="str">
        <f aca="false">IFERROR(__xludf.dummyfunction("lower(GOOGLETRANSLATE(B773,""es"",""en""))"),"i'm tired")</f>
        <v>i'm tired</v>
      </c>
      <c r="F773" s="7" t="str">
        <f aca="false">IFERROR(__xludf.dummyfunction("lower(GOOGLETRANSLATE(A773,""en"",""es""))"),"i (hembra) estoy cansado")</f>
        <v>i (hembra) estoy cansado</v>
      </c>
      <c r="H773" s="0" t="str">
        <f aca="false">A773&amp;"|"&amp;B773</f>
        <v>i (female) am tired|estoy cansada</v>
      </c>
    </row>
    <row r="774" customFormat="false" ht="15.75" hidden="false" customHeight="false" outlineLevel="0" collapsed="false">
      <c r="A774" s="4" t="s">
        <v>1550</v>
      </c>
      <c r="B774" s="5" t="s">
        <v>1551</v>
      </c>
      <c r="C774" s="5" t="s">
        <v>1543</v>
      </c>
      <c r="D774" s="6"/>
      <c r="E774" s="7" t="str">
        <f aca="false">IFERROR(__xludf.dummyfunction("lower(GOOGLETRANSLATE(B774,""es"",""en""))"),"you are happy")</f>
        <v>you are happy</v>
      </c>
      <c r="F774" s="7" t="str">
        <f aca="false">IFERROR(__xludf.dummyfunction("lower(GOOGLETRANSLATE(A774,""en"",""es""))"),"usted (masculin) está satisfecho")</f>
        <v>usted (masculin) está satisfecho</v>
      </c>
      <c r="H774" s="0" t="str">
        <f aca="false">A774&amp;"|"&amp;B774</f>
        <v>you (masculin) are happy|estas contento</v>
      </c>
    </row>
    <row r="775" customFormat="false" ht="15.75" hidden="false" customHeight="false" outlineLevel="0" collapsed="false">
      <c r="A775" s="4" t="s">
        <v>1552</v>
      </c>
      <c r="B775" s="5" t="s">
        <v>1553</v>
      </c>
      <c r="C775" s="5" t="s">
        <v>1543</v>
      </c>
      <c r="D775" s="6"/>
      <c r="E775" s="7" t="str">
        <f aca="false">IFERROR(__xludf.dummyfunction("lower(GOOGLETRANSLATE(B775,""es"",""en""))"),"you are happy")</f>
        <v>you are happy</v>
      </c>
      <c r="F775" s="7" t="str">
        <f aca="false">IFERROR(__xludf.dummyfunction("lower(GOOGLETRANSLATE(A775,""en"",""es""))"),"usted (f) está satisfecho")</f>
        <v>usted (f) está satisfecho</v>
      </c>
      <c r="H775" s="0" t="str">
        <f aca="false">A775&amp;"|"&amp;B775</f>
        <v>you (f) are happy|estas contenta</v>
      </c>
    </row>
    <row r="776" customFormat="false" ht="15.75" hidden="false" customHeight="false" outlineLevel="0" collapsed="false">
      <c r="A776" s="4" t="s">
        <v>1554</v>
      </c>
      <c r="B776" s="5" t="s">
        <v>1555</v>
      </c>
      <c r="C776" s="5" t="s">
        <v>1543</v>
      </c>
      <c r="D776" s="6"/>
      <c r="E776" s="7" t="str">
        <f aca="false">IFERROR(__xludf.dummyfunction("lower(GOOGLETRANSLATE(B776,""es"",""en""))"),"is depressed")</f>
        <v>is depressed</v>
      </c>
      <c r="F776" s="7" t="str">
        <f aca="false">IFERROR(__xludf.dummyfunction("lower(GOOGLETRANSLATE(A776,""en"",""es""))"),"el esta deprimido")</f>
        <v>el esta deprimido</v>
      </c>
      <c r="H776" s="0" t="str">
        <f aca="false">A776&amp;"|"&amp;B776</f>
        <v>he is depressed|esta deprimido</v>
      </c>
    </row>
    <row r="777" customFormat="false" ht="15.75" hidden="false" customHeight="false" outlineLevel="0" collapsed="false">
      <c r="A777" s="4" t="s">
        <v>1556</v>
      </c>
      <c r="B777" s="5" t="s">
        <v>1557</v>
      </c>
      <c r="C777" s="5" t="s">
        <v>1543</v>
      </c>
      <c r="D777" s="6"/>
      <c r="E777" s="7" t="str">
        <f aca="false">IFERROR(__xludf.dummyfunction("lower(GOOGLETRANSLATE(B777,""es"",""en""))"),"this depressed")</f>
        <v>this depressed</v>
      </c>
      <c r="F777" s="7" t="str">
        <f aca="false">IFERROR(__xludf.dummyfunction("lower(GOOGLETRANSLATE(A777,""en"",""es""))"),"ella está deprimida")</f>
        <v>ella está deprimida</v>
      </c>
      <c r="H777" s="0" t="str">
        <f aca="false">A777&amp;"|"&amp;B777</f>
        <v>she is depressed|esta deprimida</v>
      </c>
    </row>
    <row r="778" customFormat="false" ht="15.75" hidden="false" customHeight="false" outlineLevel="0" collapsed="false">
      <c r="A778" s="4" t="s">
        <v>1558</v>
      </c>
      <c r="B778" s="5" t="s">
        <v>1559</v>
      </c>
      <c r="C778" s="5" t="s">
        <v>1543</v>
      </c>
      <c r="D778" s="6"/>
      <c r="E778" s="7" t="str">
        <f aca="false">IFERROR(__xludf.dummyfunction("lower(GOOGLETRANSLATE(B778,""es"",""en""))"),"i'm excited")</f>
        <v>i'm excited</v>
      </c>
      <c r="F778" s="7" t="str">
        <f aca="false">IFERROR(__xludf.dummyfunction("lower(GOOGLETRANSLATE(A778,""en"",""es""))"),"i (m) estoy excitado")</f>
        <v>i (m) estoy excitado</v>
      </c>
      <c r="H778" s="0" t="str">
        <f aca="false">A778&amp;"|"&amp;B778</f>
        <v>i (m) am excited|estoy emocionado</v>
      </c>
    </row>
    <row r="779" customFormat="false" ht="15.75" hidden="false" customHeight="false" outlineLevel="0" collapsed="false">
      <c r="A779" s="4" t="s">
        <v>1560</v>
      </c>
      <c r="B779" s="5" t="s">
        <v>1561</v>
      </c>
      <c r="C779" s="5" t="s">
        <v>1543</v>
      </c>
      <c r="D779" s="6"/>
      <c r="E779" s="7" t="str">
        <f aca="false">IFERROR(__xludf.dummyfunction("lower(GOOGLETRANSLATE(B779,""es"",""en""))"),"i'm excited")</f>
        <v>i'm excited</v>
      </c>
      <c r="F779" s="7" t="str">
        <f aca="false">IFERROR(__xludf.dummyfunction("lower(GOOGLETRANSLATE(A779,""en"",""es""))"),"i (f) estoy excitado")</f>
        <v>i (f) estoy excitado</v>
      </c>
      <c r="H779" s="0" t="str">
        <f aca="false">A779&amp;"|"&amp;B779</f>
        <v>i (f) am excited|estoy emocionada</v>
      </c>
    </row>
    <row r="780" customFormat="false" ht="15.75" hidden="false" customHeight="false" outlineLevel="0" collapsed="false">
      <c r="A780" s="4" t="s">
        <v>1562</v>
      </c>
      <c r="B780" s="5" t="s">
        <v>1563</v>
      </c>
      <c r="C780" s="5" t="s">
        <v>1543</v>
      </c>
      <c r="D780" s="6"/>
      <c r="E780" s="7" t="str">
        <f aca="false">IFERROR(__xludf.dummyfunction("lower(GOOGLETRANSLATE(B780,""es"",""en""))"),"this frustrated")</f>
        <v>this frustrated</v>
      </c>
      <c r="F780" s="7" t="str">
        <f aca="false">IFERROR(__xludf.dummyfunction("lower(GOOGLETRANSLATE(A780,""en"",""es""))"),"se siente frustrado")</f>
        <v>se siente frustrado</v>
      </c>
      <c r="H780" s="0" t="str">
        <f aca="false">A780&amp;"|"&amp;B780</f>
        <v>he is frustrated|esta frustrado</v>
      </c>
    </row>
    <row r="781" customFormat="false" ht="15.75" hidden="false" customHeight="false" outlineLevel="0" collapsed="false">
      <c r="A781" s="4" t="s">
        <v>1564</v>
      </c>
      <c r="B781" s="5" t="s">
        <v>1565</v>
      </c>
      <c r="C781" s="5" t="s">
        <v>1543</v>
      </c>
      <c r="D781" s="6"/>
      <c r="E781" s="7" t="str">
        <f aca="false">IFERROR(__xludf.dummyfunction("lower(GOOGLETRANSLATE(B781,""es"",""en""))"),"these frustrated")</f>
        <v>these frustrated</v>
      </c>
      <c r="F781" s="7" t="str">
        <f aca="false">IFERROR(__xludf.dummyfunction("lower(GOOGLETRANSLATE(A781,""en"",""es""))"),"usted (f) está frustrado")</f>
        <v>usted (f) está frustrado</v>
      </c>
      <c r="H781" s="0" t="str">
        <f aca="false">A781&amp;"|"&amp;B781</f>
        <v>you (f) are frustrated|estas frustrada</v>
      </c>
    </row>
    <row r="782" customFormat="false" ht="15.75" hidden="false" customHeight="false" outlineLevel="0" collapsed="false">
      <c r="A782" s="4" t="s">
        <v>1566</v>
      </c>
      <c r="B782" s="5" t="s">
        <v>1567</v>
      </c>
      <c r="C782" s="5" t="s">
        <v>1543</v>
      </c>
      <c r="D782" s="6"/>
      <c r="E782" s="7" t="str">
        <f aca="false">IFERROR(__xludf.dummyfunction("lower(GOOGLETRANSLATE(B782,""es"",""en""))"),"i'm fed up")</f>
        <v>i'm fed up</v>
      </c>
      <c r="F782" s="7" t="str">
        <f aca="false">IFERROR(__xludf.dummyfunction("lower(GOOGLETRANSLATE(A782,""en"",""es""))"),"i (m) estoy harto")</f>
        <v>i (m) estoy harto</v>
      </c>
      <c r="H782" s="0" t="str">
        <f aca="false">A782&amp;"|"&amp;B782</f>
        <v>i (m) am fed up|estoy harto</v>
      </c>
    </row>
    <row r="783" customFormat="false" ht="15.75" hidden="false" customHeight="false" outlineLevel="0" collapsed="false">
      <c r="A783" s="4" t="s">
        <v>1568</v>
      </c>
      <c r="B783" s="5" t="s">
        <v>1569</v>
      </c>
      <c r="C783" s="5" t="s">
        <v>1543</v>
      </c>
      <c r="D783" s="6"/>
      <c r="E783" s="7" t="str">
        <f aca="false">IFERROR(__xludf.dummyfunction("lower(GOOGLETRANSLATE(B783,""es"",""en""))"),"i'm sick")</f>
        <v>i'm sick</v>
      </c>
      <c r="F783" s="7" t="str">
        <f aca="false">IFERROR(__xludf.dummyfunction("lower(GOOGLETRANSLATE(A783,""en"",""es""))"),"i (f) estoy harto")</f>
        <v>i (f) estoy harto</v>
      </c>
      <c r="H783" s="0" t="str">
        <f aca="false">A783&amp;"|"&amp;B783</f>
        <v>i (f) am fed up|estoy harta</v>
      </c>
    </row>
    <row r="784" customFormat="false" ht="15.75" hidden="false" customHeight="false" outlineLevel="0" collapsed="false">
      <c r="A784" s="4" t="s">
        <v>1570</v>
      </c>
      <c r="B784" s="5" t="s">
        <v>1571</v>
      </c>
      <c r="C784" s="5" t="s">
        <v>1543</v>
      </c>
      <c r="D784" s="6"/>
      <c r="E784" s="7" t="str">
        <f aca="false">IFERROR(__xludf.dummyfunction("lower(GOOGLETRANSLATE(B784,""es"",""en""))"),"are you ready?")</f>
        <v>are you ready?</v>
      </c>
      <c r="F784" s="7" t="str">
        <f aca="false">IFERROR(__xludf.dummyfunction("lower(GOOGLETRANSLATE(A784,""en"",""es""))"),"¿estás (f) listo?")</f>
        <v>¿estás (f) listo?</v>
      </c>
      <c r="H784" s="0" t="str">
        <f aca="false">A784&amp;"|"&amp;B784</f>
        <v>are you (f) ready?|estas lista?</v>
      </c>
    </row>
    <row r="785" customFormat="false" ht="15.75" hidden="false" customHeight="false" outlineLevel="0" collapsed="false">
      <c r="A785" s="4" t="s">
        <v>1572</v>
      </c>
      <c r="B785" s="5" t="s">
        <v>1573</v>
      </c>
      <c r="C785" s="5" t="s">
        <v>1543</v>
      </c>
      <c r="D785" s="6"/>
      <c r="E785" s="7" t="str">
        <f aca="false">IFERROR(__xludf.dummyfunction("lower(GOOGLETRANSLATE(B785,""es"",""en""))"),"i'm ready")</f>
        <v>i'm ready</v>
      </c>
      <c r="F785" s="7" t="str">
        <f aca="false">IFERROR(__xludf.dummyfunction("lower(GOOGLETRANSLATE(A785,""en"",""es""))"),"i (m) estoy listo")</f>
        <v>i (m) estoy listo</v>
      </c>
      <c r="H785" s="0" t="str">
        <f aca="false">A785&amp;"|"&amp;B785</f>
        <v>i (m) am ready|estoy listo</v>
      </c>
    </row>
    <row r="786" customFormat="false" ht="15.75" hidden="false" customHeight="false" outlineLevel="0" collapsed="false">
      <c r="A786" s="4" t="s">
        <v>1574</v>
      </c>
      <c r="B786" s="5" t="s">
        <v>1575</v>
      </c>
      <c r="C786" s="5" t="s">
        <v>1543</v>
      </c>
      <c r="D786" s="6"/>
      <c r="E786" s="7" t="str">
        <f aca="false">IFERROR(__xludf.dummyfunction("lower(GOOGLETRANSLATE(B786,""es"",""en""))"),"i'm nervous")</f>
        <v>i'm nervous</v>
      </c>
      <c r="F786" s="7" t="str">
        <f aca="false">IFERROR(__xludf.dummyfunction("lower(GOOGLETRANSLATE(A786,""en"",""es""))"),"i (f) estoy nervioso")</f>
        <v>i (f) estoy nervioso</v>
      </c>
      <c r="H786" s="0" t="str">
        <f aca="false">A786&amp;"|"&amp;B786</f>
        <v>i (f) am nervous|estoy nerviosa</v>
      </c>
    </row>
    <row r="787" customFormat="false" ht="15.75" hidden="false" customHeight="false" outlineLevel="0" collapsed="false">
      <c r="A787" s="4" t="s">
        <v>1576</v>
      </c>
      <c r="B787" s="5" t="s">
        <v>1577</v>
      </c>
      <c r="C787" s="5" t="s">
        <v>1543</v>
      </c>
      <c r="D787" s="6"/>
      <c r="E787" s="7" t="str">
        <f aca="false">IFERROR(__xludf.dummyfunction("lower(GOOGLETRANSLATE(B787,""es"",""en""))"),"you are nervous?")</f>
        <v>you are nervous?</v>
      </c>
      <c r="F787" s="7" t="str">
        <f aca="false">IFERROR(__xludf.dummyfunction("lower(GOOGLETRANSLATE(A787,""en"",""es""))"),"¿estás (m) nervioso?")</f>
        <v>¿estás (m) nervioso?</v>
      </c>
      <c r="H787" s="0" t="str">
        <f aca="false">A787&amp;"|"&amp;B787</f>
        <v>are you (m) nervous?|estas nervioso?</v>
      </c>
    </row>
    <row r="788" customFormat="false" ht="15.75" hidden="false" customHeight="false" outlineLevel="0" collapsed="false">
      <c r="A788" s="4" t="s">
        <v>1578</v>
      </c>
      <c r="B788" s="5" t="s">
        <v>1579</v>
      </c>
      <c r="C788" s="5" t="s">
        <v>1543</v>
      </c>
      <c r="D788" s="6"/>
      <c r="E788" s="7" t="str">
        <f aca="false">IFERROR(__xludf.dummyfunction("lower(GOOGLETRANSLATE(B788,""es"",""en""))"),"you are busy? are you busy?")</f>
        <v>you are busy? are you busy?</v>
      </c>
      <c r="F788" s="7" t="str">
        <f aca="false">IFERROR(__xludf.dummyfunction("lower(GOOGLETRANSLATE(A788,""en"",""es""))"),"¿estás (f) ocupado?")</f>
        <v>¿estás (f) ocupado?</v>
      </c>
      <c r="H788" s="0" t="str">
        <f aca="false">A788&amp;"|"&amp;B788</f>
        <v>are you (f) busy?|estas ocupada?</v>
      </c>
    </row>
    <row r="789" customFormat="false" ht="15.75" hidden="false" customHeight="false" outlineLevel="0" collapsed="false">
      <c r="A789" s="4" t="s">
        <v>1580</v>
      </c>
      <c r="B789" s="5" t="s">
        <v>1581</v>
      </c>
      <c r="C789" s="5" t="s">
        <v>1543</v>
      </c>
      <c r="D789" s="6"/>
      <c r="E789" s="7" t="str">
        <f aca="false">IFERROR(__xludf.dummyfunction("lower(GOOGLETRANSLATE(B789,""es"",""en""))"),"i'm busy")</f>
        <v>i'm busy</v>
      </c>
      <c r="F789" s="7" t="str">
        <f aca="false">IFERROR(__xludf.dummyfunction("lower(GOOGLETRANSLATE(A789,""en"",""es""))"),"i (m) estoy ocupado")</f>
        <v>i (m) estoy ocupado</v>
      </c>
      <c r="H789" s="0" t="str">
        <f aca="false">A789&amp;"|"&amp;B789</f>
        <v>i (m) am busy|estoy ocupado</v>
      </c>
    </row>
    <row r="790" customFormat="false" ht="15.75" hidden="false" customHeight="false" outlineLevel="0" collapsed="false">
      <c r="A790" s="4" t="s">
        <v>1582</v>
      </c>
      <c r="B790" s="5" t="s">
        <v>1583</v>
      </c>
      <c r="C790" s="5" t="s">
        <v>1543</v>
      </c>
      <c r="D790" s="6"/>
      <c r="E790" s="7" t="str">
        <f aca="false">IFERROR(__xludf.dummyfunction("lower(GOOGLETRANSLATE(B790,""es"",""en""))"),"i'm worried")</f>
        <v>i'm worried</v>
      </c>
      <c r="F790" s="7" t="str">
        <f aca="false">IFERROR(__xludf.dummyfunction("lower(GOOGLETRANSLATE(A790,""en"",""es""))"),"i (m) estoy preocupado")</f>
        <v>i (m) estoy preocupado</v>
      </c>
      <c r="H790" s="0" t="str">
        <f aca="false">A790&amp;"|"&amp;B790</f>
        <v>i (m) am worried|estoy preocupado</v>
      </c>
    </row>
    <row r="791" customFormat="false" ht="15.75" hidden="false" customHeight="false" outlineLevel="0" collapsed="false">
      <c r="A791" s="4" t="s">
        <v>1584</v>
      </c>
      <c r="B791" s="5" t="s">
        <v>1585</v>
      </c>
      <c r="C791" s="5" t="s">
        <v>1543</v>
      </c>
      <c r="D791" s="6"/>
      <c r="E791" s="7" t="str">
        <f aca="false">IFERROR(__xludf.dummyfunction("lower(GOOGLETRANSLATE(B791,""es"",""en""))"),"she is worried")</f>
        <v>she is worried</v>
      </c>
      <c r="F791" s="7" t="str">
        <f aca="false">IFERROR(__xludf.dummyfunction("lower(GOOGLETRANSLATE(A791,""en"",""es""))"),"ella está preocupada")</f>
        <v>ella está preocupada</v>
      </c>
      <c r="H791" s="0" t="str">
        <f aca="false">A791&amp;"|"&amp;B791</f>
        <v>she is worried|esta preocupada</v>
      </c>
    </row>
    <row r="792" customFormat="false" ht="15.75" hidden="false" customHeight="false" outlineLevel="0" collapsed="false">
      <c r="A792" s="4" t="s">
        <v>1586</v>
      </c>
      <c r="B792" s="5" t="s">
        <v>1587</v>
      </c>
      <c r="C792" s="5" t="s">
        <v>1543</v>
      </c>
      <c r="D792" s="6"/>
      <c r="E792" s="7" t="str">
        <f aca="false">IFERROR(__xludf.dummyfunction("lower(GOOGLETRANSLATE(B792,""es"",""en""))"),"i'm sad")</f>
        <v>i'm sad</v>
      </c>
      <c r="F792" s="7" t="str">
        <f aca="false">IFERROR(__xludf.dummyfunction("lower(GOOGLETRANSLATE(A792,""en"",""es""))"),"estoy triste")</f>
        <v>estoy triste</v>
      </c>
      <c r="H792" s="0" t="str">
        <f aca="false">A792&amp;"|"&amp;B792</f>
        <v>i am sad|estoy triste</v>
      </c>
    </row>
    <row r="793" customFormat="false" ht="15.75" hidden="false" customHeight="false" outlineLevel="0" collapsed="false">
      <c r="A793" s="4" t="s">
        <v>1588</v>
      </c>
      <c r="B793" s="5" t="s">
        <v>1589</v>
      </c>
      <c r="C793" s="5" t="s">
        <v>1590</v>
      </c>
      <c r="D793" s="6"/>
      <c r="E793" s="7" t="str">
        <f aca="false">IFERROR(__xludf.dummyfunction("lower(GOOGLETRANSLATE(B793,""es"",""en""))"),"alguilar")</f>
        <v>alguilar</v>
      </c>
      <c r="F793" s="7" t="str">
        <f aca="false">IFERROR(__xludf.dummyfunction("lower(GOOGLETRANSLATE(A793,""en"",""es""))"),"rentar")</f>
        <v>rentar</v>
      </c>
      <c r="H793" s="0" t="str">
        <f aca="false">A793&amp;"|"&amp;B793</f>
        <v>to rent|alguilar</v>
      </c>
    </row>
    <row r="794" customFormat="false" ht="15.75" hidden="false" customHeight="false" outlineLevel="0" collapsed="false">
      <c r="A794" s="4" t="s">
        <v>1588</v>
      </c>
      <c r="B794" s="5" t="s">
        <v>1591</v>
      </c>
      <c r="C794" s="5" t="s">
        <v>1590</v>
      </c>
      <c r="D794" s="6"/>
      <c r="E794" s="7" t="str">
        <f aca="false">IFERROR(__xludf.dummyfunction("lower(GOOGLETRANSLATE(B794,""es"",""en""))"),"rent")</f>
        <v>rent</v>
      </c>
      <c r="F794" s="7" t="str">
        <f aca="false">IFERROR(__xludf.dummyfunction("lower(GOOGLETRANSLATE(A794,""en"",""es""))"),"rentar")</f>
        <v>rentar</v>
      </c>
      <c r="H794" s="0" t="str">
        <f aca="false">A794&amp;"|"&amp;B794</f>
        <v>to rent|rentar</v>
      </c>
    </row>
    <row r="795" customFormat="false" ht="15.75" hidden="false" customHeight="false" outlineLevel="0" collapsed="false">
      <c r="A795" s="4" t="s">
        <v>1592</v>
      </c>
      <c r="B795" s="5" t="s">
        <v>1593</v>
      </c>
      <c r="C795" s="5" t="s">
        <v>1590</v>
      </c>
      <c r="D795" s="6"/>
      <c r="E795" s="7" t="str">
        <f aca="false">IFERROR(__xludf.dummyfunction("lower(GOOGLETRANSLATE(B795,""es"",""en""))"),"dance")</f>
        <v>dance</v>
      </c>
      <c r="F795" s="7" t="str">
        <f aca="false">IFERROR(__xludf.dummyfunction("lower(GOOGLETRANSLATE(A795,""en"",""es""))"),"bailar")</f>
        <v>bailar</v>
      </c>
      <c r="H795" s="0" t="str">
        <f aca="false">A795&amp;"|"&amp;B795</f>
        <v>to dance|bailar</v>
      </c>
    </row>
    <row r="796" customFormat="false" ht="15.75" hidden="false" customHeight="false" outlineLevel="0" collapsed="false">
      <c r="A796" s="4" t="s">
        <v>1594</v>
      </c>
      <c r="B796" s="5" t="s">
        <v>1595</v>
      </c>
      <c r="C796" s="5" t="s">
        <v>1590</v>
      </c>
      <c r="D796" s="6"/>
      <c r="E796" s="7" t="str">
        <f aca="false">IFERROR(__xludf.dummyfunction("lower(GOOGLETRANSLATE(B796,""es"",""en""))"),"sing")</f>
        <v>sing</v>
      </c>
      <c r="F796" s="7" t="str">
        <f aca="false">IFERROR(__xludf.dummyfunction("lower(GOOGLETRANSLATE(A796,""en"",""es""))"),"cantar")</f>
        <v>cantar</v>
      </c>
      <c r="H796" s="0" t="str">
        <f aca="false">A796&amp;"|"&amp;B796</f>
        <v>to sing|cantar</v>
      </c>
    </row>
    <row r="797" customFormat="false" ht="15.75" hidden="false" customHeight="false" outlineLevel="0" collapsed="false">
      <c r="A797" s="4" t="s">
        <v>278</v>
      </c>
      <c r="B797" s="5" t="s">
        <v>279</v>
      </c>
      <c r="C797" s="5" t="s">
        <v>1590</v>
      </c>
      <c r="D797" s="6"/>
      <c r="E797" s="7" t="str">
        <f aca="false">IFERROR(__xludf.dummyfunction("lower(GOOGLETRANSLATE(B797,""es"",""en""))"),"cook")</f>
        <v>cook</v>
      </c>
      <c r="F797" s="7" t="str">
        <f aca="false">IFERROR(__xludf.dummyfunction("lower(GOOGLETRANSLATE(A797,""en"",""es""))"),"cocinar")</f>
        <v>cocinar</v>
      </c>
      <c r="H797" s="0" t="str">
        <f aca="false">A797&amp;"|"&amp;B797</f>
        <v>to cook|cocinar</v>
      </c>
    </row>
    <row r="798" customFormat="false" ht="15.75" hidden="false" customHeight="false" outlineLevel="0" collapsed="false">
      <c r="A798" s="4" t="s">
        <v>459</v>
      </c>
      <c r="B798" s="5" t="s">
        <v>460</v>
      </c>
      <c r="C798" s="5" t="s">
        <v>1590</v>
      </c>
      <c r="D798" s="6"/>
      <c r="E798" s="7" t="str">
        <f aca="false">IFERROR(__xludf.dummyfunction("lower(GOOGLETRANSLATE(B798,""es"",""en""))"),"teach")</f>
        <v>teach</v>
      </c>
      <c r="F798" s="7" t="str">
        <f aca="false">IFERROR(__xludf.dummyfunction("lower(GOOGLETRANSLATE(A798,""en"",""es""))"),"enseñar")</f>
        <v>enseñar</v>
      </c>
      <c r="H798" s="0" t="str">
        <f aca="false">A798&amp;"|"&amp;B798</f>
        <v>to teach|enseñar</v>
      </c>
    </row>
    <row r="799" customFormat="false" ht="15.75" hidden="false" customHeight="false" outlineLevel="0" collapsed="false">
      <c r="A799" s="4" t="s">
        <v>1596</v>
      </c>
      <c r="B799" s="5" t="s">
        <v>1597</v>
      </c>
      <c r="C799" s="5" t="s">
        <v>1590</v>
      </c>
      <c r="D799" s="6"/>
      <c r="E799" s="7" t="str">
        <f aca="false">IFERROR(__xludf.dummyfunction("lower(GOOGLETRANSLATE(B799,""es"",""en""))"),"ski")</f>
        <v>ski</v>
      </c>
      <c r="F799" s="7" t="str">
        <f aca="false">IFERROR(__xludf.dummyfunction("lower(GOOGLETRANSLATE(A799,""en"",""es""))"),"esquiar")</f>
        <v>esquiar</v>
      </c>
      <c r="H799" s="0" t="str">
        <f aca="false">A799&amp;"|"&amp;B799</f>
        <v>to ski|esquiar</v>
      </c>
    </row>
    <row r="800" customFormat="false" ht="15.75" hidden="false" customHeight="false" outlineLevel="0" collapsed="false">
      <c r="A800" s="4" t="s">
        <v>188</v>
      </c>
      <c r="B800" s="5" t="s">
        <v>189</v>
      </c>
      <c r="C800" s="5" t="s">
        <v>1590</v>
      </c>
      <c r="D800" s="6"/>
      <c r="E800" s="7" t="str">
        <f aca="false">IFERROR(__xludf.dummyfunction("lower(GOOGLETRANSLATE(B800,""es"",""en""))"),"study")</f>
        <v>study</v>
      </c>
      <c r="F800" s="7" t="str">
        <f aca="false">IFERROR(__xludf.dummyfunction("lower(GOOGLETRANSLATE(A800,""en"",""es""))"),"para estudiar")</f>
        <v>para estudiar</v>
      </c>
      <c r="H800" s="0" t="str">
        <f aca="false">A800&amp;"|"&amp;B800</f>
        <v>to study|estudiar</v>
      </c>
    </row>
    <row r="801" customFormat="false" ht="15.75" hidden="false" customHeight="false" outlineLevel="0" collapsed="false">
      <c r="A801" s="4" t="s">
        <v>1598</v>
      </c>
      <c r="B801" s="5" t="s">
        <v>1599</v>
      </c>
      <c r="C801" s="5" t="s">
        <v>1590</v>
      </c>
      <c r="D801" s="6"/>
      <c r="E801" s="7" t="str">
        <f aca="false">IFERROR(__xludf.dummyfunction("lower(GOOGLETRANSLATE(B801,""es"",""en""))"),"smoke")</f>
        <v>smoke</v>
      </c>
      <c r="F801" s="7" t="str">
        <f aca="false">IFERROR(__xludf.dummyfunction("lower(GOOGLETRANSLATE(A801,""en"",""es""))"),"fumar")</f>
        <v>fumar</v>
      </c>
      <c r="H801" s="0" t="str">
        <f aca="false">A801&amp;"|"&amp;B801</f>
        <v>to smoke|fumar</v>
      </c>
    </row>
    <row r="802" customFormat="false" ht="15.75" hidden="false" customHeight="false" outlineLevel="0" collapsed="false">
      <c r="A802" s="4" t="s">
        <v>1600</v>
      </c>
      <c r="B802" s="5" t="s">
        <v>184</v>
      </c>
      <c r="C802" s="5" t="s">
        <v>1590</v>
      </c>
      <c r="D802" s="6"/>
      <c r="E802" s="7" t="str">
        <f aca="false">IFERROR(__xludf.dummyfunction("lower(GOOGLETRANSLATE(B802,""es"",""en""))"),"talk")</f>
        <v>talk</v>
      </c>
      <c r="F802" s="7" t="str">
        <f aca="false">IFERROR(__xludf.dummyfunction("lower(GOOGLETRANSLATE(A802,""en"",""es""))"),"hablar")</f>
        <v>hablar</v>
      </c>
      <c r="H802" s="0" t="str">
        <f aca="false">A802&amp;"|"&amp;B802</f>
        <v>to speak|hablar</v>
      </c>
    </row>
    <row r="803" customFormat="false" ht="15.75" hidden="false" customHeight="false" outlineLevel="0" collapsed="false">
      <c r="A803" s="4" t="s">
        <v>1601</v>
      </c>
      <c r="B803" s="5" t="s">
        <v>1602</v>
      </c>
      <c r="C803" s="5" t="s">
        <v>1590</v>
      </c>
      <c r="D803" s="6"/>
      <c r="E803" s="7" t="str">
        <f aca="false">IFERROR(__xludf.dummyfunction("lower(GOOGLETRANSLATE(B803,""es"",""en""))"),"clean the house")</f>
        <v>clean the house</v>
      </c>
      <c r="F803" s="7" t="str">
        <f aca="false">IFERROR(__xludf.dummyfunction("lower(GOOGLETRANSLATE(A803,""en"",""es""))"),"limpiar la casa")</f>
        <v>limpiar la casa</v>
      </c>
      <c r="H803" s="0" t="str">
        <f aca="false">A803&amp;"|"&amp;B803</f>
        <v>to clean the house|limpiar la casa</v>
      </c>
    </row>
    <row r="804" customFormat="false" ht="15.75" hidden="false" customHeight="false" outlineLevel="0" collapsed="false">
      <c r="A804" s="4" t="s">
        <v>1603</v>
      </c>
      <c r="B804" s="5" t="s">
        <v>1604</v>
      </c>
      <c r="C804" s="5" t="s">
        <v>1590</v>
      </c>
      <c r="D804" s="6"/>
      <c r="E804" s="7" t="str">
        <f aca="false">IFERROR(__xludf.dummyfunction("lower(GOOGLETRANSLATE(B804,""es"",""en""))"),"drive a car")</f>
        <v>drive a car</v>
      </c>
      <c r="F804" s="7" t="str">
        <f aca="false">IFERROR(__xludf.dummyfunction("lower(GOOGLETRANSLATE(A804,""en"",""es""))"),"manejar un carro")</f>
        <v>manejar un carro</v>
      </c>
      <c r="H804" s="0" t="str">
        <f aca="false">A804&amp;"|"&amp;B804</f>
        <v>to drive a car|manejar un carro</v>
      </c>
    </row>
    <row r="805" customFormat="false" ht="15.75" hidden="false" customHeight="false" outlineLevel="0" collapsed="false">
      <c r="A805" s="4" t="s">
        <v>424</v>
      </c>
      <c r="B805" s="5" t="s">
        <v>1605</v>
      </c>
      <c r="C805" s="5" t="s">
        <v>1590</v>
      </c>
      <c r="D805" s="6"/>
      <c r="E805" s="7" t="str">
        <f aca="false">IFERROR(__xludf.dummyfunction("lower(GOOGLETRANSLATE(B805,""es"",""en""))"),"watch tv")</f>
        <v>watch tv</v>
      </c>
      <c r="F805" s="7" t="str">
        <f aca="false">IFERROR(__xludf.dummyfunction("lower(GOOGLETRANSLATE(A805,""en"",""es""))"),"mirar la tele")</f>
        <v>mirar la tele</v>
      </c>
      <c r="H805" s="0" t="str">
        <f aca="false">A805&amp;"|"&amp;B805</f>
        <v>to watch tv|mirar la tele</v>
      </c>
    </row>
    <row r="806" customFormat="false" ht="15.75" hidden="false" customHeight="false" outlineLevel="0" collapsed="false">
      <c r="A806" s="4" t="s">
        <v>1606</v>
      </c>
      <c r="B806" s="5" t="s">
        <v>1607</v>
      </c>
      <c r="C806" s="5" t="s">
        <v>1590</v>
      </c>
      <c r="D806" s="6"/>
      <c r="E806" s="7" t="str">
        <f aca="false">IFERROR(__xludf.dummyfunction("lower(GOOGLETRANSLATE(B806,""es"",""en""))"),"bicycling")</f>
        <v>bicycling</v>
      </c>
      <c r="F806" s="7" t="str">
        <f aca="false">IFERROR(__xludf.dummyfunction("lower(GOOGLETRANSLATE(A806,""en"",""es""))"),"andar en bicicleta")</f>
        <v>andar en bicicleta</v>
      </c>
      <c r="H806" s="0" t="str">
        <f aca="false">A806&amp;"|"&amp;B806</f>
        <v>to ride a bicycle|montar en bicicleta</v>
      </c>
    </row>
    <row r="807" customFormat="false" ht="15.75" hidden="false" customHeight="false" outlineLevel="0" collapsed="false">
      <c r="A807" s="4" t="s">
        <v>479</v>
      </c>
      <c r="B807" s="5" t="s">
        <v>480</v>
      </c>
      <c r="C807" s="5" t="s">
        <v>1590</v>
      </c>
      <c r="D807" s="6"/>
      <c r="E807" s="7" t="str">
        <f aca="false">IFERROR(__xludf.dummyfunction("lower(GOOGLETRANSLATE(B807,""es"",""en""))"),"swim")</f>
        <v>swim</v>
      </c>
      <c r="F807" s="7" t="str">
        <f aca="false">IFERROR(__xludf.dummyfunction("lower(GOOGLETRANSLATE(A807,""en"",""es""))"),"nadar")</f>
        <v>nadar</v>
      </c>
      <c r="H807" s="0" t="str">
        <f aca="false">A807&amp;"|"&amp;B807</f>
        <v>to swim|nadar</v>
      </c>
    </row>
    <row r="808" customFormat="false" ht="15.75" hidden="false" customHeight="false" outlineLevel="0" collapsed="false">
      <c r="A808" s="4" t="s">
        <v>573</v>
      </c>
      <c r="B808" s="5" t="s">
        <v>574</v>
      </c>
      <c r="C808" s="5" t="s">
        <v>1590</v>
      </c>
      <c r="D808" s="6"/>
      <c r="E808" s="7" t="str">
        <f aca="false">IFERROR(__xludf.dummyfunction("lower(GOOGLETRANSLATE(B808,""es"",""en""))"),"need")</f>
        <v>need</v>
      </c>
      <c r="F808" s="7" t="str">
        <f aca="false">IFERROR(__xludf.dummyfunction("lower(GOOGLETRANSLATE(A808,""en"",""es""))"),"necesitar")</f>
        <v>necesitar</v>
      </c>
      <c r="H808" s="0" t="str">
        <f aca="false">A808&amp;"|"&amp;B808</f>
        <v>to need|necesitar</v>
      </c>
    </row>
    <row r="809" customFormat="false" ht="15.75" hidden="false" customHeight="false" outlineLevel="0" collapsed="false">
      <c r="A809" s="4" t="s">
        <v>483</v>
      </c>
      <c r="B809" s="5" t="s">
        <v>484</v>
      </c>
      <c r="C809" s="5" t="s">
        <v>1590</v>
      </c>
      <c r="D809" s="6"/>
      <c r="E809" s="7" t="str">
        <f aca="false">IFERROR(__xludf.dummyfunction("lower(GOOGLETRANSLATE(B809,""es"",""en""))"),"paint")</f>
        <v>paint</v>
      </c>
      <c r="F809" s="7" t="str">
        <f aca="false">IFERROR(__xludf.dummyfunction("lower(GOOGLETRANSLATE(A809,""en"",""es""))"),"pintar")</f>
        <v>pintar</v>
      </c>
      <c r="H809" s="0" t="str">
        <f aca="false">A809&amp;"|"&amp;B809</f>
        <v>to paint|pintar</v>
      </c>
    </row>
    <row r="810" customFormat="false" ht="15.75" hidden="false" customHeight="false" outlineLevel="0" collapsed="false">
      <c r="A810" s="4" t="s">
        <v>183</v>
      </c>
      <c r="B810" s="5" t="s">
        <v>1608</v>
      </c>
      <c r="C810" s="5" t="s">
        <v>1590</v>
      </c>
      <c r="D810" s="6"/>
      <c r="E810" s="7" t="str">
        <f aca="false">IFERROR(__xludf.dummyfunction("lower(GOOGLETRANSLATE(B810,""es"",""en""))"),"talk")</f>
        <v>talk</v>
      </c>
      <c r="F810" s="7" t="str">
        <f aca="false">IFERROR(__xludf.dummyfunction("lower(GOOGLETRANSLATE(A810,""en"",""es""))"),"hablar")</f>
        <v>hablar</v>
      </c>
      <c r="H810" s="0" t="str">
        <f aca="false">A810&amp;"|"&amp;B810</f>
        <v>to talk|platicar</v>
      </c>
    </row>
    <row r="811" customFormat="false" ht="15.75" hidden="false" customHeight="false" outlineLevel="0" collapsed="false">
      <c r="A811" s="4" t="s">
        <v>1609</v>
      </c>
      <c r="B811" s="5" t="s">
        <v>1610</v>
      </c>
      <c r="C811" s="5" t="s">
        <v>1590</v>
      </c>
      <c r="D811" s="6"/>
      <c r="E811" s="7" t="str">
        <f aca="false">IFERROR(__xludf.dummyfunction("lower(GOOGLETRANSLATE(B811,""es"",""en""))"),"chat")</f>
        <v>chat</v>
      </c>
      <c r="F811" s="7" t="str">
        <f aca="false">IFERROR(__xludf.dummyfunction("lower(GOOGLETRANSLATE(A811,""en"",""es""))"),"para charlar")</f>
        <v>para charlar</v>
      </c>
      <c r="H811" s="0" t="str">
        <f aca="false">A811&amp;"|"&amp;B811</f>
        <v>to chat|charlar</v>
      </c>
    </row>
    <row r="812" customFormat="false" ht="15.75" hidden="false" customHeight="false" outlineLevel="0" collapsed="false">
      <c r="A812" s="4" t="s">
        <v>1611</v>
      </c>
      <c r="B812" s="5" t="s">
        <v>1612</v>
      </c>
      <c r="C812" s="5" t="s">
        <v>1590</v>
      </c>
      <c r="D812" s="6"/>
      <c r="E812" s="7" t="str">
        <f aca="false">IFERROR(__xludf.dummyfunction("lower(GOOGLETRANSLATE(B812,""es"",""en""))"),"make the dinner")</f>
        <v>make the dinner</v>
      </c>
      <c r="F812" s="7" t="str">
        <f aca="false">IFERROR(__xludf.dummyfunction("lower(GOOGLETRANSLATE(A812,""en"",""es""))"),"para preparar la cena")</f>
        <v>para preparar la cena</v>
      </c>
      <c r="H812" s="0" t="str">
        <f aca="false">A812&amp;"|"&amp;B812</f>
        <v>to prepare dinner|preparar la cena</v>
      </c>
    </row>
    <row r="813" customFormat="false" ht="15.75" hidden="false" customHeight="false" outlineLevel="0" collapsed="false">
      <c r="A813" s="4" t="s">
        <v>1613</v>
      </c>
      <c r="B813" s="5" t="s">
        <v>1614</v>
      </c>
      <c r="C813" s="5" t="s">
        <v>1590</v>
      </c>
      <c r="D813" s="6"/>
      <c r="E813" s="7" t="str">
        <f aca="false">IFERROR(__xludf.dummyfunction("lower(GOOGLETRANSLATE(B813,""es"",""en""))"),"touch")</f>
        <v>touch</v>
      </c>
      <c r="F813" s="7" t="str">
        <f aca="false">IFERROR(__xludf.dummyfunction("lower(GOOGLETRANSLATE(A813,""en"",""es""))"),"tocar")</f>
        <v>tocar</v>
      </c>
      <c r="H813" s="0" t="str">
        <f aca="false">A813&amp;"|"&amp;B813</f>
        <v>to touch|tocar</v>
      </c>
    </row>
    <row r="814" customFormat="false" ht="15.75" hidden="false" customHeight="false" outlineLevel="0" collapsed="false">
      <c r="A814" s="4" t="s">
        <v>193</v>
      </c>
      <c r="B814" s="5" t="s">
        <v>194</v>
      </c>
      <c r="C814" s="5" t="s">
        <v>1590</v>
      </c>
      <c r="D814" s="6"/>
      <c r="E814" s="7" t="str">
        <f aca="false">IFERROR(__xludf.dummyfunction("lower(GOOGLETRANSLATE(B814,""es"",""en""))"),"to work")</f>
        <v>to work</v>
      </c>
      <c r="F814" s="7" t="str">
        <f aca="false">IFERROR(__xludf.dummyfunction("lower(GOOGLETRANSLATE(A814,""en"",""es""))"),"trabajar")</f>
        <v>trabajar</v>
      </c>
      <c r="H814" s="0" t="str">
        <f aca="false">A814&amp;"|"&amp;B814</f>
        <v>to work|trabajar</v>
      </c>
    </row>
    <row r="815" customFormat="false" ht="15.75" hidden="false" customHeight="false" outlineLevel="0" collapsed="false">
      <c r="A815" s="4" t="s">
        <v>1615</v>
      </c>
      <c r="B815" s="5" t="s">
        <v>1616</v>
      </c>
      <c r="C815" s="5" t="s">
        <v>1590</v>
      </c>
      <c r="D815" s="6"/>
      <c r="E815" s="7" t="str">
        <f aca="false">IFERROR(__xludf.dummyfunction("lower(GOOGLETRANSLATE(B815,""es"",""en""))"),"using the computer")</f>
        <v>using the computer</v>
      </c>
      <c r="F815" s="7" t="str">
        <f aca="false">IFERROR(__xludf.dummyfunction("lower(GOOGLETRANSLATE(A815,""en"",""es""))"),"para usar la computadora")</f>
        <v>para usar la computadora</v>
      </c>
      <c r="H815" s="0" t="str">
        <f aca="false">A815&amp;"|"&amp;B815</f>
        <v>to use the computer|usar la computadora</v>
      </c>
    </row>
    <row r="816" customFormat="false" ht="15.75" hidden="false" customHeight="false" outlineLevel="0" collapsed="false">
      <c r="A816" s="4" t="s">
        <v>1617</v>
      </c>
      <c r="B816" s="5" t="s">
        <v>1618</v>
      </c>
      <c r="C816" s="5" t="s">
        <v>1590</v>
      </c>
      <c r="D816" s="6"/>
      <c r="E816" s="7" t="str">
        <f aca="false">IFERROR(__xludf.dummyfunction("lower(GOOGLETRANSLATE(B816,""es"",""en""))"),"travel")</f>
        <v>travel</v>
      </c>
      <c r="F816" s="7" t="str">
        <f aca="false">IFERROR(__xludf.dummyfunction("lower(GOOGLETRANSLATE(A816,""en"",""es""))"),"viajar")</f>
        <v>viajar</v>
      </c>
      <c r="H816" s="0" t="str">
        <f aca="false">A816&amp;"|"&amp;B816</f>
        <v>to travel|viajar</v>
      </c>
    </row>
    <row r="817" customFormat="false" ht="15.75" hidden="false" customHeight="false" outlineLevel="0" collapsed="false">
      <c r="A817" s="4" t="s">
        <v>1619</v>
      </c>
      <c r="B817" s="5" t="s">
        <v>1620</v>
      </c>
      <c r="C817" s="5" t="s">
        <v>1590</v>
      </c>
      <c r="D817" s="6"/>
      <c r="E817" s="7" t="str">
        <f aca="false">IFERROR(__xludf.dummyfunction("lower(GOOGLETRANSLATE(B817,""es"",""en""))"),"to learn")</f>
        <v>to learn</v>
      </c>
      <c r="F817" s="7" t="str">
        <f aca="false">IFERROR(__xludf.dummyfunction("lower(GOOGLETRANSLATE(A817,""en"",""es""))"),"aprender")</f>
        <v>aprender</v>
      </c>
      <c r="H817" s="0" t="str">
        <f aca="false">A817&amp;"|"&amp;B817</f>
        <v>to learn|aprender</v>
      </c>
    </row>
    <row r="818" customFormat="false" ht="15.75" hidden="false" customHeight="false" outlineLevel="0" collapsed="false">
      <c r="A818" s="4" t="s">
        <v>1621</v>
      </c>
      <c r="B818" s="5" t="s">
        <v>1622</v>
      </c>
      <c r="C818" s="5" t="s">
        <v>1590</v>
      </c>
      <c r="D818" s="6"/>
      <c r="E818" s="7" t="str">
        <f aca="false">IFERROR(__xludf.dummyfunction("lower(GOOGLETRANSLATE(B818,""es"",""en""))"),"open")</f>
        <v>open</v>
      </c>
      <c r="F818" s="7" t="str">
        <f aca="false">IFERROR(__xludf.dummyfunction("lower(GOOGLETRANSLATE(A818,""en"",""es""))"),"abrir")</f>
        <v>abrir</v>
      </c>
      <c r="H818" s="0" t="str">
        <f aca="false">A818&amp;"|"&amp;B818</f>
        <v>to open|abrir</v>
      </c>
    </row>
    <row r="819" customFormat="false" ht="15.75" hidden="false" customHeight="false" outlineLevel="0" collapsed="false">
      <c r="A819" s="4" t="s">
        <v>1623</v>
      </c>
      <c r="B819" s="5" t="s">
        <v>1624</v>
      </c>
      <c r="C819" s="5" t="s">
        <v>1590</v>
      </c>
      <c r="D819" s="6"/>
      <c r="E819" s="7" t="str">
        <f aca="false">IFERROR(__xludf.dummyfunction("lower(GOOGLETRANSLATE(B819,""es"",""en""))"),"eat")</f>
        <v>eat</v>
      </c>
      <c r="F819" s="7" t="str">
        <f aca="false">IFERROR(__xludf.dummyfunction("lower(GOOGLETRANSLATE(A819,""en"",""es""))"),"comer")</f>
        <v>comer</v>
      </c>
      <c r="H819" s="0" t="str">
        <f aca="false">A819&amp;"|"&amp;B819</f>
        <v>to eat|comer</v>
      </c>
    </row>
    <row r="820" customFormat="false" ht="15.75" hidden="false" customHeight="false" outlineLevel="0" collapsed="false">
      <c r="A820" s="4" t="s">
        <v>1625</v>
      </c>
      <c r="B820" s="5" t="s">
        <v>1626</v>
      </c>
      <c r="C820" s="5" t="s">
        <v>1590</v>
      </c>
      <c r="D820" s="6"/>
      <c r="E820" s="7" t="str">
        <f aca="false">IFERROR(__xludf.dummyfunction("lower(GOOGLETRANSLATE(B820,""es"",""en""))"),"to run")</f>
        <v>to run</v>
      </c>
      <c r="F820" s="7" t="str">
        <f aca="false">IFERROR(__xludf.dummyfunction("lower(GOOGLETRANSLATE(A820,""en"",""es""))"),"correr")</f>
        <v>correr</v>
      </c>
      <c r="H820" s="0" t="str">
        <f aca="false">A820&amp;"|"&amp;B820</f>
        <v>to run|correr</v>
      </c>
    </row>
    <row r="821" customFormat="false" ht="15.75" hidden="false" customHeight="false" outlineLevel="0" collapsed="false">
      <c r="A821" s="4" t="s">
        <v>1627</v>
      </c>
      <c r="B821" s="5" t="s">
        <v>1628</v>
      </c>
      <c r="C821" s="5" t="s">
        <v>1590</v>
      </c>
      <c r="D821" s="6"/>
      <c r="E821" s="7" t="str">
        <f aca="false">IFERROR(__xludf.dummyfunction("lower(GOOGLETRANSLATE(B821,""es"",""en""))"),"attend class")</f>
        <v>attend class</v>
      </c>
      <c r="F821" s="7" t="str">
        <f aca="false">IFERROR(__xludf.dummyfunction("lower(GOOGLETRANSLATE(A821,""en"",""es""))"),"a la clase de asistir")</f>
        <v>a la clase de asistir</v>
      </c>
      <c r="H821" s="0" t="str">
        <f aca="false">A821&amp;"|"&amp;B821</f>
        <v>to attend class|asistir a clase</v>
      </c>
    </row>
    <row r="822" customFormat="false" ht="15.75" hidden="false" customHeight="false" outlineLevel="0" collapsed="false">
      <c r="A822" s="4" t="s">
        <v>1629</v>
      </c>
      <c r="B822" s="5" t="s">
        <v>1630</v>
      </c>
      <c r="C822" s="5" t="s">
        <v>1590</v>
      </c>
      <c r="D822" s="6"/>
      <c r="E822" s="7" t="str">
        <f aca="false">IFERROR(__xludf.dummyfunction("lower(GOOGLETRANSLATE(B822,""es"",""en""))"),"to drink")</f>
        <v>to drink</v>
      </c>
      <c r="F822" s="7" t="str">
        <f aca="false">IFERROR(__xludf.dummyfunction("lower(GOOGLETRANSLATE(A822,""en"",""es""))"),"beber")</f>
        <v>beber</v>
      </c>
      <c r="H822" s="0" t="str">
        <f aca="false">A822&amp;"|"&amp;B822</f>
        <v>to drink|beber</v>
      </c>
    </row>
    <row r="823" customFormat="false" ht="15.75" hidden="false" customHeight="false" outlineLevel="0" collapsed="false">
      <c r="A823" s="4" t="s">
        <v>1631</v>
      </c>
      <c r="B823" s="5" t="s">
        <v>1632</v>
      </c>
      <c r="C823" s="5" t="s">
        <v>1590</v>
      </c>
      <c r="D823" s="6"/>
      <c r="E823" s="7" t="str">
        <f aca="false">IFERROR(__xludf.dummyfunction("lower(GOOGLETRANSLATE(B823,""es"",""en""))"),"write a letter")</f>
        <v>write a letter</v>
      </c>
      <c r="F823" s="7" t="str">
        <f aca="false">IFERROR(__xludf.dummyfunction("lower(GOOGLETRANSLATE(A823,""en"",""es""))"),"escribir una carta")</f>
        <v>escribir una carta</v>
      </c>
      <c r="H823" s="0" t="str">
        <f aca="false">A823&amp;"|"&amp;B823</f>
        <v>to write a letter|escribir una carta</v>
      </c>
    </row>
    <row r="824" customFormat="false" ht="15.75" hidden="false" customHeight="false" outlineLevel="0" collapsed="false">
      <c r="A824" s="4" t="s">
        <v>1633</v>
      </c>
      <c r="B824" s="5" t="s">
        <v>1634</v>
      </c>
      <c r="C824" s="5" t="s">
        <v>1590</v>
      </c>
      <c r="D824" s="6"/>
      <c r="E824" s="7" t="str">
        <f aca="false">IFERROR(__xludf.dummyfunction("lower(GOOGLETRANSLATE(B824,""es"",""en""))"),"read a book")</f>
        <v>read a book</v>
      </c>
      <c r="F824" s="7" t="str">
        <f aca="false">IFERROR(__xludf.dummyfunction("lower(GOOGLETRANSLATE(A824,""en"",""es""))"),"leer un libro")</f>
        <v>leer un libro</v>
      </c>
      <c r="H824" s="0" t="str">
        <f aca="false">A824&amp;"|"&amp;B824</f>
        <v>to read a book|leer un libro</v>
      </c>
    </row>
    <row r="825" customFormat="false" ht="15.75" hidden="false" customHeight="false" outlineLevel="0" collapsed="false">
      <c r="A825" s="4" t="s">
        <v>1635</v>
      </c>
      <c r="B825" s="5" t="s">
        <v>1636</v>
      </c>
      <c r="C825" s="5" t="s">
        <v>1590</v>
      </c>
      <c r="D825" s="6"/>
      <c r="E825" s="7" t="str">
        <f aca="false">IFERROR(__xludf.dummyfunction("lower(GOOGLETRANSLATE(B825,""es"",""en""))"),"live in the city")</f>
        <v>live in the city</v>
      </c>
      <c r="F825" s="7" t="str">
        <f aca="false">IFERROR(__xludf.dummyfunction("lower(GOOGLETRANSLATE(A825,""en"",""es""))"),"vivir en la ciudad")</f>
        <v>vivir en la ciudad</v>
      </c>
      <c r="H825" s="0" t="str">
        <f aca="false">A825&amp;"|"&amp;B825</f>
        <v>to live in the city|vivir en la ciudad</v>
      </c>
    </row>
    <row r="826" customFormat="false" ht="15.75" hidden="false" customHeight="false" outlineLevel="0" collapsed="false">
      <c r="A826" s="4" t="s">
        <v>1637</v>
      </c>
      <c r="B826" s="5" t="s">
        <v>1638</v>
      </c>
      <c r="C826" s="5" t="s">
        <v>1639</v>
      </c>
      <c r="D826" s="6"/>
      <c r="E826" s="7" t="str">
        <f aca="false">IFERROR(__xludf.dummyfunction("lower(GOOGLETRANSLATE(B826,""es"",""en""))"),"go to a party")</f>
        <v>go to a party</v>
      </c>
      <c r="F826" s="7" t="str">
        <f aca="false">IFERROR(__xludf.dummyfunction("lower(GOOGLETRANSLATE(A826,""en"",""es""))"),"ir a una fiesta")</f>
        <v>ir a una fiesta</v>
      </c>
      <c r="H826" s="0" t="str">
        <f aca="false">A826&amp;"|"&amp;B826</f>
        <v>to go to a party|ir a una fiesta</v>
      </c>
    </row>
    <row r="827" customFormat="false" ht="15.75" hidden="false" customHeight="false" outlineLevel="0" collapsed="false">
      <c r="A827" s="4" t="s">
        <v>1640</v>
      </c>
      <c r="B827" s="5" t="s">
        <v>1641</v>
      </c>
      <c r="C827" s="5" t="s">
        <v>1639</v>
      </c>
      <c r="D827" s="6"/>
      <c r="E827" s="7" t="str">
        <f aca="false">IFERROR(__xludf.dummyfunction("lower(GOOGLETRANSLATE(B827,""es"",""en""))"),"shopping")</f>
        <v>shopping</v>
      </c>
      <c r="F827" s="7" t="str">
        <f aca="false">IFERROR(__xludf.dummyfunction("lower(GOOGLETRANSLATE(A827,""en"",""es""))"),"para ir de compras")</f>
        <v>para ir de compras</v>
      </c>
      <c r="H827" s="0" t="str">
        <f aca="false">A827&amp;"|"&amp;B827</f>
        <v>to go shopping|ir de compras</v>
      </c>
    </row>
    <row r="828" customFormat="false" ht="15.75" hidden="false" customHeight="false" outlineLevel="0" collapsed="false">
      <c r="A828" s="4" t="s">
        <v>1642</v>
      </c>
      <c r="B828" s="5" t="s">
        <v>1643</v>
      </c>
      <c r="C828" s="5" t="s">
        <v>1639</v>
      </c>
      <c r="D828" s="6"/>
      <c r="E828" s="7" t="str">
        <f aca="false">IFERROR(__xludf.dummyfunction("lower(GOOGLETRANSLATE(B828,""es"",""en""))"),"to play")</f>
        <v>to play</v>
      </c>
      <c r="F828" s="7" t="str">
        <f aca="false">IFERROR(__xludf.dummyfunction("lower(GOOGLETRANSLATE(A828,""en"",""es""))"),"practicar deportes)")</f>
        <v>practicar deportes)</v>
      </c>
      <c r="H828" s="0" t="str">
        <f aca="false">A828&amp;"|"&amp;B828</f>
        <v>to play (sports)|jugar</v>
      </c>
    </row>
    <row r="829" customFormat="false" ht="15.75" hidden="false" customHeight="false" outlineLevel="0" collapsed="false">
      <c r="A829" s="4" t="s">
        <v>1644</v>
      </c>
      <c r="B829" s="5" t="s">
        <v>1645</v>
      </c>
      <c r="C829" s="5" t="s">
        <v>1639</v>
      </c>
      <c r="D829" s="6"/>
      <c r="E829" s="7" t="str">
        <f aca="false">IFERROR(__xludf.dummyfunction("lower(GOOGLETRANSLATE(B829,""es"",""en""))"),"think")</f>
        <v>think</v>
      </c>
      <c r="F829" s="7" t="str">
        <f aca="false">IFERROR(__xludf.dummyfunction("lower(GOOGLETRANSLATE(A829,""en"",""es""))"),"pensar")</f>
        <v>pensar</v>
      </c>
      <c r="H829" s="0" t="str">
        <f aca="false">A829&amp;"|"&amp;B829</f>
        <v>to think|pensar</v>
      </c>
    </row>
    <row r="830" customFormat="false" ht="15.75" hidden="false" customHeight="false" outlineLevel="0" collapsed="false">
      <c r="A830" s="4" t="s">
        <v>942</v>
      </c>
      <c r="B830" s="5" t="s">
        <v>943</v>
      </c>
      <c r="C830" s="5" t="s">
        <v>1639</v>
      </c>
      <c r="D830" s="6"/>
      <c r="E830" s="7" t="str">
        <f aca="false">IFERROR(__xludf.dummyfunction("lower(GOOGLETRANSLATE(B830,""es"",""en""))"),"power")</f>
        <v>power</v>
      </c>
      <c r="F830" s="7" t="str">
        <f aca="false">IFERROR(__xludf.dummyfunction("lower(GOOGLETRANSLATE(A830,""en"",""es""))"),"ser capaz")</f>
        <v>ser capaz</v>
      </c>
      <c r="H830" s="0" t="str">
        <f aca="false">A830&amp;"|"&amp;B830</f>
        <v>to be able|poder</v>
      </c>
    </row>
    <row r="831" customFormat="false" ht="15.75" hidden="false" customHeight="false" outlineLevel="0" collapsed="false">
      <c r="A831" s="4" t="s">
        <v>1646</v>
      </c>
      <c r="B831" s="5" t="s">
        <v>1647</v>
      </c>
      <c r="C831" s="5" t="s">
        <v>1639</v>
      </c>
      <c r="D831" s="6"/>
      <c r="E831" s="7" t="str">
        <f aca="false">IFERROR(__xludf.dummyfunction("lower(GOOGLETRANSLATE(B831,""es"",""en""))"),"prefer")</f>
        <v>prefer</v>
      </c>
      <c r="F831" s="7" t="str">
        <f aca="false">IFERROR(__xludf.dummyfunction("lower(GOOGLETRANSLATE(A831,""en"",""es""))"),"preferir")</f>
        <v>preferir</v>
      </c>
      <c r="H831" s="0" t="str">
        <f aca="false">A831&amp;"|"&amp;B831</f>
        <v>to prefer|preferir</v>
      </c>
    </row>
    <row r="832" customFormat="false" ht="15.75" hidden="false" customHeight="false" outlineLevel="0" collapsed="false">
      <c r="A832" s="4" t="s">
        <v>965</v>
      </c>
      <c r="B832" s="5" t="s">
        <v>966</v>
      </c>
      <c r="C832" s="5" t="s">
        <v>1639</v>
      </c>
      <c r="D832" s="6"/>
      <c r="E832" s="7" t="str">
        <f aca="false">IFERROR(__xludf.dummyfunction("lower(GOOGLETRANSLATE(B832,""es"",""en""))"),"want")</f>
        <v>want</v>
      </c>
      <c r="F832" s="7" t="str">
        <f aca="false">IFERROR(__xludf.dummyfunction("lower(GOOGLETRANSLATE(A832,""en"",""es""))"),"querer")</f>
        <v>querer</v>
      </c>
      <c r="H832" s="0" t="str">
        <f aca="false">A832&amp;"|"&amp;B832</f>
        <v>to want|querer</v>
      </c>
    </row>
    <row r="833" customFormat="false" ht="15.75" hidden="false" customHeight="false" outlineLevel="0" collapsed="false">
      <c r="A833" s="4" t="s">
        <v>1648</v>
      </c>
      <c r="B833" s="5" t="s">
        <v>1649</v>
      </c>
      <c r="C833" s="5" t="s">
        <v>1639</v>
      </c>
      <c r="D833" s="6"/>
      <c r="E833" s="7" t="str">
        <f aca="false">IFERROR(__xludf.dummyfunction("lower(GOOGLETRANSLATE(B833,""es"",""en""))"),"to know")</f>
        <v>to know</v>
      </c>
      <c r="F833" s="7" t="str">
        <f aca="false">IFERROR(__xludf.dummyfunction("lower(GOOGLETRANSLATE(A833,""en"",""es""))"),"conocer información)")</f>
        <v>conocer información)</v>
      </c>
      <c r="H833" s="0" t="str">
        <f aca="false">A833&amp;"|"&amp;B833</f>
        <v>to know (information)|saber</v>
      </c>
    </row>
    <row r="834" customFormat="false" ht="15.75" hidden="false" customHeight="false" outlineLevel="0" collapsed="false">
      <c r="A834" s="4" t="s">
        <v>1650</v>
      </c>
      <c r="B834" s="5" t="s">
        <v>1651</v>
      </c>
      <c r="C834" s="5" t="s">
        <v>1590</v>
      </c>
      <c r="D834" s="6"/>
      <c r="E834" s="7" t="str">
        <f aca="false">IFERROR(__xludf.dummyfunction("lower(GOOGLETRANSLATE(B834,""es"",""en""))"),"know")</f>
        <v>know</v>
      </c>
      <c r="F834" s="7" t="str">
        <f aca="false">IFERROR(__xludf.dummyfunction("lower(GOOGLETRANSLATE(A834,""en"",""es""))"),"a saber (cómo)")</f>
        <v>a saber (cómo)</v>
      </c>
      <c r="H834" s="0" t="str">
        <f aca="false">A834&amp;"|"&amp;B834</f>
        <v>to know (how)|conocer</v>
      </c>
    </row>
    <row r="835" customFormat="false" ht="15.75" hidden="false" customHeight="false" outlineLevel="0" collapsed="false">
      <c r="A835" s="4" t="s">
        <v>1652</v>
      </c>
      <c r="B835" s="5" t="s">
        <v>1653</v>
      </c>
      <c r="C835" s="5" t="s">
        <v>1590</v>
      </c>
      <c r="D835" s="6"/>
      <c r="E835" s="7" t="str">
        <f aca="false">IFERROR(__xludf.dummyfunction("lower(GOOGLETRANSLATE(B835,""es"",""en""))"),"to have")</f>
        <v>to have</v>
      </c>
      <c r="F835" s="7" t="str">
        <f aca="false">IFERROR(__xludf.dummyfunction("lower(GOOGLETRANSLATE(A835,""en"",""es""))"),"tener")</f>
        <v>tener</v>
      </c>
      <c r="H835" s="0" t="str">
        <f aca="false">A835&amp;"|"&amp;B835</f>
        <v>to have|tener</v>
      </c>
    </row>
    <row r="836" customFormat="false" ht="15.75" hidden="false" customHeight="false" outlineLevel="0" collapsed="false">
      <c r="A836" s="4" t="s">
        <v>1654</v>
      </c>
      <c r="B836" s="5" t="s">
        <v>1655</v>
      </c>
      <c r="C836" s="5" t="s">
        <v>1590</v>
      </c>
      <c r="D836" s="6"/>
      <c r="E836" s="7" t="str">
        <f aca="false">IFERROR(__xludf.dummyfunction("lower(GOOGLETRANSLATE(B836,""es"",""en""))"),"see")</f>
        <v>see</v>
      </c>
      <c r="F836" s="7" t="str">
        <f aca="false">IFERROR(__xludf.dummyfunction("lower(GOOGLETRANSLATE(A836,""en"",""es""))"),"reloj para ver /")</f>
        <v>reloj para ver /</v>
      </c>
      <c r="H836" s="0" t="str">
        <f aca="false">A836&amp;"|"&amp;B836</f>
        <v>to see/watch|ver</v>
      </c>
    </row>
    <row r="837" customFormat="false" ht="15.75" hidden="false" customHeight="false" outlineLevel="0" collapsed="false">
      <c r="A837" s="4" t="s">
        <v>1656</v>
      </c>
      <c r="B837" s="5" t="s">
        <v>1657</v>
      </c>
      <c r="C837" s="5" t="s">
        <v>1658</v>
      </c>
      <c r="D837" s="6"/>
      <c r="E837" s="7" t="str">
        <f aca="false">IFERROR(__xludf.dummyfunction("lower(GOOGLETRANSLATE(B837,""es"",""en""))"),"field")</f>
        <v>field</v>
      </c>
      <c r="F837" s="7" t="str">
        <f aca="false">IFERROR(__xludf.dummyfunction("lower(GOOGLETRANSLATE(A837,""en"",""es""))"),"el campo")</f>
        <v>el campo</v>
      </c>
      <c r="H837" s="0" t="str">
        <f aca="false">A837&amp;"|"&amp;B837</f>
        <v>the countryside|el campo</v>
      </c>
    </row>
    <row r="838" customFormat="false" ht="15.75" hidden="false" customHeight="false" outlineLevel="0" collapsed="false">
      <c r="A838" s="4" t="s">
        <v>1659</v>
      </c>
      <c r="B838" s="5" t="s">
        <v>1660</v>
      </c>
      <c r="C838" s="5" t="s">
        <v>1658</v>
      </c>
      <c r="D838" s="6"/>
      <c r="E838" s="7" t="str">
        <f aca="false">IFERROR(__xludf.dummyfunction("lower(GOOGLETRANSLATE(B838,""es"",""en""))"),"the mall")</f>
        <v>the mall</v>
      </c>
      <c r="F838" s="7" t="str">
        <f aca="false">IFERROR(__xludf.dummyfunction("lower(GOOGLETRANSLATE(A838,""en"",""es""))"),"el centro comercial")</f>
        <v>el centro comercial</v>
      </c>
      <c r="H838" s="0" t="str">
        <f aca="false">A838&amp;"|"&amp;B838</f>
        <v>the mall|el centro comercial</v>
      </c>
    </row>
    <row r="839" customFormat="false" ht="15.75" hidden="false" customHeight="false" outlineLevel="0" collapsed="false">
      <c r="A839" s="4" t="s">
        <v>1661</v>
      </c>
      <c r="B839" s="5" t="s">
        <v>1662</v>
      </c>
      <c r="C839" s="5" t="s">
        <v>1658</v>
      </c>
      <c r="D839" s="6"/>
      <c r="E839" s="7" t="str">
        <f aca="false">IFERROR(__xludf.dummyfunction("lower(GOOGLETRANSLATE(B839,""es"",""en""))"),"the gym")</f>
        <v>the gym</v>
      </c>
      <c r="F839" s="7" t="str">
        <f aca="false">IFERROR(__xludf.dummyfunction("lower(GOOGLETRANSLATE(A839,""en"",""es""))"),"el gimnasio")</f>
        <v>el gimnasio</v>
      </c>
      <c r="H839" s="0" t="str">
        <f aca="false">A839&amp;"|"&amp;B839</f>
        <v>the gym|el gimnasio</v>
      </c>
    </row>
    <row r="840" customFormat="false" ht="15.75" hidden="false" customHeight="false" outlineLevel="0" collapsed="false">
      <c r="A840" s="4" t="s">
        <v>1663</v>
      </c>
      <c r="B840" s="5" t="s">
        <v>1664</v>
      </c>
      <c r="C840" s="5" t="s">
        <v>1658</v>
      </c>
      <c r="D840" s="6"/>
      <c r="E840" s="7" t="str">
        <f aca="false">IFERROR(__xludf.dummyfunction("lower(GOOGLETRANSLATE(B840,""es"",""en""))"),"the park")</f>
        <v>the park</v>
      </c>
      <c r="F840" s="7" t="str">
        <f aca="false">IFERROR(__xludf.dummyfunction("lower(GOOGLETRANSLATE(A840,""en"",""es""))"),"el parque")</f>
        <v>el parque</v>
      </c>
      <c r="H840" s="0" t="str">
        <f aca="false">A840&amp;"|"&amp;B840</f>
        <v>the park|el parque</v>
      </c>
    </row>
    <row r="841" customFormat="false" ht="15.75" hidden="false" customHeight="false" outlineLevel="0" collapsed="false">
      <c r="A841" s="4" t="s">
        <v>1665</v>
      </c>
      <c r="B841" s="5" t="s">
        <v>1666</v>
      </c>
      <c r="C841" s="5" t="s">
        <v>1658</v>
      </c>
      <c r="D841" s="6"/>
      <c r="E841" s="7" t="str">
        <f aca="false">IFERROR(__xludf.dummyfunction("lower(GOOGLETRANSLATE(B841,""es"",""en""))"),"amusement park")</f>
        <v>amusement park</v>
      </c>
      <c r="F841" s="7" t="str">
        <f aca="false">IFERROR(__xludf.dummyfunction("lower(GOOGLETRANSLATE(A841,""en"",""es""))"),"el parque de atracciones")</f>
        <v>el parque de atracciones</v>
      </c>
      <c r="H841" s="0" t="str">
        <f aca="false">A841&amp;"|"&amp;B841</f>
        <v>the amusement park|el parque de diversiones</v>
      </c>
    </row>
    <row r="842" customFormat="false" ht="15.75" hidden="false" customHeight="false" outlineLevel="0" collapsed="false">
      <c r="A842" s="4" t="s">
        <v>1667</v>
      </c>
      <c r="B842" s="5" t="s">
        <v>1668</v>
      </c>
      <c r="C842" s="5" t="s">
        <v>1658</v>
      </c>
      <c r="D842" s="6"/>
      <c r="E842" s="7" t="str">
        <f aca="false">IFERROR(__xludf.dummyfunction("lower(GOOGLETRANSLATE(B842,""es"",""en""))"),"the piscian")</f>
        <v>the piscian</v>
      </c>
      <c r="F842" s="7" t="str">
        <f aca="false">IFERROR(__xludf.dummyfunction("lower(GOOGLETRANSLATE(A842,""en"",""es""))"),"la piscina")</f>
        <v>la piscina</v>
      </c>
      <c r="H842" s="0" t="str">
        <f aca="false">A842&amp;"|"&amp;B842</f>
        <v>the swimming pool|la piscian</v>
      </c>
    </row>
    <row r="843" customFormat="false" ht="15.75" hidden="false" customHeight="false" outlineLevel="0" collapsed="false">
      <c r="A843" s="4" t="s">
        <v>1667</v>
      </c>
      <c r="B843" s="5" t="s">
        <v>1669</v>
      </c>
      <c r="C843" s="5" t="s">
        <v>1658</v>
      </c>
      <c r="D843" s="6"/>
      <c r="E843" s="7" t="str">
        <f aca="false">IFERROR(__xludf.dummyfunction("lower(GOOGLETRANSLATE(B843,""es"",""en""))"),"the swimming pool")</f>
        <v>the swimming pool</v>
      </c>
      <c r="F843" s="7" t="str">
        <f aca="false">IFERROR(__xludf.dummyfunction("lower(GOOGLETRANSLATE(A843,""en"",""es""))"),"la piscina")</f>
        <v>la piscina</v>
      </c>
      <c r="H843" s="0" t="str">
        <f aca="false">A843&amp;"|"&amp;B843</f>
        <v>the swimming pool|la alberca</v>
      </c>
    </row>
    <row r="844" customFormat="false" ht="15.75" hidden="false" customHeight="false" outlineLevel="0" collapsed="false">
      <c r="A844" s="4" t="s">
        <v>1670</v>
      </c>
      <c r="B844" s="5" t="s">
        <v>1671</v>
      </c>
      <c r="C844" s="5" t="s">
        <v>1658</v>
      </c>
      <c r="D844" s="6"/>
      <c r="E844" s="7" t="str">
        <f aca="false">IFERROR(__xludf.dummyfunction("lower(GOOGLETRANSLATE(B844,""es"",""en""))"),"the beach")</f>
        <v>the beach</v>
      </c>
      <c r="F844" s="7" t="str">
        <f aca="false">IFERROR(__xludf.dummyfunction("lower(GOOGLETRANSLATE(A844,""en"",""es""))"),"la playa")</f>
        <v>la playa</v>
      </c>
      <c r="H844" s="0" t="str">
        <f aca="false">A844&amp;"|"&amp;B844</f>
        <v>the beach|la playa</v>
      </c>
    </row>
    <row r="845" customFormat="false" ht="15.75" hidden="false" customHeight="false" outlineLevel="0" collapsed="false">
      <c r="A845" s="4" t="s">
        <v>1672</v>
      </c>
      <c r="B845" s="5" t="s">
        <v>1673</v>
      </c>
      <c r="C845" s="5" t="s">
        <v>1674</v>
      </c>
      <c r="D845" s="6"/>
      <c r="E845" s="7" t="str">
        <f aca="false">IFERROR(__xludf.dummyfunction("lower(GOOGLETRANSLATE(B845,""es"",""en""))"),"where?")</f>
        <v>where?</v>
      </c>
      <c r="F845" s="7" t="str">
        <f aca="false">IFERROR(__xludf.dummyfunction("lower(GOOGLETRANSLATE(A845,""en"",""es""))"),"¿a donde?")</f>
        <v>¿a donde?</v>
      </c>
      <c r="H845" s="0" t="str">
        <f aca="false">A845&amp;"|"&amp;B845</f>
        <v>to where?|adónde?</v>
      </c>
    </row>
    <row r="846" customFormat="false" ht="15.75" hidden="false" customHeight="false" outlineLevel="0" collapsed="false">
      <c r="A846" s="4" t="s">
        <v>1675</v>
      </c>
      <c r="B846" s="5" t="s">
        <v>1676</v>
      </c>
      <c r="C846" s="5" t="s">
        <v>1674</v>
      </c>
      <c r="D846" s="6"/>
      <c r="E846" s="7" t="str">
        <f aca="false">IFERROR(__xludf.dummyfunction("lower(GOOGLETRANSLATE(B846,""es"",""en""))"),"where are you going?")</f>
        <v>where are you going?</v>
      </c>
      <c r="F846" s="7" t="str">
        <f aca="false">IFERROR(__xludf.dummyfunction("lower(GOOGLETRANSLATE(A846,""en"",""es""))"),"¿a dónde vas?")</f>
        <v>¿a dónde vas?</v>
      </c>
      <c r="H846" s="0" t="str">
        <f aca="false">A846&amp;"|"&amp;B846</f>
        <v>where are you going?|adónde vas?</v>
      </c>
    </row>
    <row r="847" customFormat="false" ht="15.75" hidden="false" customHeight="false" outlineLevel="0" collapsed="false">
      <c r="A847" s="4" t="s">
        <v>1677</v>
      </c>
      <c r="B847" s="5" t="s">
        <v>1678</v>
      </c>
      <c r="C847" s="5" t="s">
        <v>1679</v>
      </c>
      <c r="D847" s="6"/>
      <c r="E847" s="7" t="str">
        <f aca="false">IFERROR(__xludf.dummyfunction("lower(GOOGLETRANSLATE(B847,""es"",""en""))"),"with me")</f>
        <v>with me</v>
      </c>
      <c r="F847" s="7" t="str">
        <f aca="false">IFERROR(__xludf.dummyfunction("lower(GOOGLETRANSLATE(A847,""en"",""es""))"),"conmigo")</f>
        <v>conmigo</v>
      </c>
      <c r="H847" s="0" t="str">
        <f aca="false">A847&amp;"|"&amp;B847</f>
        <v>with me|conmigo</v>
      </c>
    </row>
    <row r="848" customFormat="false" ht="15.75" hidden="false" customHeight="false" outlineLevel="0" collapsed="false">
      <c r="A848" s="4" t="s">
        <v>1680</v>
      </c>
      <c r="B848" s="5" t="s">
        <v>1681</v>
      </c>
      <c r="C848" s="5" t="s">
        <v>1679</v>
      </c>
      <c r="D848" s="6"/>
      <c r="E848" s="7" t="str">
        <f aca="false">IFERROR(__xludf.dummyfunction("lower(GOOGLETRANSLATE(B848,""es"",""en""))"),"with you")</f>
        <v>with you</v>
      </c>
      <c r="F848" s="7" t="str">
        <f aca="false">IFERROR(__xludf.dummyfunction("lower(GOOGLETRANSLATE(A848,""en"",""es""))"),"contigo")</f>
        <v>contigo</v>
      </c>
      <c r="H848" s="0" t="str">
        <f aca="false">A848&amp;"|"&amp;B848</f>
        <v>with you|contigo</v>
      </c>
    </row>
    <row r="849" customFormat="false" ht="15.75" hidden="false" customHeight="false" outlineLevel="0" collapsed="false">
      <c r="A849" s="4" t="s">
        <v>1682</v>
      </c>
      <c r="B849" s="5" t="s">
        <v>1683</v>
      </c>
      <c r="C849" s="5" t="s">
        <v>1679</v>
      </c>
      <c r="D849" s="6"/>
      <c r="E849" s="7" t="str">
        <f aca="false">IFERROR(__xludf.dummyfunction("lower(GOOGLETRANSLATE(B849,""es"",""en""))"),"with the")</f>
        <v>with the</v>
      </c>
      <c r="F849" s="7" t="str">
        <f aca="false">IFERROR(__xludf.dummyfunction("lower(GOOGLETRANSLATE(A849,""en"",""es""))"),"con él")</f>
        <v>con él</v>
      </c>
      <c r="H849" s="0" t="str">
        <f aca="false">A849&amp;"|"&amp;B849</f>
        <v>with him|con él</v>
      </c>
    </row>
    <row r="850" customFormat="false" ht="15.75" hidden="false" customHeight="false" outlineLevel="0" collapsed="false">
      <c r="A850" s="4" t="s">
        <v>1684</v>
      </c>
      <c r="B850" s="5" t="s">
        <v>1685</v>
      </c>
      <c r="C850" s="5" t="s">
        <v>1679</v>
      </c>
      <c r="D850" s="6"/>
      <c r="E850" s="7" t="str">
        <f aca="false">IFERROR(__xludf.dummyfunction("lower(GOOGLETRANSLATE(B850,""es"",""en""))"),"with ellla")</f>
        <v>with ellla</v>
      </c>
      <c r="F850" s="7" t="str">
        <f aca="false">IFERROR(__xludf.dummyfunction("lower(GOOGLETRANSLATE(A850,""en"",""es""))"),"con ella")</f>
        <v>con ella</v>
      </c>
      <c r="H850" s="0" t="str">
        <f aca="false">A850&amp;"|"&amp;B850</f>
        <v>with her|con ellla</v>
      </c>
    </row>
    <row r="851" customFormat="false" ht="15.75" hidden="false" customHeight="false" outlineLevel="0" collapsed="false">
      <c r="A851" s="4" t="s">
        <v>1686</v>
      </c>
      <c r="B851" s="5" t="s">
        <v>1687</v>
      </c>
      <c r="C851" s="5" t="s">
        <v>1679</v>
      </c>
      <c r="D851" s="6"/>
      <c r="E851" s="7" t="str">
        <f aca="false">IFERROR(__xludf.dummyfunction("lower(GOOGLETRANSLATE(B851,""es"",""en""))"),"with us")</f>
        <v>with us</v>
      </c>
      <c r="F851" s="7" t="str">
        <f aca="false">IFERROR(__xludf.dummyfunction("lower(GOOGLETRANSLATE(A851,""en"",""es""))"),"con nosotros (m)")</f>
        <v>con nosotros (m)</v>
      </c>
      <c r="H851" s="0" t="str">
        <f aca="false">A851&amp;"|"&amp;B851</f>
        <v>with us (m)|con nosotros</v>
      </c>
    </row>
    <row r="852" customFormat="false" ht="15.75" hidden="false" customHeight="false" outlineLevel="0" collapsed="false">
      <c r="A852" s="4" t="s">
        <v>1688</v>
      </c>
      <c r="B852" s="5" t="s">
        <v>1689</v>
      </c>
      <c r="C852" s="5" t="s">
        <v>1679</v>
      </c>
      <c r="D852" s="6"/>
      <c r="E852" s="7" t="str">
        <f aca="false">IFERROR(__xludf.dummyfunction("lower(GOOGLETRANSLATE(B852,""es"",""en""))"),"with you")</f>
        <v>with you</v>
      </c>
      <c r="F852" s="7" t="str">
        <f aca="false">IFERROR(__xludf.dummyfunction("lower(GOOGLETRANSLATE(A852,""en"",""es""))"),"que usted (plural, familiar, m)")</f>
        <v>que usted (plural, familiar, m)</v>
      </c>
      <c r="H852" s="0" t="str">
        <f aca="false">A852&amp;"|"&amp;B852</f>
        <v>you you (plural, familiar, m)|con vosotros</v>
      </c>
    </row>
    <row r="853" customFormat="false" ht="15.75" hidden="false" customHeight="false" outlineLevel="0" collapsed="false">
      <c r="A853" s="4" t="s">
        <v>1690</v>
      </c>
      <c r="B853" s="5" t="s">
        <v>1691</v>
      </c>
      <c r="C853" s="5" t="s">
        <v>1679</v>
      </c>
      <c r="D853" s="6"/>
      <c r="E853" s="7" t="str">
        <f aca="false">IFERROR(__xludf.dummyfunction("lower(GOOGLETRANSLATE(B853,""es"",""en""))"),"with you")</f>
        <v>with you</v>
      </c>
      <c r="F853" s="7" t="str">
        <f aca="false">IFERROR(__xludf.dummyfunction("lower(GOOGLETRANSLATE(A853,""en"",""es""))"),"con usted (plural, formal)")</f>
        <v>con usted (plural, formal)</v>
      </c>
      <c r="H853" s="0" t="str">
        <f aca="false">A853&amp;"|"&amp;B853</f>
        <v>with you (plural, formal)|con ustedes</v>
      </c>
    </row>
    <row r="854" customFormat="false" ht="15.75" hidden="false" customHeight="false" outlineLevel="0" collapsed="false">
      <c r="A854" s="4" t="s">
        <v>1692</v>
      </c>
      <c r="B854" s="5" t="s">
        <v>1693</v>
      </c>
      <c r="C854" s="5" t="s">
        <v>1679</v>
      </c>
      <c r="D854" s="6"/>
      <c r="E854" s="7" t="str">
        <f aca="false">IFERROR(__xludf.dummyfunction("lower(GOOGLETRANSLATE(B854,""es"",""en""))"),"without me")</f>
        <v>without me</v>
      </c>
      <c r="F854" s="7" t="str">
        <f aca="false">IFERROR(__xludf.dummyfunction("lower(GOOGLETRANSLATE(A854,""en"",""es""))"),"sin mi")</f>
        <v>sin mi</v>
      </c>
      <c r="H854" s="0" t="str">
        <f aca="false">A854&amp;"|"&amp;B854</f>
        <v>without me|sin mí</v>
      </c>
    </row>
    <row r="855" customFormat="false" ht="15.75" hidden="false" customHeight="false" outlineLevel="0" collapsed="false">
      <c r="A855" s="4" t="s">
        <v>1694</v>
      </c>
      <c r="B855" s="5" t="s">
        <v>1695</v>
      </c>
      <c r="C855" s="5" t="s">
        <v>1679</v>
      </c>
      <c r="D855" s="6"/>
      <c r="E855" s="7" t="str">
        <f aca="false">IFERROR(__xludf.dummyfunction("lower(GOOGLETRANSLATE(B855,""es"",""en""))"),"without you")</f>
        <v>without you</v>
      </c>
      <c r="F855" s="7" t="str">
        <f aca="false">IFERROR(__xludf.dummyfunction("lower(GOOGLETRANSLATE(A855,""en"",""es""))"),"sin ti")</f>
        <v>sin ti</v>
      </c>
      <c r="H855" s="0" t="str">
        <f aca="false">A855&amp;"|"&amp;B855</f>
        <v>without you|sin ti</v>
      </c>
    </row>
    <row r="856" customFormat="false" ht="15.75" hidden="false" customHeight="false" outlineLevel="0" collapsed="false">
      <c r="A856" s="4" t="s">
        <v>1696</v>
      </c>
      <c r="B856" s="5" t="s">
        <v>1697</v>
      </c>
      <c r="C856" s="5" t="s">
        <v>1679</v>
      </c>
      <c r="D856" s="6"/>
      <c r="E856" s="7" t="str">
        <f aca="false">IFERROR(__xludf.dummyfunction("lower(GOOGLETRANSLATE(B856,""es"",""en""))"),"without him")</f>
        <v>without him</v>
      </c>
      <c r="F856" s="7" t="str">
        <f aca="false">IFERROR(__xludf.dummyfunction("lower(GOOGLETRANSLATE(A856,""en"",""es""))"),"sin él")</f>
        <v>sin él</v>
      </c>
      <c r="H856" s="0" t="str">
        <f aca="false">A856&amp;"|"&amp;B856</f>
        <v>without him|sin él</v>
      </c>
    </row>
    <row r="857" customFormat="false" ht="15.75" hidden="false" customHeight="false" outlineLevel="0" collapsed="false">
      <c r="A857" s="4" t="s">
        <v>1698</v>
      </c>
      <c r="B857" s="5" t="s">
        <v>1699</v>
      </c>
      <c r="C857" s="5" t="s">
        <v>1679</v>
      </c>
      <c r="D857" s="6"/>
      <c r="E857" s="7" t="str">
        <f aca="false">IFERROR(__xludf.dummyfunction("lower(GOOGLETRANSLATE(B857,""es"",""en""))"),"without her")</f>
        <v>without her</v>
      </c>
      <c r="F857" s="7" t="str">
        <f aca="false">IFERROR(__xludf.dummyfunction("lower(GOOGLETRANSLATE(A857,""en"",""es""))"),"sin ella")</f>
        <v>sin ella</v>
      </c>
      <c r="H857" s="0" t="str">
        <f aca="false">A857&amp;"|"&amp;B857</f>
        <v>without her|sin ella</v>
      </c>
    </row>
    <row r="858" customFormat="false" ht="15.75" hidden="false" customHeight="false" outlineLevel="0" collapsed="false">
      <c r="A858" s="4" t="s">
        <v>1700</v>
      </c>
      <c r="B858" s="5" t="s">
        <v>1701</v>
      </c>
      <c r="C858" s="5" t="s">
        <v>1679</v>
      </c>
      <c r="D858" s="6"/>
      <c r="E858" s="7" t="str">
        <f aca="false">IFERROR(__xludf.dummyfunction("lower(GOOGLETRANSLATE(B858,""es"",""en""))"),"without us")</f>
        <v>without us</v>
      </c>
      <c r="F858" s="7" t="str">
        <f aca="false">IFERROR(__xludf.dummyfunction("lower(GOOGLETRANSLATE(A858,""en"",""es""))"),"sin nosotros")</f>
        <v>sin nosotros</v>
      </c>
      <c r="H858" s="0" t="str">
        <f aca="false">A858&amp;"|"&amp;B858</f>
        <v>without us|sin nosotros</v>
      </c>
    </row>
    <row r="859" customFormat="false" ht="15.75" hidden="false" customHeight="false" outlineLevel="0" collapsed="false">
      <c r="A859" s="4" t="s">
        <v>1702</v>
      </c>
      <c r="B859" s="5" t="s">
        <v>1703</v>
      </c>
      <c r="C859" s="5" t="s">
        <v>1679</v>
      </c>
      <c r="D859" s="6"/>
      <c r="E859" s="7" t="str">
        <f aca="false">IFERROR(__xludf.dummyfunction("lower(GOOGLETRANSLATE(B859,""es"",""en""))"),"without you")</f>
        <v>without you</v>
      </c>
      <c r="F859" s="7" t="str">
        <f aca="false">IFERROR(__xludf.dummyfunction("lower(GOOGLETRANSLATE(A859,""en"",""es""))"),"sin ti (en plural, familiar)")</f>
        <v>sin ti (en plural, familiar)</v>
      </c>
      <c r="H859" s="0" t="str">
        <f aca="false">A859&amp;"|"&amp;B859</f>
        <v>without you (plural, familiar)|sin vosotros</v>
      </c>
    </row>
    <row r="860" customFormat="false" ht="15.75" hidden="false" customHeight="false" outlineLevel="0" collapsed="false">
      <c r="A860" s="4" t="s">
        <v>1704</v>
      </c>
      <c r="B860" s="5" t="s">
        <v>1705</v>
      </c>
      <c r="C860" s="5" t="s">
        <v>1679</v>
      </c>
      <c r="D860" s="6"/>
      <c r="E860" s="7" t="str">
        <f aca="false">IFERROR(__xludf.dummyfunction("lower(GOOGLETRANSLATE(B860,""es"",""en""))"),"without you")</f>
        <v>without you</v>
      </c>
      <c r="F860" s="7" t="str">
        <f aca="false">IFERROR(__xludf.dummyfunction("lower(GOOGLETRANSLATE(A860,""en"",""es""))"),"withough usted (plural, formal)")</f>
        <v>withough usted (plural, formal)</v>
      </c>
      <c r="H860" s="0" t="str">
        <f aca="false">A860&amp;"|"&amp;B860</f>
        <v>withough you (plural, formal)|sin ustedes</v>
      </c>
    </row>
    <row r="861" customFormat="false" ht="15.75" hidden="false" customHeight="false" outlineLevel="0" collapsed="false">
      <c r="A861" s="4" t="s">
        <v>1706</v>
      </c>
      <c r="B861" s="5" t="s">
        <v>1707</v>
      </c>
      <c r="C861" s="5" t="s">
        <v>1679</v>
      </c>
      <c r="D861" s="6"/>
      <c r="E861" s="7" t="str">
        <f aca="false">IFERROR(__xludf.dummyfunction("lower(GOOGLETRANSLATE(B861,""es"",""en""))"),"friend")</f>
        <v>friend</v>
      </c>
      <c r="F861" s="7" t="str">
        <f aca="false">IFERROR(__xludf.dummyfunction("lower(GOOGLETRANSLATE(A861,""en"",""es""))"),"el amigo (m)")</f>
        <v>el amigo (m)</v>
      </c>
      <c r="H861" s="0" t="str">
        <f aca="false">A861&amp;"|"&amp;B861</f>
        <v>the friend (m)|el amigo</v>
      </c>
    </row>
    <row r="862" customFormat="false" ht="15.75" hidden="false" customHeight="false" outlineLevel="0" collapsed="false">
      <c r="A862" s="4" t="s">
        <v>1708</v>
      </c>
      <c r="B862" s="5" t="s">
        <v>1709</v>
      </c>
      <c r="C862" s="5" t="s">
        <v>1679</v>
      </c>
      <c r="D862" s="6"/>
      <c r="E862" s="7" t="str">
        <f aca="false">IFERROR(__xludf.dummyfunction("lower(GOOGLETRANSLATE(B862,""es"",""en""))"),"friend")</f>
        <v>friend</v>
      </c>
      <c r="F862" s="7" t="str">
        <f aca="false">IFERROR(__xludf.dummyfunction("lower(GOOGLETRANSLATE(A862,""en"",""es""))"),"el amigo (f)")</f>
        <v>el amigo (f)</v>
      </c>
      <c r="H862" s="0" t="str">
        <f aca="false">A862&amp;"|"&amp;B862</f>
        <v>the friend (f)|la amiga</v>
      </c>
    </row>
    <row r="863" customFormat="false" ht="15.75" hidden="false" customHeight="false" outlineLevel="0" collapsed="false">
      <c r="A863" s="4" t="s">
        <v>1710</v>
      </c>
      <c r="B863" s="5" t="s">
        <v>1711</v>
      </c>
      <c r="C863" s="5" t="s">
        <v>1679</v>
      </c>
      <c r="D863" s="6"/>
      <c r="E863" s="7" t="str">
        <f aca="false">IFERROR(__xludf.dummyfunction("lower(GOOGLETRANSLATE(B863,""es"",""en""))"),"sun@")</f>
        <v>sun@</v>
      </c>
      <c r="F863" s="7" t="str">
        <f aca="false">IFERROR(__xludf.dummyfunction("lower(GOOGLETRANSLATE(A863,""en"",""es""))"),"solo")</f>
        <v>solo</v>
      </c>
      <c r="H863" s="0" t="str">
        <f aca="false">A863&amp;"|"&amp;B863</f>
        <v>alone|sol@</v>
      </c>
    </row>
    <row r="864" customFormat="false" ht="15.75" hidden="false" customHeight="false" outlineLevel="0" collapsed="false">
      <c r="A864" s="4" t="s">
        <v>1712</v>
      </c>
      <c r="B864" s="5" t="s">
        <v>1713</v>
      </c>
      <c r="C864" s="5" t="s">
        <v>1679</v>
      </c>
      <c r="D864" s="6"/>
      <c r="E864" s="7" t="str">
        <f aca="false">IFERROR(__xludf.dummyfunction("lower(GOOGLETRANSLATE(B864,""es"",""en""))"),"junt @ s")</f>
        <v>junt @ s</v>
      </c>
      <c r="F864" s="7" t="str">
        <f aca="false">IFERROR(__xludf.dummyfunction("lower(GOOGLETRANSLATE(A864,""en"",""es""))"),"juntos")</f>
        <v>juntos</v>
      </c>
      <c r="H864" s="0" t="str">
        <f aca="false">A864&amp;"|"&amp;B864</f>
        <v>together|junt@s</v>
      </c>
    </row>
    <row r="865" customFormat="false" ht="15.75" hidden="false" customHeight="false" outlineLevel="0" collapsed="false">
      <c r="A865" s="4" t="s">
        <v>1714</v>
      </c>
      <c r="B865" s="5" t="s">
        <v>1715</v>
      </c>
      <c r="C865" s="5" t="s">
        <v>1679</v>
      </c>
      <c r="D865" s="6"/>
      <c r="E865" s="7" t="str">
        <f aca="false">IFERROR(__xludf.dummyfunction("lower(GOOGLETRANSLATE(B865,""es"",""en""))"),"maybe")</f>
        <v>maybe</v>
      </c>
      <c r="F865" s="7" t="str">
        <f aca="false">IFERROR(__xludf.dummyfunction("lower(GOOGLETRANSLATE(A865,""en"",""es""))"),"quizás")</f>
        <v>quizás</v>
      </c>
      <c r="H865" s="0" t="str">
        <f aca="false">A865&amp;"|"&amp;B865</f>
        <v>perhaps|tal vez</v>
      </c>
    </row>
    <row r="866" customFormat="false" ht="15.75" hidden="false" customHeight="false" outlineLevel="0" collapsed="false">
      <c r="A866" s="4" t="s">
        <v>1716</v>
      </c>
      <c r="B866" s="5" t="s">
        <v>1717</v>
      </c>
      <c r="C866" s="5" t="s">
        <v>1679</v>
      </c>
      <c r="D866" s="6"/>
      <c r="E866" s="7" t="str">
        <f aca="false">IFERROR(__xludf.dummyfunction("lower(GOOGLETRANSLATE(B866,""es"",""en""))"),"possibly")</f>
        <v>possibly</v>
      </c>
      <c r="F866" s="7" t="str">
        <f aca="false">IFERROR(__xludf.dummyfunction("lower(GOOGLETRANSLATE(A866,""en"",""es""))"),"posiblemente")</f>
        <v>posiblemente</v>
      </c>
      <c r="H866" s="0" t="str">
        <f aca="false">A866&amp;"|"&amp;B866</f>
        <v>possibly|posiblemente</v>
      </c>
    </row>
    <row r="867" customFormat="false" ht="15.75" hidden="false" customHeight="false" outlineLevel="0" collapsed="false">
      <c r="A867" s="4" t="s">
        <v>1718</v>
      </c>
      <c r="B867" s="5" t="s">
        <v>1719</v>
      </c>
      <c r="C867" s="5" t="s">
        <v>1679</v>
      </c>
      <c r="D867" s="6"/>
      <c r="E867" s="7" t="str">
        <f aca="false">IFERROR(__xludf.dummyfunction("lower(GOOGLETRANSLATE(B867,""es"",""en""))"),"! why not!")</f>
        <v>! why not!</v>
      </c>
      <c r="F867" s="7" t="str">
        <f aca="false">IFERROR(__xludf.dummyfunction("lower(GOOGLETRANSLATE(A867,""en"",""es""))"),"¡por supuesto!")</f>
        <v>¡por supuesto!</v>
      </c>
      <c r="H867" s="0" t="str">
        <f aca="false">A867&amp;"|"&amp;B867</f>
        <v>of course!|!cómo no!</v>
      </c>
    </row>
    <row r="868" customFormat="false" ht="15.75" hidden="false" customHeight="false" outlineLevel="0" collapsed="false">
      <c r="A868" s="4" t="s">
        <v>1720</v>
      </c>
      <c r="B868" s="5" t="s">
        <v>1721</v>
      </c>
      <c r="C868" s="5" t="s">
        <v>1679</v>
      </c>
      <c r="D868" s="6"/>
      <c r="E868" s="7" t="str">
        <f aca="false">IFERROR(__xludf.dummyfunction("lower(GOOGLETRANSLATE(B868,""es"",""en""))"),"!of course not!")</f>
        <v>!of course not!</v>
      </c>
      <c r="F868" s="7" t="str">
        <f aca="false">IFERROR(__xludf.dummyfunction("lower(GOOGLETRANSLATE(A868,""en"",""es""))"),"¡por supuesto no!")</f>
        <v>¡por supuesto no!</v>
      </c>
      <c r="H868" s="0" t="str">
        <f aca="false">A868&amp;"|"&amp;B868</f>
        <v>of course not!|!claro que no!</v>
      </c>
    </row>
    <row r="869" customFormat="false" ht="15.75" hidden="false" customHeight="false" outlineLevel="0" collapsed="false">
      <c r="A869" s="4" t="s">
        <v>1722</v>
      </c>
      <c r="B869" s="5" t="s">
        <v>1723</v>
      </c>
      <c r="C869" s="5" t="s">
        <v>1679</v>
      </c>
      <c r="D869" s="6"/>
      <c r="E869" s="7" t="str">
        <f aca="false">IFERROR(__xludf.dummyfunction("lower(GOOGLETRANSLATE(B869,""es"",""en""))"),"you're welcome")</f>
        <v>you're welcome</v>
      </c>
      <c r="F869" s="7" t="str">
        <f aca="false">IFERROR(__xludf.dummyfunction("lower(GOOGLETRANSLATE(A869,""en"",""es""))"),"de nada")</f>
        <v>de nada</v>
      </c>
      <c r="H869" s="0" t="str">
        <f aca="false">A869&amp;"|"&amp;B869</f>
        <v>you're welcome|de nada</v>
      </c>
    </row>
    <row r="870" customFormat="false" ht="15.75" hidden="false" customHeight="false" outlineLevel="0" collapsed="false">
      <c r="A870" s="4" t="s">
        <v>1724</v>
      </c>
      <c r="B870" s="5" t="s">
        <v>1725</v>
      </c>
      <c r="C870" s="5" t="s">
        <v>1726</v>
      </c>
      <c r="D870" s="6"/>
      <c r="E870" s="7" t="str">
        <f aca="false">IFERROR(__xludf.dummyfunction("lower(GOOGLETRANSLATE(B870,""es"",""en""))"),"station")</f>
        <v>station</v>
      </c>
      <c r="F870" s="7" t="str">
        <f aca="false">IFERROR(__xludf.dummyfunction("lower(GOOGLETRANSLATE(A870,""en"",""es""))"),"la temporada")</f>
        <v>la temporada</v>
      </c>
      <c r="H870" s="0" t="str">
        <f aca="false">A870&amp;"|"&amp;B870</f>
        <v>the season|la estacíon</v>
      </c>
    </row>
    <row r="871" customFormat="false" ht="15.75" hidden="false" customHeight="false" outlineLevel="0" collapsed="false">
      <c r="A871" s="4" t="s">
        <v>1727</v>
      </c>
      <c r="B871" s="5" t="s">
        <v>1728</v>
      </c>
      <c r="C871" s="5" t="s">
        <v>1729</v>
      </c>
      <c r="D871" s="6"/>
      <c r="E871" s="7" t="str">
        <f aca="false">IFERROR(__xludf.dummyfunction("lower(GOOGLETRANSLATE(B871,""es"",""en""))"),"stations")</f>
        <v>stations</v>
      </c>
      <c r="F871" s="7" t="str">
        <f aca="false">IFERROR(__xludf.dummyfunction("lower(GOOGLETRANSLATE(A871,""en"",""es""))"),"las estaciones")</f>
        <v>las estaciones</v>
      </c>
      <c r="H871" s="0" t="str">
        <f aca="false">A871&amp;"|"&amp;B871</f>
        <v>the seasons|las estaciones</v>
      </c>
    </row>
    <row r="872" customFormat="false" ht="15.75" hidden="false" customHeight="false" outlineLevel="0" collapsed="false">
      <c r="A872" s="4" t="s">
        <v>1730</v>
      </c>
      <c r="B872" s="5" t="s">
        <v>1731</v>
      </c>
      <c r="C872" s="5" t="s">
        <v>1729</v>
      </c>
      <c r="D872" s="6"/>
      <c r="E872" s="7" t="str">
        <f aca="false">IFERROR(__xludf.dummyfunction("lower(GOOGLETRANSLATE(B872,""es"",""en""))"),"spring")</f>
        <v>spring</v>
      </c>
      <c r="F872" s="7" t="str">
        <f aca="false">IFERROR(__xludf.dummyfunction("lower(GOOGLETRANSLATE(A872,""en"",""es""))"),"la primavera")</f>
        <v>la primavera</v>
      </c>
      <c r="H872" s="0" t="str">
        <f aca="false">A872&amp;"|"&amp;B872</f>
        <v>the spring|la primavera</v>
      </c>
    </row>
    <row r="873" customFormat="false" ht="15.75" hidden="false" customHeight="false" outlineLevel="0" collapsed="false">
      <c r="A873" s="4" t="s">
        <v>1732</v>
      </c>
      <c r="B873" s="5" t="s">
        <v>1733</v>
      </c>
      <c r="C873" s="5" t="s">
        <v>1729</v>
      </c>
      <c r="D873" s="6"/>
      <c r="E873" s="7" t="str">
        <f aca="false">IFERROR(__xludf.dummyfunction("lower(GOOGLETRANSLATE(B873,""es"",""en""))"),"summer")</f>
        <v>summer</v>
      </c>
      <c r="F873" s="7" t="str">
        <f aca="false">IFERROR(__xludf.dummyfunction("lower(GOOGLETRANSLATE(A873,""en"",""es""))"),"el verano")</f>
        <v>el verano</v>
      </c>
      <c r="H873" s="0" t="str">
        <f aca="false">A873&amp;"|"&amp;B873</f>
        <v>the summer|el verano</v>
      </c>
    </row>
    <row r="874" customFormat="false" ht="15.75" hidden="false" customHeight="false" outlineLevel="0" collapsed="false">
      <c r="A874" s="4" t="s">
        <v>1734</v>
      </c>
      <c r="B874" s="5" t="s">
        <v>1735</v>
      </c>
      <c r="C874" s="5" t="s">
        <v>1729</v>
      </c>
      <c r="D874" s="6"/>
      <c r="E874" s="7" t="str">
        <f aca="false">IFERROR(__xludf.dummyfunction("lower(GOOGLETRANSLATE(B874,""es"",""en""))"),"fall")</f>
        <v>fall</v>
      </c>
      <c r="F874" s="7" t="str">
        <f aca="false">IFERROR(__xludf.dummyfunction("lower(GOOGLETRANSLATE(A874,""en"",""es""))"),"la caída")</f>
        <v>la caída</v>
      </c>
      <c r="H874" s="0" t="str">
        <f aca="false">A874&amp;"|"&amp;B874</f>
        <v>the fall|el otoño</v>
      </c>
    </row>
    <row r="875" customFormat="false" ht="15.75" hidden="false" customHeight="false" outlineLevel="0" collapsed="false">
      <c r="A875" s="4" t="s">
        <v>1736</v>
      </c>
      <c r="B875" s="5" t="s">
        <v>1737</v>
      </c>
      <c r="C875" s="5" t="s">
        <v>1729</v>
      </c>
      <c r="D875" s="6"/>
      <c r="E875" s="7" t="str">
        <f aca="false">IFERROR(__xludf.dummyfunction("lower(GOOGLETRANSLATE(B875,""es"",""en""))"),"winter")</f>
        <v>winter</v>
      </c>
      <c r="F875" s="7" t="str">
        <f aca="false">IFERROR(__xludf.dummyfunction("lower(GOOGLETRANSLATE(A875,""en"",""es""))"),"el invierno")</f>
        <v>el invierno</v>
      </c>
      <c r="H875" s="0" t="str">
        <f aca="false">A875&amp;"|"&amp;B875</f>
        <v>the winter|el invierno</v>
      </c>
    </row>
    <row r="876" customFormat="false" ht="15.75" hidden="false" customHeight="false" outlineLevel="0" collapsed="false">
      <c r="A876" s="4" t="s">
        <v>1738</v>
      </c>
      <c r="B876" s="5" t="s">
        <v>1739</v>
      </c>
      <c r="C876" s="5" t="s">
        <v>1740</v>
      </c>
      <c r="D876" s="6"/>
      <c r="E876" s="7" t="str">
        <f aca="false">IFERROR(__xludf.dummyfunction("lower(GOOGLETRANSLATE(B876,""es"",""en""))"),"weekend")</f>
        <v>weekend</v>
      </c>
      <c r="F876" s="7" t="str">
        <f aca="false">IFERROR(__xludf.dummyfunction("lower(GOOGLETRANSLATE(A876,""en"",""es""))"),"en el fin de semana")</f>
        <v>en el fin de semana</v>
      </c>
      <c r="H876" s="0" t="str">
        <f aca="false">A876&amp;"|"&amp;B876</f>
        <v>on the weekend|el fin de semana</v>
      </c>
    </row>
    <row r="877" customFormat="false" ht="15.75" hidden="false" customHeight="false" outlineLevel="0" collapsed="false">
      <c r="A877" s="4" t="s">
        <v>1741</v>
      </c>
      <c r="B877" s="5" t="s">
        <v>1742</v>
      </c>
      <c r="C877" s="5" t="s">
        <v>1740</v>
      </c>
      <c r="D877" s="6"/>
      <c r="E877" s="7" t="str">
        <f aca="false">IFERROR(__xludf.dummyfunction("lower(GOOGLETRANSLATE(B877,""es"",""en""))"),"weekends")</f>
        <v>weekends</v>
      </c>
      <c r="F877" s="7" t="str">
        <f aca="false">IFERROR(__xludf.dummyfunction("lower(GOOGLETRANSLATE(A877,""en"",""es""))"),"los fines de semana")</f>
        <v>los fines de semana</v>
      </c>
      <c r="H877" s="0" t="str">
        <f aca="false">A877&amp;"|"&amp;B877</f>
        <v>on the weekends|los fines de semana</v>
      </c>
    </row>
    <row r="878" customFormat="false" ht="15.75" hidden="false" customHeight="false" outlineLevel="0" collapsed="false">
      <c r="A878" s="4" t="s">
        <v>1743</v>
      </c>
      <c r="B878" s="5" t="s">
        <v>1744</v>
      </c>
      <c r="C878" s="5" t="s">
        <v>1740</v>
      </c>
      <c r="D878" s="6"/>
      <c r="E878" s="7" t="str">
        <f aca="false">IFERROR(__xludf.dummyfunction("lower(GOOGLETRANSLATE(B878,""es"",""en""))"),"after")</f>
        <v>after</v>
      </c>
      <c r="F878" s="7" t="str">
        <f aca="false">IFERROR(__xludf.dummyfunction("lower(GOOGLETRANSLATE(A878,""en"",""es""))"),"después ..")</f>
        <v>después ..</v>
      </c>
      <c r="H878" s="0" t="str">
        <f aca="false">A878&amp;"|"&amp;B878</f>
        <v>after ..|después de</v>
      </c>
    </row>
    <row r="879" customFormat="false" ht="15.75" hidden="false" customHeight="false" outlineLevel="0" collapsed="false">
      <c r="A879" s="4" t="s">
        <v>363</v>
      </c>
      <c r="B879" s="5" t="s">
        <v>1745</v>
      </c>
      <c r="C879" s="5" t="s">
        <v>1740</v>
      </c>
      <c r="D879" s="6"/>
      <c r="E879" s="7" t="str">
        <f aca="false">IFERROR(__xludf.dummyfunction("lower(GOOGLETRANSLATE(B879,""es"",""en""))"),"in / morning")</f>
        <v>in / morning</v>
      </c>
      <c r="F879" s="7" t="str">
        <f aca="false">IFERROR(__xludf.dummyfunction("lower(GOOGLETRANSLATE(A879,""en"",""es""))"),"por la mañana")</f>
        <v>por la mañana</v>
      </c>
      <c r="H879" s="0" t="str">
        <f aca="false">A879&amp;"|"&amp;B879</f>
        <v>in the morning|en/por la mañana</v>
      </c>
    </row>
    <row r="880" customFormat="false" ht="15.75" hidden="false" customHeight="false" outlineLevel="0" collapsed="false">
      <c r="A880" s="4" t="s">
        <v>365</v>
      </c>
      <c r="B880" s="5" t="s">
        <v>1746</v>
      </c>
      <c r="C880" s="5" t="s">
        <v>1740</v>
      </c>
      <c r="D880" s="6"/>
      <c r="E880" s="7" t="str">
        <f aca="false">IFERROR(__xludf.dummyfunction("lower(GOOGLETRANSLATE(B880,""es"",""en""))"),"in / afternoon")</f>
        <v>in / afternoon</v>
      </c>
      <c r="F880" s="7" t="str">
        <f aca="false">IFERROR(__xludf.dummyfunction("lower(GOOGLETRANSLATE(A880,""en"",""es""))"),"por la tarde")</f>
        <v>por la tarde</v>
      </c>
      <c r="H880" s="0" t="str">
        <f aca="false">A880&amp;"|"&amp;B880</f>
        <v>in the afternoon|en/por la tarde</v>
      </c>
    </row>
    <row r="881" customFormat="false" ht="15.75" hidden="false" customHeight="false" outlineLevel="0" collapsed="false">
      <c r="A881" s="4" t="s">
        <v>1747</v>
      </c>
      <c r="B881" s="5" t="s">
        <v>1748</v>
      </c>
      <c r="C881" s="5" t="s">
        <v>1740</v>
      </c>
      <c r="D881" s="6"/>
      <c r="E881" s="7" t="str">
        <f aca="false">IFERROR(__xludf.dummyfunction("lower(GOOGLETRANSLATE(B881,""es"",""en""))"),"in / evening")</f>
        <v>in / evening</v>
      </c>
      <c r="F881" s="7" t="str">
        <f aca="false">IFERROR(__xludf.dummyfunction("lower(GOOGLETRANSLATE(A881,""en"",""es""))"),"por la noche")</f>
        <v>por la noche</v>
      </c>
      <c r="H881" s="0" t="str">
        <f aca="false">A881&amp;"|"&amp;B881</f>
        <v>at night|en/por la noche</v>
      </c>
    </row>
    <row r="882" customFormat="false" ht="15.75" hidden="false" customHeight="false" outlineLevel="0" collapsed="false">
      <c r="A882" s="4" t="s">
        <v>1749</v>
      </c>
      <c r="B882" s="5" t="s">
        <v>1750</v>
      </c>
      <c r="C882" s="5" t="s">
        <v>1740</v>
      </c>
      <c r="D882" s="6"/>
      <c r="E882" s="7" t="str">
        <f aca="false">IFERROR(__xludf.dummyfunction("lower(GOOGLETRANSLATE(B882,""es"",""en""))"),"usually")</f>
        <v>usually</v>
      </c>
      <c r="F882" s="7" t="str">
        <f aca="false">IFERROR(__xludf.dummyfunction("lower(GOOGLETRANSLATE(A882,""en"",""es""))"),"generalmente")</f>
        <v>generalmente</v>
      </c>
      <c r="H882" s="0" t="str">
        <f aca="false">A882&amp;"|"&amp;B882</f>
        <v>generally|generalmente</v>
      </c>
    </row>
    <row r="883" customFormat="false" ht="15.75" hidden="false" customHeight="false" outlineLevel="0" collapsed="false">
      <c r="A883" s="4" t="s">
        <v>1751</v>
      </c>
      <c r="B883" s="5" t="s">
        <v>1752</v>
      </c>
      <c r="C883" s="5" t="s">
        <v>1679</v>
      </c>
      <c r="D883" s="6"/>
      <c r="E883" s="7" t="str">
        <f aca="false">IFERROR(__xludf.dummyfunction("lower(GOOGLETRANSLATE(B883,""es"",""en""))"),"not today")</f>
        <v>not today</v>
      </c>
      <c r="F883" s="7" t="str">
        <f aca="false">IFERROR(__xludf.dummyfunction("lower(GOOGLETRANSLATE(A883,""en"",""es""))"),"hoy no")</f>
        <v>hoy no</v>
      </c>
      <c r="H883" s="0" t="str">
        <f aca="false">A883&amp;"|"&amp;B883</f>
        <v>not today|hoy no</v>
      </c>
    </row>
    <row r="884" customFormat="false" ht="15.75" hidden="false" customHeight="false" outlineLevel="0" collapsed="false">
      <c r="A884" s="4" t="s">
        <v>1753</v>
      </c>
      <c r="B884" s="5" t="s">
        <v>1754</v>
      </c>
      <c r="C884" s="5" t="s">
        <v>1679</v>
      </c>
      <c r="D884" s="6"/>
      <c r="E884" s="7" t="str">
        <f aca="false">IFERROR(__xludf.dummyfunction("lower(GOOGLETRANSLATE(B884,""es"",""en""))"),"!do not tell me!")</f>
        <v>!do not tell me!</v>
      </c>
      <c r="F884" s="7" t="str">
        <f aca="false">IFERROR(__xludf.dummyfunction("lower(GOOGLETRANSLATE(A884,""en"",""es""))"),"no se dice!")</f>
        <v>no se dice!</v>
      </c>
      <c r="H884" s="0" t="str">
        <f aca="false">A884&amp;"|"&amp;B884</f>
        <v>you don't say!|!no me digas!</v>
      </c>
    </row>
    <row r="885" customFormat="false" ht="15.75" hidden="false" customHeight="false" outlineLevel="0" collapsed="false">
      <c r="A885" s="4" t="s">
        <v>1755</v>
      </c>
      <c r="B885" s="5" t="s">
        <v>1756</v>
      </c>
      <c r="C885" s="5" t="s">
        <v>1679</v>
      </c>
      <c r="D885" s="6"/>
      <c r="E885" s="7" t="str">
        <f aca="false">IFERROR(__xludf.dummyfunction("lower(GOOGLETRANSLATE(B885,""es"",""en""))"),"!great!")</f>
        <v>!great!</v>
      </c>
      <c r="F885" s="7" t="str">
        <f aca="false">IFERROR(__xludf.dummyfunction("lower(GOOGLETRANSLATE(A885,""en"",""es""))"),"increíble")</f>
        <v>increíble</v>
      </c>
      <c r="H885" s="0" t="str">
        <f aca="false">A885&amp;"|"&amp;B885</f>
        <v>awesome|!genial!</v>
      </c>
    </row>
    <row r="886" customFormat="false" ht="15.75" hidden="false" customHeight="false" outlineLevel="0" collapsed="false">
      <c r="A886" s="4" t="s">
        <v>1757</v>
      </c>
      <c r="B886" s="5" t="s">
        <v>1758</v>
      </c>
      <c r="C886" s="5" t="s">
        <v>1679</v>
      </c>
      <c r="D886" s="6"/>
      <c r="E886" s="7" t="str">
        <f aca="false">IFERROR(__xludf.dummyfunction("lower(GOOGLETRANSLATE(B886,""es"",""en""))"),"!what a pity")</f>
        <v>!what a pity</v>
      </c>
      <c r="F886" s="7" t="str">
        <f aca="false">IFERROR(__xludf.dummyfunction("lower(GOOGLETRANSLATE(A886,""en"",""es""))"),"¡qué pena!")</f>
        <v>¡qué pena!</v>
      </c>
      <c r="H886" s="0" t="str">
        <f aca="false">A886&amp;"|"&amp;B886</f>
        <v>what a pity!|!qué lástima</v>
      </c>
    </row>
    <row r="887" customFormat="false" ht="15.75" hidden="false" customHeight="false" outlineLevel="0" collapsed="false">
      <c r="A887" s="4" t="s">
        <v>1759</v>
      </c>
      <c r="B887" s="5" t="s">
        <v>1760</v>
      </c>
      <c r="C887" s="5" t="s">
        <v>1679</v>
      </c>
      <c r="D887" s="6"/>
      <c r="E887" s="7" t="str">
        <f aca="false">IFERROR(__xludf.dummyfunction("lower(GOOGLETRANSLATE(B887,""es"",""en""))"),"!what a pity!")</f>
        <v>!what a pity!</v>
      </c>
      <c r="F887" s="7" t="str">
        <f aca="false">IFERROR(__xludf.dummyfunction("lower(GOOGLETRANSLATE(A887,""en"",""es""))"),"que pena / que triste!")</f>
        <v>que pena / que triste!</v>
      </c>
      <c r="H887" s="0" t="str">
        <f aca="false">A887&amp;"|"&amp;B887</f>
        <v>what a shame/how sad!|!qué pena!</v>
      </c>
    </row>
    <row r="888" customFormat="false" ht="15.75" hidden="false" customHeight="false" outlineLevel="0" collapsed="false">
      <c r="A888" s="4" t="s">
        <v>1761</v>
      </c>
      <c r="B888" s="5" t="s">
        <v>1762</v>
      </c>
      <c r="C888" s="5" t="s">
        <v>1679</v>
      </c>
      <c r="D888" s="6"/>
      <c r="E888" s="7" t="str">
        <f aca="false">IFERROR(__xludf.dummyfunction("lower(GOOGLETRANSLATE(B888,""es"",""en""))"),"the voice")</f>
        <v>the voice</v>
      </c>
      <c r="F888" s="7" t="str">
        <f aca="false">IFERROR(__xludf.dummyfunction("lower(GOOGLETRANSLATE(A888,""en"",""es""))"),"la voz")</f>
        <v>la voz</v>
      </c>
      <c r="H888" s="0" t="str">
        <f aca="false">A888&amp;"|"&amp;B888</f>
        <v>the voice|la voz</v>
      </c>
    </row>
    <row r="889" customFormat="false" ht="15.75" hidden="false" customHeight="false" outlineLevel="0" collapsed="false">
      <c r="A889" s="4" t="s">
        <v>1763</v>
      </c>
      <c r="B889" s="5" t="s">
        <v>1764</v>
      </c>
      <c r="C889" s="5" t="s">
        <v>1679</v>
      </c>
      <c r="D889" s="6"/>
      <c r="E889" s="7" t="str">
        <f aca="false">IFERROR(__xludf.dummyfunction("lower(GOOGLETRANSLATE(B889,""es"",""en""))"),"the voices")</f>
        <v>the voices</v>
      </c>
      <c r="F889" s="7" t="str">
        <f aca="false">IFERROR(__xludf.dummyfunction("lower(GOOGLETRANSLATE(A889,""en"",""es""))"),"las voces")</f>
        <v>las voces</v>
      </c>
      <c r="H889" s="0" t="str">
        <f aca="false">A889&amp;"|"&amp;B889</f>
        <v>the voices|las voces</v>
      </c>
    </row>
    <row r="890" customFormat="false" ht="15.75" hidden="false" customHeight="false" outlineLevel="0" collapsed="false">
      <c r="A890" s="4" t="s">
        <v>1765</v>
      </c>
      <c r="B890" s="5" t="s">
        <v>1766</v>
      </c>
      <c r="C890" s="5" t="s">
        <v>1679</v>
      </c>
      <c r="D890" s="6"/>
      <c r="E890" s="7" t="str">
        <f aca="false">IFERROR(__xludf.dummyfunction("lower(GOOGLETRANSLATE(B890,""es"",""en""))"),"something")</f>
        <v>something</v>
      </c>
      <c r="F890" s="7" t="str">
        <f aca="false">IFERROR(__xludf.dummyfunction("lower(GOOGLETRANSLATE(A890,""en"",""es""))"),"alguna cosa")</f>
        <v>alguna cosa</v>
      </c>
      <c r="H890" s="0" t="str">
        <f aca="false">A890&amp;"|"&amp;B890</f>
        <v>something|algo</v>
      </c>
    </row>
    <row r="891" customFormat="false" ht="15.75" hidden="false" customHeight="false" outlineLevel="0" collapsed="false">
      <c r="A891" s="4" t="s">
        <v>1767</v>
      </c>
      <c r="B891" s="5" t="s">
        <v>1768</v>
      </c>
      <c r="C891" s="5" t="s">
        <v>1679</v>
      </c>
      <c r="D891" s="6"/>
      <c r="E891" s="7" t="str">
        <f aca="false">IFERROR(__xludf.dummyfunction("lower(GOOGLETRANSLATE(B891,""es"",""en""))"),"nothing")</f>
        <v>nothing</v>
      </c>
      <c r="F891" s="7" t="str">
        <f aca="false">IFERROR(__xludf.dummyfunction("lower(GOOGLETRANSLATE(A891,""en"",""es""))"),"nada")</f>
        <v>nada</v>
      </c>
      <c r="H891" s="0" t="str">
        <f aca="false">A891&amp;"|"&amp;B891</f>
        <v>nothing|nada</v>
      </c>
    </row>
    <row r="892" customFormat="false" ht="15.75" hidden="false" customHeight="false" outlineLevel="0" collapsed="false">
      <c r="A892" s="4" t="s">
        <v>1769</v>
      </c>
      <c r="B892" s="5" t="s">
        <v>1770</v>
      </c>
      <c r="C892" s="5" t="s">
        <v>1679</v>
      </c>
      <c r="D892" s="6"/>
      <c r="E892" s="7" t="str">
        <f aca="false">IFERROR(__xludf.dummyfunction("lower(GOOGLETRANSLATE(B892,""es"",""en""))"),"pastime")</f>
        <v>pastime</v>
      </c>
      <c r="F892" s="7" t="str">
        <f aca="false">IFERROR(__xludf.dummyfunction("lower(GOOGLETRANSLATE(A892,""en"",""es""))"),"el pasatiempo")</f>
        <v>el pasatiempo</v>
      </c>
      <c r="H892" s="0" t="str">
        <f aca="false">A892&amp;"|"&amp;B892</f>
        <v>the pastime|el pasatiempo</v>
      </c>
    </row>
    <row r="893" customFormat="false" ht="15.75" hidden="false" customHeight="false" outlineLevel="0" collapsed="false">
      <c r="A893" s="4" t="s">
        <v>1771</v>
      </c>
      <c r="B893" s="5" t="s">
        <v>1772</v>
      </c>
      <c r="C893" s="5" t="s">
        <v>1679</v>
      </c>
      <c r="D893" s="6"/>
      <c r="E893" s="7" t="str">
        <f aca="false">IFERROR(__xludf.dummyfunction("lower(GOOGLETRANSLATE(B893,""es"",""en""))"),"why")</f>
        <v>why</v>
      </c>
      <c r="F893" s="7" t="str">
        <f aca="false">IFERROR(__xludf.dummyfunction("lower(GOOGLETRANSLATE(A893,""en"",""es""))"),"porque")</f>
        <v>porque</v>
      </c>
      <c r="H893" s="0" t="str">
        <f aca="false">A893&amp;"|"&amp;B893</f>
        <v>because|porque</v>
      </c>
    </row>
    <row r="894" customFormat="false" ht="15.75" hidden="false" customHeight="false" outlineLevel="0" collapsed="false">
      <c r="A894" s="4" t="s">
        <v>1773</v>
      </c>
      <c r="B894" s="5" t="s">
        <v>1774</v>
      </c>
      <c r="C894" s="5" t="s">
        <v>1775</v>
      </c>
      <c r="D894" s="6"/>
      <c r="E894" s="7" t="str">
        <f aca="false">IFERROR(__xludf.dummyfunction("lower(GOOGLETRANSLATE(B894,""es"",""en""))"),"for nader")</f>
        <v>for nader</v>
      </c>
      <c r="F894" s="7" t="str">
        <f aca="false">IFERROR(__xludf.dummyfunction("lower(GOOGLETRANSLATE(A894,""en"",""es""))"),"con el fin de nado")</f>
        <v>con el fin de nado</v>
      </c>
      <c r="H894" s="0" t="str">
        <f aca="false">A894&amp;"|"&amp;B894</f>
        <v>in order to swim|para nader</v>
      </c>
    </row>
    <row r="895" customFormat="false" ht="15.75" hidden="false" customHeight="false" outlineLevel="0" collapsed="false">
      <c r="A895" s="4" t="s">
        <v>1776</v>
      </c>
      <c r="B895" s="5" t="s">
        <v>1777</v>
      </c>
      <c r="C895" s="5" t="s">
        <v>1775</v>
      </c>
      <c r="D895" s="6"/>
      <c r="E895" s="7" t="str">
        <f aca="false">IFERROR(__xludf.dummyfunction("lower(GOOGLETRANSLATE(B895,""es"",""en""))"),"after running")</f>
        <v>after running</v>
      </c>
      <c r="F895" s="7" t="str">
        <f aca="false">IFERROR(__xludf.dummyfunction("lower(GOOGLETRANSLATE(A895,""en"",""es""))"),"despues de correr")</f>
        <v>despues de correr</v>
      </c>
      <c r="H895" s="0" t="str">
        <f aca="false">A895&amp;"|"&amp;B895</f>
        <v>after running|después de correr</v>
      </c>
    </row>
    <row r="896" customFormat="false" ht="15.75" hidden="false" customHeight="false" outlineLevel="0" collapsed="false">
      <c r="A896" s="4" t="s">
        <v>1778</v>
      </c>
      <c r="B896" s="5" t="s">
        <v>1779</v>
      </c>
      <c r="C896" s="5" t="s">
        <v>1775</v>
      </c>
      <c r="D896" s="6"/>
      <c r="E896" s="7" t="str">
        <f aca="false">IFERROR(__xludf.dummyfunction("lower(GOOGLETRANSLATE(B896,""es"",""en""))"),"before trabacho")</f>
        <v>before trabacho</v>
      </c>
      <c r="F896" s="7" t="str">
        <f aca="false">IFERROR(__xludf.dummyfunction("lower(GOOGLETRANSLATE(A896,""en"",""es""))"),"antes del trabajo")</f>
        <v>antes del trabajo</v>
      </c>
      <c r="H896" s="0" t="str">
        <f aca="false">A896&amp;"|"&amp;B896</f>
        <v>before work|antes de trabacho</v>
      </c>
    </row>
    <row r="897" customFormat="false" ht="15.75" hidden="false" customHeight="false" outlineLevel="0" collapsed="false">
      <c r="A897" s="4" t="s">
        <v>1780</v>
      </c>
      <c r="B897" s="5" t="s">
        <v>1781</v>
      </c>
      <c r="C897" s="5" t="s">
        <v>1775</v>
      </c>
      <c r="D897" s="6"/>
      <c r="E897" s="7" t="str">
        <f aca="false">IFERROR(__xludf.dummyfunction("lower(GOOGLETRANSLATE(B897,""es"",""en""))"),"without cosinar")</f>
        <v>without cosinar</v>
      </c>
      <c r="F897" s="7" t="str">
        <f aca="false">IFERROR(__xludf.dummyfunction("lower(GOOGLETRANSLATE(A897,""en"",""es""))"),"sin cocinar")</f>
        <v>sin cocinar</v>
      </c>
      <c r="H897" s="0" t="str">
        <f aca="false">A897&amp;"|"&amp;B897</f>
        <v>without cooking|sin cosinar</v>
      </c>
    </row>
    <row r="898" customFormat="false" ht="15.75" hidden="false" customHeight="false" outlineLevel="0" collapsed="false">
      <c r="A898" s="4" t="s">
        <v>1782</v>
      </c>
      <c r="B898" s="5" t="s">
        <v>1783</v>
      </c>
      <c r="C898" s="5" t="s">
        <v>1784</v>
      </c>
      <c r="D898" s="6"/>
      <c r="E898" s="7" t="str">
        <f aca="false">IFERROR(__xludf.dummyfunction("lower(GOOGLETRANSLATE(B898,""es"",""en""))"),"meals")</f>
        <v>meals</v>
      </c>
      <c r="F898" s="7" t="str">
        <f aca="false">IFERROR(__xludf.dummyfunction("lower(GOOGLETRANSLATE(A898,""en"",""es""))"),"las comidas")</f>
        <v>las comidas</v>
      </c>
      <c r="H898" s="0" t="str">
        <f aca="false">A898&amp;"|"&amp;B898</f>
        <v>the meals|las comidas</v>
      </c>
    </row>
    <row r="899" customFormat="false" ht="15.75" hidden="false" customHeight="false" outlineLevel="0" collapsed="false">
      <c r="A899" s="4" t="s">
        <v>1629</v>
      </c>
      <c r="B899" s="5" t="s">
        <v>1630</v>
      </c>
      <c r="C899" s="5" t="s">
        <v>1785</v>
      </c>
      <c r="D899" s="6"/>
      <c r="E899" s="7" t="str">
        <f aca="false">IFERROR(__xludf.dummyfunction("lower(GOOGLETRANSLATE(B899,""es"",""en""))"),"to drink")</f>
        <v>to drink</v>
      </c>
      <c r="F899" s="7" t="str">
        <f aca="false">IFERROR(__xludf.dummyfunction("lower(GOOGLETRANSLATE(A899,""en"",""es""))"),"beber")</f>
        <v>beber</v>
      </c>
      <c r="H899" s="0" t="str">
        <f aca="false">A899&amp;"|"&amp;B899</f>
        <v>to drink|beber</v>
      </c>
    </row>
    <row r="900" customFormat="false" ht="15.75" hidden="false" customHeight="false" outlineLevel="0" collapsed="false">
      <c r="A900" s="4" t="s">
        <v>1629</v>
      </c>
      <c r="B900" s="5" t="s">
        <v>1786</v>
      </c>
      <c r="C900" s="5" t="s">
        <v>1785</v>
      </c>
      <c r="D900" s="6"/>
      <c r="E900" s="7" t="str">
        <f aca="false">IFERROR(__xludf.dummyfunction("lower(GOOGLETRANSLATE(B900,""es"",""en""))"),"drink")</f>
        <v>drink</v>
      </c>
      <c r="F900" s="7" t="str">
        <f aca="false">IFERROR(__xludf.dummyfunction("lower(GOOGLETRANSLATE(A900,""en"",""es""))"),"beber")</f>
        <v>beber</v>
      </c>
      <c r="H900" s="0" t="str">
        <f aca="false">A900&amp;"|"&amp;B900</f>
        <v>to drink|tomar</v>
      </c>
    </row>
    <row r="901" customFormat="false" ht="15.75" hidden="false" customHeight="false" outlineLevel="0" collapsed="false">
      <c r="A901" s="4" t="s">
        <v>1787</v>
      </c>
      <c r="B901" s="5" t="s">
        <v>1788</v>
      </c>
      <c r="C901" s="5" t="s">
        <v>1785</v>
      </c>
      <c r="D901" s="6"/>
      <c r="E901" s="7" t="str">
        <f aca="false">IFERROR(__xludf.dummyfunction("lower(GOOGLETRANSLATE(B901,""es"",""en""))"),"have breakfast")</f>
        <v>have breakfast</v>
      </c>
      <c r="F901" s="7" t="str">
        <f aca="false">IFERROR(__xludf.dummyfunction("lower(GOOGLETRANSLATE(A901,""en"",""es""))"),"comer desayuno")</f>
        <v>comer desayuno</v>
      </c>
      <c r="H901" s="0" t="str">
        <f aca="false">A901&amp;"|"&amp;B901</f>
        <v>to eat breakfast|desayunar</v>
      </c>
    </row>
    <row r="902" customFormat="false" ht="15.75" hidden="false" customHeight="false" outlineLevel="0" collapsed="false">
      <c r="A902" s="4" t="s">
        <v>1789</v>
      </c>
      <c r="B902" s="5" t="s">
        <v>1790</v>
      </c>
      <c r="C902" s="5" t="s">
        <v>1785</v>
      </c>
      <c r="D902" s="6"/>
      <c r="E902" s="7" t="str">
        <f aca="false">IFERROR(__xludf.dummyfunction("lower(GOOGLETRANSLATE(B902,""es"",""en""))"),"lunch (o&gt; ue)")</f>
        <v>lunch (o&gt; ue)</v>
      </c>
      <c r="F902" s="7" t="str">
        <f aca="false">IFERROR(__xludf.dummyfunction("lower(GOOGLETRANSLATE(A902,""en"",""es""))"),"comer el almuerzo")</f>
        <v>comer el almuerzo</v>
      </c>
      <c r="H902" s="0" t="str">
        <f aca="false">A902&amp;"|"&amp;B902</f>
        <v>to eat lunch|almorzar (o&gt;ue)</v>
      </c>
    </row>
    <row r="903" customFormat="false" ht="15.75" hidden="false" customHeight="false" outlineLevel="0" collapsed="false">
      <c r="A903" s="4" t="s">
        <v>1791</v>
      </c>
      <c r="B903" s="5" t="s">
        <v>1792</v>
      </c>
      <c r="C903" s="5" t="s">
        <v>1785</v>
      </c>
      <c r="D903" s="6"/>
      <c r="E903" s="7" t="str">
        <f aca="false">IFERROR(__xludf.dummyfunction("lower(GOOGLETRANSLATE(B903,""es"",""en""))"),"dine")</f>
        <v>dine</v>
      </c>
      <c r="F903" s="7" t="str">
        <f aca="false">IFERROR(__xludf.dummyfunction("lower(GOOGLETRANSLATE(A903,""en"",""es""))"),"para comer la cena")</f>
        <v>para comer la cena</v>
      </c>
      <c r="H903" s="0" t="str">
        <f aca="false">A903&amp;"|"&amp;B903</f>
        <v>to eat dinner|cenar</v>
      </c>
    </row>
    <row r="904" customFormat="false" ht="15.75" hidden="false" customHeight="false" outlineLevel="0" collapsed="false">
      <c r="A904" s="4" t="s">
        <v>1793</v>
      </c>
      <c r="B904" s="5" t="s">
        <v>1794</v>
      </c>
      <c r="C904" s="5" t="s">
        <v>1784</v>
      </c>
      <c r="D904" s="6"/>
      <c r="E904" s="7" t="str">
        <f aca="false">IFERROR(__xludf.dummyfunction("lower(GOOGLETRANSLATE(B904,""es"",""en""))"),"dinner")</f>
        <v>dinner</v>
      </c>
      <c r="F904" s="7" t="str">
        <f aca="false">IFERROR(__xludf.dummyfunction("lower(GOOGLETRANSLATE(A904,""en"",""es""))"),"la cena")</f>
        <v>la cena</v>
      </c>
      <c r="H904" s="0" t="str">
        <f aca="false">A904&amp;"|"&amp;B904</f>
        <v>the dinner|la cena</v>
      </c>
    </row>
    <row r="905" customFormat="false" ht="15.75" hidden="false" customHeight="false" outlineLevel="0" collapsed="false">
      <c r="A905" s="4" t="s">
        <v>1795</v>
      </c>
      <c r="B905" s="5" t="s">
        <v>1796</v>
      </c>
      <c r="C905" s="5" t="s">
        <v>1784</v>
      </c>
      <c r="D905" s="6"/>
      <c r="E905" s="7" t="str">
        <f aca="false">IFERROR(__xludf.dummyfunction("lower(GOOGLETRANSLATE(B905,""es"",""en""))"),"food")</f>
        <v>food</v>
      </c>
      <c r="F905" s="7" t="str">
        <f aca="false">IFERROR(__xludf.dummyfunction("lower(GOOGLETRANSLATE(A905,""en"",""es""))"),"la comida")</f>
        <v>la comida</v>
      </c>
      <c r="H905" s="0" t="str">
        <f aca="false">A905&amp;"|"&amp;B905</f>
        <v>the food|la comida</v>
      </c>
    </row>
    <row r="906" customFormat="false" ht="15.75" hidden="false" customHeight="false" outlineLevel="0" collapsed="false">
      <c r="A906" s="4" t="s">
        <v>1797</v>
      </c>
      <c r="B906" s="5" t="s">
        <v>1798</v>
      </c>
      <c r="C906" s="5" t="s">
        <v>1784</v>
      </c>
      <c r="D906" s="6"/>
      <c r="E906" s="7" t="str">
        <f aca="false">IFERROR(__xludf.dummyfunction("lower(GOOGLETRANSLATE(B906,""es"",""en""))"),"the junk food")</f>
        <v>the junk food</v>
      </c>
      <c r="F906" s="7" t="str">
        <f aca="false">IFERROR(__xludf.dummyfunction("lower(GOOGLETRANSLATE(A906,""en"",""es""))"),"la comida chatarra")</f>
        <v>la comida chatarra</v>
      </c>
      <c r="H906" s="0" t="str">
        <f aca="false">A906&amp;"|"&amp;B906</f>
        <v>the junk food|la comida chatarra</v>
      </c>
    </row>
    <row r="907" customFormat="false" ht="15.75" hidden="false" customHeight="false" outlineLevel="0" collapsed="false">
      <c r="A907" s="4" t="s">
        <v>1799</v>
      </c>
      <c r="B907" s="5" t="s">
        <v>1800</v>
      </c>
      <c r="C907" s="5" t="s">
        <v>1784</v>
      </c>
      <c r="D907" s="6"/>
      <c r="E907" s="7" t="str">
        <f aca="false">IFERROR(__xludf.dummyfunction("lower(GOOGLETRANSLATE(B907,""es"",""en""))"),"breakfast")</f>
        <v>breakfast</v>
      </c>
      <c r="F907" s="7" t="str">
        <f aca="false">IFERROR(__xludf.dummyfunction("lower(GOOGLETRANSLATE(A907,""en"",""es""))"),"desayuno")</f>
        <v>desayuno</v>
      </c>
      <c r="H907" s="0" t="str">
        <f aca="false">A907&amp;"|"&amp;B907</f>
        <v>breakfast|el desayuno</v>
      </c>
    </row>
    <row r="908" customFormat="false" ht="15.75" hidden="false" customHeight="false" outlineLevel="0" collapsed="false">
      <c r="A908" s="4" t="s">
        <v>1801</v>
      </c>
      <c r="B908" s="5" t="s">
        <v>1802</v>
      </c>
      <c r="C908" s="5" t="s">
        <v>1784</v>
      </c>
      <c r="D908" s="6"/>
      <c r="E908" s="7" t="str">
        <f aca="false">IFERROR(__xludf.dummyfunction("lower(GOOGLETRANSLATE(B908,""es"",""en""))"),"snack")</f>
        <v>snack</v>
      </c>
      <c r="F908" s="7" t="str">
        <f aca="false">IFERROR(__xludf.dummyfunction("lower(GOOGLETRANSLATE(A908,""en"",""es""))"),"bocadillo de la tarde")</f>
        <v>bocadillo de la tarde</v>
      </c>
      <c r="H908" s="0" t="str">
        <f aca="false">A908&amp;"|"&amp;B908</f>
        <v>afternoon snack|la merienda</v>
      </c>
    </row>
    <row r="909" customFormat="false" ht="15.75" hidden="false" customHeight="false" outlineLevel="0" collapsed="false">
      <c r="A909" s="4" t="s">
        <v>1803</v>
      </c>
      <c r="B909" s="5" t="s">
        <v>1804</v>
      </c>
      <c r="C909" s="5" t="s">
        <v>1784</v>
      </c>
      <c r="D909" s="6"/>
      <c r="E909" s="7" t="str">
        <f aca="false">IFERROR(__xludf.dummyfunction("lower(GOOGLETRANSLATE(B909,""es"",""en""))"),"the snack")</f>
        <v>the snack</v>
      </c>
      <c r="F909" s="7" t="str">
        <f aca="false">IFERROR(__xludf.dummyfunction("lower(GOOGLETRANSLATE(A909,""en"",""es""))"),"un bocadillo")</f>
        <v>un bocadillo</v>
      </c>
      <c r="H909" s="0" t="str">
        <f aca="false">A909&amp;"|"&amp;B909</f>
        <v>the snack|la botana</v>
      </c>
    </row>
    <row r="910" customFormat="false" ht="15.75" hidden="false" customHeight="false" outlineLevel="0" collapsed="false">
      <c r="A910" s="4" t="s">
        <v>1805</v>
      </c>
      <c r="B910" s="5" t="s">
        <v>1806</v>
      </c>
      <c r="C910" s="5" t="s">
        <v>1784</v>
      </c>
      <c r="D910" s="6"/>
      <c r="E910" s="7" t="str">
        <f aca="false">IFERROR(__xludf.dummyfunction("lower(GOOGLETRANSLATE(B910,""es"",""en""))"),"the appetizer")</f>
        <v>the appetizer</v>
      </c>
      <c r="F910" s="7" t="str">
        <f aca="false">IFERROR(__xludf.dummyfunction("lower(GOOGLETRANSLATE(A910,""en"",""es""))"),"el aperitivo")</f>
        <v>el aperitivo</v>
      </c>
      <c r="H910" s="0" t="str">
        <f aca="false">A910&amp;"|"&amp;B910</f>
        <v>the appetizer|el aperitivo</v>
      </c>
    </row>
    <row r="911" customFormat="false" ht="15.75" hidden="false" customHeight="false" outlineLevel="0" collapsed="false">
      <c r="A911" s="4" t="s">
        <v>1807</v>
      </c>
      <c r="B911" s="5" t="s">
        <v>1808</v>
      </c>
      <c r="C911" s="5" t="s">
        <v>1784</v>
      </c>
      <c r="D911" s="6"/>
      <c r="E911" s="7" t="str">
        <f aca="false">IFERROR(__xludf.dummyfunction("lower(GOOGLETRANSLATE(B911,""es"",""en""))"),"refreshments")</f>
        <v>refreshments</v>
      </c>
      <c r="F911" s="7" t="str">
        <f aca="false">IFERROR(__xludf.dummyfunction("lower(GOOGLETRANSLATE(A911,""en"",""es""))"),"los refrescos")</f>
        <v>los refrescos</v>
      </c>
      <c r="H911" s="0" t="str">
        <f aca="false">A911&amp;"|"&amp;B911</f>
        <v>the refreshments|los refrigerios</v>
      </c>
    </row>
    <row r="912" customFormat="false" ht="15.75" hidden="false" customHeight="false" outlineLevel="0" collapsed="false">
      <c r="A912" s="4" t="s">
        <v>1809</v>
      </c>
      <c r="B912" s="5" t="s">
        <v>1810</v>
      </c>
      <c r="C912" s="5" t="s">
        <v>850</v>
      </c>
      <c r="D912" s="6"/>
      <c r="E912" s="7" t="str">
        <f aca="false">IFERROR(__xludf.dummyfunction("lower(GOOGLETRANSLATE(B912,""es"",""en""))"),"he teaches the espagñol")</f>
        <v>he teaches the espagñol</v>
      </c>
      <c r="F912" s="7" t="str">
        <f aca="false">IFERROR(__xludf.dummyfunction("lower(GOOGLETRANSLATE(A912,""en"",""es""))"),"enseña español")</f>
        <v>enseña español</v>
      </c>
      <c r="H912" s="0" t="str">
        <f aca="false">A912&amp;"|"&amp;B912</f>
        <v>he teaches spanish|el enseña espagñol</v>
      </c>
    </row>
    <row r="913" customFormat="false" ht="15.75" hidden="false" customHeight="false" outlineLevel="0" collapsed="false">
      <c r="A913" s="4" t="s">
        <v>1811</v>
      </c>
      <c r="B913" s="5" t="s">
        <v>1812</v>
      </c>
      <c r="C913" s="5" t="s">
        <v>850</v>
      </c>
      <c r="D913" s="6"/>
      <c r="E913" s="7" t="str">
        <f aca="false">IFERROR(__xludf.dummyfunction("lower(GOOGLETRANSLATE(B913,""es"",""en""))"),"i need to sing to dance")</f>
        <v>i need to sing to dance</v>
      </c>
      <c r="F913" s="7" t="str">
        <f aca="false">IFERROR(__xludf.dummyfunction("lower(GOOGLETRANSLATE(A913,""en"",""es""))"),"i necesidad de cantar para bailar")</f>
        <v>i necesidad de cantar para bailar</v>
      </c>
      <c r="H913" s="0" t="str">
        <f aca="false">A913&amp;"|"&amp;B913</f>
        <v>i need to sing in order to dance|yo necesito cantar para bailar</v>
      </c>
    </row>
    <row r="914" customFormat="false" ht="15.75" hidden="false" customHeight="false" outlineLevel="0" collapsed="false">
      <c r="A914" s="4" t="s">
        <v>1813</v>
      </c>
      <c r="B914" s="5" t="s">
        <v>1208</v>
      </c>
      <c r="C914" s="5" t="s">
        <v>1814</v>
      </c>
      <c r="D914" s="6"/>
      <c r="E914" s="7" t="str">
        <f aca="false">IFERROR(__xludf.dummyfunction("lower(GOOGLETRANSLATE(B914,""es"",""en""))"),"i need to study")</f>
        <v>i need to study</v>
      </c>
      <c r="F914" s="7" t="str">
        <f aca="false">IFERROR(__xludf.dummyfunction("lower(GOOGLETRANSLATE(A914,""en"",""es""))"),"necesito estudiar")</f>
        <v>necesito estudiar</v>
      </c>
      <c r="H914" s="0" t="str">
        <f aca="false">A914&amp;"|"&amp;B914</f>
        <v>i need to study|yo necesito estudiar</v>
      </c>
    </row>
    <row r="915" customFormat="false" ht="15.75" hidden="false" customHeight="false" outlineLevel="0" collapsed="false">
      <c r="A915" s="4" t="s">
        <v>1815</v>
      </c>
      <c r="B915" s="5" t="s">
        <v>1816</v>
      </c>
      <c r="C915" s="5" t="s">
        <v>1817</v>
      </c>
      <c r="D915" s="6"/>
      <c r="E915" s="7" t="str">
        <f aca="false">IFERROR(__xludf.dummyfunction("lower(GOOGLETRANSLATE(B915,""es"",""en""))"),"i'm nervous because we have to go to class on saturday espagñol")</f>
        <v>i'm nervous because we have to go to class on saturday espagñol</v>
      </c>
      <c r="F915" s="7" t="str">
        <f aca="false">IFERROR(__xludf.dummyfunction("lower(GOOGLETRANSLATE(A915,""en"",""es""))"),"estoy nerviosa, ya que hay que ir a clase en español saterday")</f>
        <v>estoy nerviosa, ya que hay que ir a clase en español saterday</v>
      </c>
      <c r="H915" s="0" t="str">
        <f aca="false">A915&amp;"|"&amp;B915</f>
        <v>i am nervous, because we have to go to spanish class on saterday|estoy nervioso porque tenemos que ir a la clase espagñol en el sabado</v>
      </c>
    </row>
    <row r="916" customFormat="false" ht="15.75" hidden="false" customHeight="false" outlineLevel="0" collapsed="false">
      <c r="A916" s="4" t="s">
        <v>1818</v>
      </c>
      <c r="B916" s="5" t="s">
        <v>1819</v>
      </c>
      <c r="C916" s="5" t="s">
        <v>850</v>
      </c>
      <c r="D916" s="6"/>
      <c r="E916" s="7" t="str">
        <f aca="false">IFERROR(__xludf.dummyfunction("lower(GOOGLETRANSLATE(B916,""es"",""en""))"),"we work together")</f>
        <v>we work together</v>
      </c>
      <c r="F916" s="7" t="str">
        <f aca="false">IFERROR(__xludf.dummyfunction("lower(GOOGLETRANSLATE(A916,""en"",""es""))"),"trabajamos juntos")</f>
        <v>trabajamos juntos</v>
      </c>
      <c r="H916" s="0" t="str">
        <f aca="false">A916&amp;"|"&amp;B916</f>
        <v>we work together|nosotros trabajamos juntos</v>
      </c>
    </row>
    <row r="917" customFormat="false" ht="15.75" hidden="false" customHeight="false" outlineLevel="0" collapsed="false">
      <c r="A917" s="4" t="s">
        <v>1820</v>
      </c>
      <c r="B917" s="5" t="s">
        <v>1821</v>
      </c>
      <c r="C917" s="5" t="s">
        <v>850</v>
      </c>
      <c r="D917" s="6"/>
      <c r="E917" s="7" t="str">
        <f aca="false">IFERROR(__xludf.dummyfunction("lower(GOOGLETRANSLATE(B917,""es"",""en""))"),"quando travel, you'll write a letter")</f>
        <v>quando travel, you'll write a letter</v>
      </c>
      <c r="F917" s="7" t="str">
        <f aca="false">IFERROR(__xludf.dummyfunction("lower(GOOGLETRANSLATE(A917,""en"",""es""))"),"cuando viajo, voy a escribir una carta")</f>
        <v>cuando viajo, voy a escribir una carta</v>
      </c>
      <c r="H917" s="0" t="str">
        <f aca="false">A917&amp;"|"&amp;B917</f>
        <v>when i travel, i am going to write you a letter|quando viajo, voy a te escribir una carta</v>
      </c>
    </row>
    <row r="918" customFormat="false" ht="15.75" hidden="false" customHeight="false" outlineLevel="0" collapsed="false">
      <c r="A918" s="4" t="s">
        <v>1822</v>
      </c>
      <c r="B918" s="5" t="s">
        <v>1823</v>
      </c>
      <c r="C918" s="5" t="s">
        <v>850</v>
      </c>
      <c r="D918" s="6"/>
      <c r="E918" s="7" t="str">
        <f aca="false">IFERROR(__xludf.dummyfunction("lower(GOOGLETRANSLATE(B918,""es"",""en""))"),"poque i sleep, i'm tired")</f>
        <v>poque i sleep, i'm tired</v>
      </c>
      <c r="F918" s="7" t="str">
        <f aca="false">IFERROR(__xludf.dummyfunction("lower(GOOGLETRANSLATE(A918,""en"",""es""))"),"voy a dormir porque estoy cansado")</f>
        <v>voy a dormir porque estoy cansado</v>
      </c>
      <c r="H918" s="0" t="str">
        <f aca="false">A918&amp;"|"&amp;B918</f>
        <v>i am going to sleep because i am tired|yo voy a dormir poque, estoy cansado</v>
      </c>
    </row>
    <row r="919" customFormat="false" ht="15.75" hidden="false" customHeight="false" outlineLevel="0" collapsed="false">
      <c r="A919" s="4" t="s">
        <v>1824</v>
      </c>
      <c r="B919" s="5" t="s">
        <v>1825</v>
      </c>
      <c r="C919" s="5" t="s">
        <v>850</v>
      </c>
      <c r="D919" s="6"/>
      <c r="E919" s="7" t="str">
        <f aca="false">IFERROR(__xludf.dummyfunction("lower(GOOGLETRANSLATE(B919,""es"",""en""))"),"we go to a party without you")</f>
        <v>we go to a party without you</v>
      </c>
      <c r="F919" s="7" t="str">
        <f aca="false">IFERROR(__xludf.dummyfunction("lower(GOOGLETRANSLATE(A919,""en"",""es""))"),"vamos a una fiesta sin todo lo que")</f>
        <v>vamos a una fiesta sin todo lo que</v>
      </c>
      <c r="H919" s="0" t="str">
        <f aca="false">A919&amp;"|"&amp;B919</f>
        <v>we are going to a party without you all|nosotros vamos a una fiesta sin vosotros</v>
      </c>
    </row>
    <row r="920" customFormat="false" ht="15.75" hidden="false" customHeight="false" outlineLevel="0" collapsed="false">
      <c r="A920" s="4" t="s">
        <v>1826</v>
      </c>
      <c r="B920" s="5" t="s">
        <v>1827</v>
      </c>
      <c r="C920" s="5" t="s">
        <v>1784</v>
      </c>
      <c r="D920" s="6"/>
      <c r="E920" s="7" t="str">
        <f aca="false">IFERROR(__xludf.dummyfunction("lower(GOOGLETRANSLATE(B920,""es"",""en""))"),"rice")</f>
        <v>rice</v>
      </c>
      <c r="F920" s="7" t="str">
        <f aca="false">IFERROR(__xludf.dummyfunction("lower(GOOGLETRANSLATE(A920,""en"",""es""))"),"el arroz")</f>
        <v>el arroz</v>
      </c>
      <c r="H920" s="0" t="str">
        <f aca="false">A920&amp;"|"&amp;B920</f>
        <v>the rice|el arroz</v>
      </c>
    </row>
    <row r="921" customFormat="false" ht="15.75" hidden="false" customHeight="false" outlineLevel="0" collapsed="false">
      <c r="A921" s="4" t="s">
        <v>1828</v>
      </c>
      <c r="B921" s="5" t="s">
        <v>1829</v>
      </c>
      <c r="C921" s="5" t="s">
        <v>1784</v>
      </c>
      <c r="D921" s="6"/>
      <c r="E921" s="7" t="str">
        <f aca="false">IFERROR(__xludf.dummyfunction("lower(GOOGLETRANSLATE(B921,""es"",""en""))"),"the tuna")</f>
        <v>the tuna</v>
      </c>
      <c r="F921" s="7" t="str">
        <f aca="false">IFERROR(__xludf.dummyfunction("lower(GOOGLETRANSLATE(A921,""en"",""es""))"),"el atún")</f>
        <v>el atún</v>
      </c>
      <c r="H921" s="0" t="str">
        <f aca="false">A921&amp;"|"&amp;B921</f>
        <v>the tuna|el atún</v>
      </c>
    </row>
    <row r="922" customFormat="false" ht="15.75" hidden="false" customHeight="false" outlineLevel="0" collapsed="false">
      <c r="A922" s="4" t="s">
        <v>1830</v>
      </c>
      <c r="B922" s="5" t="s">
        <v>1831</v>
      </c>
      <c r="C922" s="5" t="s">
        <v>1784</v>
      </c>
      <c r="D922" s="6"/>
      <c r="E922" s="7" t="str">
        <f aca="false">IFERROR(__xludf.dummyfunction("lower(GOOGLETRANSLATE(B922,""es"",""en""))"),"the bisctec")</f>
        <v>the bisctec</v>
      </c>
      <c r="F922" s="7" t="str">
        <f aca="false">IFERROR(__xludf.dummyfunction("lower(GOOGLETRANSLATE(A922,""en"",""es""))"),"el filete")</f>
        <v>el filete</v>
      </c>
      <c r="H922" s="0" t="str">
        <f aca="false">A922&amp;"|"&amp;B922</f>
        <v>the steak|el bisctec</v>
      </c>
    </row>
    <row r="923" customFormat="false" ht="15.75" hidden="false" customHeight="false" outlineLevel="0" collapsed="false">
      <c r="A923" s="4" t="s">
        <v>1832</v>
      </c>
      <c r="B923" s="5" t="s">
        <v>1833</v>
      </c>
      <c r="C923" s="5" t="s">
        <v>1784</v>
      </c>
      <c r="D923" s="6"/>
      <c r="E923" s="7" t="str">
        <f aca="false">IFERROR(__xludf.dummyfunction("lower(GOOGLETRANSLATE(B923,""es"",""en""))"),"the meat")</f>
        <v>the meat</v>
      </c>
      <c r="F923" s="7" t="str">
        <f aca="false">IFERROR(__xludf.dummyfunction("lower(GOOGLETRANSLATE(A923,""en"",""es""))"),"la carne (carne)")</f>
        <v>la carne (carne)</v>
      </c>
      <c r="H923" s="0" t="str">
        <f aca="false">A923&amp;"|"&amp;B923</f>
        <v>the meat (beef)|la carne</v>
      </c>
    </row>
    <row r="924" customFormat="false" ht="15.75" hidden="false" customHeight="false" outlineLevel="0" collapsed="false">
      <c r="A924" s="4" t="s">
        <v>1834</v>
      </c>
      <c r="B924" s="5" t="s">
        <v>1835</v>
      </c>
      <c r="C924" s="5" t="s">
        <v>1784</v>
      </c>
      <c r="D924" s="6"/>
      <c r="E924" s="7" t="str">
        <f aca="false">IFERROR(__xludf.dummyfunction("lower(GOOGLETRANSLATE(B924,""es"",""en""))"),"cereal")</f>
        <v>cereal</v>
      </c>
      <c r="F924" s="7" t="str">
        <f aca="false">IFERROR(__xludf.dummyfunction("lower(GOOGLETRANSLATE(A924,""en"",""es""))"),"el cereal")</f>
        <v>el cereal</v>
      </c>
      <c r="H924" s="0" t="str">
        <f aca="false">A924&amp;"|"&amp;B924</f>
        <v>the cereal|el cereal</v>
      </c>
    </row>
    <row r="925" customFormat="false" ht="15.75" hidden="false" customHeight="false" outlineLevel="0" collapsed="false">
      <c r="A925" s="4" t="s">
        <v>1836</v>
      </c>
      <c r="B925" s="5" t="s">
        <v>1837</v>
      </c>
      <c r="C925" s="5" t="s">
        <v>1784</v>
      </c>
      <c r="D925" s="6"/>
      <c r="E925" s="7" t="str">
        <f aca="false">IFERROR(__xludf.dummyfunction("lower(GOOGLETRANSLATE(B925,""es"",""en""))"),"salad")</f>
        <v>salad</v>
      </c>
      <c r="F925" s="7" t="str">
        <f aca="false">IFERROR(__xludf.dummyfunction("lower(GOOGLETRANSLATE(A925,""en"",""es""))"),"la saléd")</f>
        <v>la saléd</v>
      </c>
      <c r="H925" s="0" t="str">
        <f aca="false">A925&amp;"|"&amp;B925</f>
        <v>the saled|la ensalada</v>
      </c>
    </row>
    <row r="926" customFormat="false" ht="15.75" hidden="false" customHeight="false" outlineLevel="0" collapsed="false">
      <c r="A926" s="4" t="s">
        <v>1838</v>
      </c>
      <c r="B926" s="5" t="s">
        <v>1839</v>
      </c>
      <c r="C926" s="5" t="s">
        <v>1784</v>
      </c>
      <c r="D926" s="6"/>
      <c r="E926" s="7" t="str">
        <f aca="false">IFERROR(__xludf.dummyfunction("lower(GOOGLETRANSLATE(B926,""es"",""en""))"),"the fruits")</f>
        <v>the fruits</v>
      </c>
      <c r="F926" s="7" t="str">
        <f aca="false">IFERROR(__xludf.dummyfunction("lower(GOOGLETRANSLATE(A926,""en"",""es""))"),"las frutas")</f>
        <v>las frutas</v>
      </c>
      <c r="H926" s="0" t="str">
        <f aca="false">A926&amp;"|"&amp;B926</f>
        <v>the fruits|las frutas</v>
      </c>
    </row>
    <row r="927" customFormat="false" ht="15.75" hidden="false" customHeight="false" outlineLevel="0" collapsed="false">
      <c r="A927" s="4" t="s">
        <v>1840</v>
      </c>
      <c r="B927" s="5" t="s">
        <v>1841</v>
      </c>
      <c r="C927" s="5" t="s">
        <v>1784</v>
      </c>
      <c r="D927" s="6"/>
      <c r="E927" s="7" t="str">
        <f aca="false">IFERROR(__xludf.dummyfunction("lower(GOOGLETRANSLATE(B927,""es"",""en""))"),"avocado")</f>
        <v>avocado</v>
      </c>
      <c r="F927" s="7" t="str">
        <f aca="false">IFERROR(__xludf.dummyfunction("lower(GOOGLETRANSLATE(A927,""en"",""es""))"),"el aguacate")</f>
        <v>el aguacate</v>
      </c>
      <c r="H927" s="0" t="str">
        <f aca="false">A927&amp;"|"&amp;B927</f>
        <v>the avocado|el aguacate</v>
      </c>
    </row>
    <row r="928" customFormat="false" ht="15.75" hidden="false" customHeight="false" outlineLevel="0" collapsed="false">
      <c r="A928" s="4" t="s">
        <v>1840</v>
      </c>
      <c r="B928" s="5" t="s">
        <v>1842</v>
      </c>
      <c r="C928" s="5" t="s">
        <v>1784</v>
      </c>
      <c r="D928" s="6"/>
      <c r="E928" s="7" t="str">
        <f aca="false">IFERROR(__xludf.dummyfunction("lower(GOOGLETRANSLATE(B928,""es"",""en""))"),"avocado")</f>
        <v>avocado</v>
      </c>
      <c r="F928" s="7" t="str">
        <f aca="false">IFERROR(__xludf.dummyfunction("lower(GOOGLETRANSLATE(A928,""en"",""es""))"),"el aguacate")</f>
        <v>el aguacate</v>
      </c>
      <c r="H928" s="0" t="str">
        <f aca="false">A928&amp;"|"&amp;B928</f>
        <v>the avocado|la palta</v>
      </c>
    </row>
    <row r="929" customFormat="false" ht="15.75" hidden="false" customHeight="false" outlineLevel="0" collapsed="false">
      <c r="A929" s="4" t="s">
        <v>1843</v>
      </c>
      <c r="B929" s="5" t="s">
        <v>1844</v>
      </c>
      <c r="C929" s="5" t="s">
        <v>1784</v>
      </c>
      <c r="D929" s="6"/>
      <c r="E929" s="7" t="str">
        <f aca="false">IFERROR(__xludf.dummyfunction("lower(GOOGLETRANSLATE(B929,""es"",""en""))"),"the cranberry")</f>
        <v>the cranberry</v>
      </c>
      <c r="F929" s="7" t="str">
        <f aca="false">IFERROR(__xludf.dummyfunction("lower(GOOGLETRANSLATE(A929,""en"",""es""))"),"el arándano o arándano")</f>
        <v>el arándano o arándano</v>
      </c>
      <c r="H929" s="0" t="str">
        <f aca="false">A929&amp;"|"&amp;B929</f>
        <v>the blueberry or cranberry|el arándano</v>
      </c>
    </row>
    <row r="930" customFormat="false" ht="15.75" hidden="false" customHeight="false" outlineLevel="0" collapsed="false">
      <c r="A930" s="4" t="s">
        <v>1845</v>
      </c>
      <c r="B930" s="5" t="s">
        <v>1846</v>
      </c>
      <c r="C930" s="5" t="s">
        <v>1784</v>
      </c>
      <c r="D930" s="6"/>
      <c r="E930" s="7" t="str">
        <f aca="false">IFERROR(__xludf.dummyfunction("lower(GOOGLETRANSLATE(B930,""es"",""en""))"),"the plum")</f>
        <v>the plum</v>
      </c>
      <c r="F930" s="7" t="str">
        <f aca="false">IFERROR(__xludf.dummyfunction("lower(GOOGLETRANSLATE(A930,""en"",""es""))"),"la ciruela")</f>
        <v>la ciruela</v>
      </c>
      <c r="H930" s="0" t="str">
        <f aca="false">A930&amp;"|"&amp;B930</f>
        <v>the plum|la ciruela</v>
      </c>
    </row>
    <row r="931" customFormat="false" ht="15.75" hidden="false" customHeight="false" outlineLevel="0" collapsed="false">
      <c r="A931" s="4" t="s">
        <v>1847</v>
      </c>
      <c r="B931" s="5" t="s">
        <v>1848</v>
      </c>
      <c r="C931" s="5" t="s">
        <v>1784</v>
      </c>
      <c r="D931" s="6"/>
      <c r="E931" s="7" t="str">
        <f aca="false">IFERROR(__xludf.dummyfunction("lower(GOOGLETRANSLATE(B931,""es"",""en""))"),"the peach")</f>
        <v>the peach</v>
      </c>
      <c r="F931" s="7" t="str">
        <f aca="false">IFERROR(__xludf.dummyfunction("lower(GOOGLETRANSLATE(A931,""en"",""es""))"),"el durazno")</f>
        <v>el durazno</v>
      </c>
      <c r="H931" s="0" t="str">
        <f aca="false">A931&amp;"|"&amp;B931</f>
        <v>the peach|el durazno</v>
      </c>
    </row>
    <row r="932" customFormat="false" ht="15.75" hidden="false" customHeight="false" outlineLevel="0" collapsed="false">
      <c r="A932" s="4" t="s">
        <v>1847</v>
      </c>
      <c r="B932" s="5" t="s">
        <v>1849</v>
      </c>
      <c r="C932" s="5" t="s">
        <v>1784</v>
      </c>
      <c r="D932" s="6"/>
      <c r="E932" s="7" t="str">
        <f aca="false">IFERROR(__xludf.dummyfunction("lower(GOOGLETRANSLATE(B932,""es"",""en""))"),"the peach")</f>
        <v>the peach</v>
      </c>
      <c r="F932" s="7" t="str">
        <f aca="false">IFERROR(__xludf.dummyfunction("lower(GOOGLETRANSLATE(A932,""en"",""es""))"),"el durazno")</f>
        <v>el durazno</v>
      </c>
      <c r="H932" s="0" t="str">
        <f aca="false">A932&amp;"|"&amp;B932</f>
        <v>the peach|el melocotón</v>
      </c>
    </row>
    <row r="933" customFormat="false" ht="15.75" hidden="false" customHeight="false" outlineLevel="0" collapsed="false">
      <c r="A933" s="4" t="s">
        <v>1850</v>
      </c>
      <c r="B933" s="5" t="s">
        <v>1851</v>
      </c>
      <c r="C933" s="5" t="s">
        <v>1784</v>
      </c>
      <c r="D933" s="6"/>
      <c r="E933" s="7" t="str">
        <f aca="false">IFERROR(__xludf.dummyfunction("lower(GOOGLETRANSLATE(B933,""es"",""en""))"),"melon")</f>
        <v>melon</v>
      </c>
      <c r="F933" s="7" t="str">
        <f aca="false">IFERROR(__xludf.dummyfunction("lower(GOOGLETRANSLATE(A933,""en"",""es""))"),"el melón")</f>
        <v>el melón</v>
      </c>
      <c r="H933" s="0" t="str">
        <f aca="false">A933&amp;"|"&amp;B933</f>
        <v>the melon|el melón</v>
      </c>
    </row>
    <row r="934" customFormat="false" ht="15.75" hidden="false" customHeight="false" outlineLevel="0" collapsed="false">
      <c r="A934" s="4" t="s">
        <v>1850</v>
      </c>
      <c r="B934" s="5" t="s">
        <v>1852</v>
      </c>
      <c r="C934" s="5" t="s">
        <v>1784</v>
      </c>
      <c r="D934" s="6"/>
      <c r="E934" s="7" t="str">
        <f aca="false">IFERROR(__xludf.dummyfunction("lower(GOOGLETRANSLATE(B934,""es"",""en""))"),"the cantaloupe")</f>
        <v>the cantaloupe</v>
      </c>
      <c r="F934" s="7" t="str">
        <f aca="false">IFERROR(__xludf.dummyfunction("lower(GOOGLETRANSLATE(A934,""en"",""es""))"),"el melón")</f>
        <v>el melón</v>
      </c>
      <c r="H934" s="0" t="str">
        <f aca="false">A934&amp;"|"&amp;B934</f>
        <v>the melon|el cantaloupe</v>
      </c>
    </row>
    <row r="935" customFormat="false" ht="15.75" hidden="false" customHeight="false" outlineLevel="0" collapsed="false">
      <c r="A935" s="4" t="s">
        <v>1853</v>
      </c>
      <c r="B935" s="5" t="s">
        <v>1854</v>
      </c>
      <c r="C935" s="5" t="s">
        <v>1784</v>
      </c>
      <c r="D935" s="6"/>
      <c r="E935" s="7" t="str">
        <f aca="false">IFERROR(__xludf.dummyfunction("lower(GOOGLETRANSLATE(B935,""es"",""en""))"),"the orange")</f>
        <v>the orange</v>
      </c>
      <c r="F935" s="7" t="str">
        <f aca="false">IFERROR(__xludf.dummyfunction("lower(GOOGLETRANSLATE(A935,""en"",""es""))"),"la naranja")</f>
        <v>la naranja</v>
      </c>
      <c r="H935" s="0" t="str">
        <f aca="false">A935&amp;"|"&amp;B935</f>
        <v>the orange|la naranja</v>
      </c>
    </row>
    <row r="936" customFormat="false" ht="15.75" hidden="false" customHeight="false" outlineLevel="0" collapsed="false">
      <c r="A936" s="4" t="s">
        <v>1855</v>
      </c>
      <c r="B936" s="5" t="s">
        <v>1856</v>
      </c>
      <c r="C936" s="5" t="s">
        <v>1784</v>
      </c>
      <c r="D936" s="6"/>
      <c r="E936" s="7" t="str">
        <f aca="false">IFERROR(__xludf.dummyfunction("lower(GOOGLETRANSLATE(B936,""es"",""en""))"),"the centarina")</f>
        <v>the centarina</v>
      </c>
      <c r="F936" s="7" t="str">
        <f aca="false">IFERROR(__xludf.dummyfunction("lower(GOOGLETRANSLATE(A936,""en"",""es""))"),"la nectarin")</f>
        <v>la nectarin</v>
      </c>
      <c r="H936" s="0" t="str">
        <f aca="false">A936&amp;"|"&amp;B936</f>
        <v>the nectarin|la centarina</v>
      </c>
    </row>
    <row r="937" customFormat="false" ht="15.75" hidden="false" customHeight="false" outlineLevel="0" collapsed="false">
      <c r="A937" s="4" t="s">
        <v>1857</v>
      </c>
      <c r="B937" s="5" t="s">
        <v>1858</v>
      </c>
      <c r="C937" s="5" t="s">
        <v>1784</v>
      </c>
      <c r="D937" s="6"/>
      <c r="E937" s="7" t="str">
        <f aca="false">IFERROR(__xludf.dummyfunction("lower(GOOGLETRANSLATE(B937,""es"",""en""))"),"the pear")</f>
        <v>the pear</v>
      </c>
      <c r="F937" s="7" t="str">
        <f aca="false">IFERROR(__xludf.dummyfunction("lower(GOOGLETRANSLATE(A937,""en"",""es""))"),"la pera")</f>
        <v>la pera</v>
      </c>
      <c r="H937" s="0" t="str">
        <f aca="false">A937&amp;"|"&amp;B937</f>
        <v>the pear|la pera</v>
      </c>
    </row>
    <row r="938" customFormat="false" ht="15.75" hidden="false" customHeight="false" outlineLevel="0" collapsed="false">
      <c r="A938" s="4" t="s">
        <v>1859</v>
      </c>
      <c r="B938" s="5" t="s">
        <v>1860</v>
      </c>
      <c r="C938" s="5" t="s">
        <v>1784</v>
      </c>
      <c r="D938" s="6"/>
      <c r="E938" s="7" t="str">
        <f aca="false">IFERROR(__xludf.dummyfunction("lower(GOOGLETRANSLATE(B938,""es"",""en""))"),"pineapple")</f>
        <v>pineapple</v>
      </c>
      <c r="F938" s="7" t="str">
        <f aca="false">IFERROR(__xludf.dummyfunction("lower(GOOGLETRANSLATE(A938,""en"",""es""))"),"la piña")</f>
        <v>la piña</v>
      </c>
      <c r="H938" s="0" t="str">
        <f aca="false">A938&amp;"|"&amp;B938</f>
        <v>the pineapple|la piña</v>
      </c>
    </row>
    <row r="939" customFormat="false" ht="15.75" hidden="false" customHeight="false" outlineLevel="0" collapsed="false">
      <c r="A939" s="4" t="s">
        <v>1861</v>
      </c>
      <c r="B939" s="5" t="s">
        <v>1862</v>
      </c>
      <c r="C939" s="5" t="s">
        <v>1784</v>
      </c>
      <c r="D939" s="6"/>
      <c r="E939" s="7" t="str">
        <f aca="false">IFERROR(__xludf.dummyfunction("lower(GOOGLETRANSLATE(B939,""es"",""en""))"),"the banana")</f>
        <v>the banana</v>
      </c>
      <c r="F939" s="7" t="str">
        <f aca="false">IFERROR(__xludf.dummyfunction("lower(GOOGLETRANSLATE(A939,""en"",""es""))"),"el plátano")</f>
        <v>el plátano</v>
      </c>
      <c r="H939" s="0" t="str">
        <f aca="false">A939&amp;"|"&amp;B939</f>
        <v>the banana|el plátano</v>
      </c>
    </row>
    <row r="940" customFormat="false" ht="15.75" hidden="false" customHeight="false" outlineLevel="0" collapsed="false">
      <c r="A940" s="4" t="s">
        <v>1861</v>
      </c>
      <c r="B940" s="5" t="s">
        <v>1863</v>
      </c>
      <c r="C940" s="5" t="s">
        <v>1784</v>
      </c>
      <c r="D940" s="6"/>
      <c r="E940" s="7" t="str">
        <f aca="false">IFERROR(__xludf.dummyfunction("lower(GOOGLETRANSLATE(B940,""es"",""en""))"),"the banana")</f>
        <v>the banana</v>
      </c>
      <c r="F940" s="7" t="str">
        <f aca="false">IFERROR(__xludf.dummyfunction("lower(GOOGLETRANSLATE(A940,""en"",""es""))"),"el plátano")</f>
        <v>el plátano</v>
      </c>
      <c r="H940" s="0" t="str">
        <f aca="false">A940&amp;"|"&amp;B940</f>
        <v>the banana|la banana</v>
      </c>
    </row>
    <row r="941" customFormat="false" ht="15.75" hidden="false" customHeight="false" outlineLevel="0" collapsed="false">
      <c r="A941" s="4" t="s">
        <v>1864</v>
      </c>
      <c r="B941" s="5" t="s">
        <v>1865</v>
      </c>
      <c r="C941" s="5" t="s">
        <v>1784</v>
      </c>
      <c r="D941" s="6"/>
      <c r="E941" s="7" t="str">
        <f aca="false">IFERROR(__xludf.dummyfunction("lower(GOOGLETRANSLATE(B941,""es"",""en""))"),"the grapefruit")</f>
        <v>the grapefruit</v>
      </c>
      <c r="F941" s="7" t="str">
        <f aca="false">IFERROR(__xludf.dummyfunction("lower(GOOGLETRANSLATE(A941,""en"",""es""))"),"la toronja")</f>
        <v>la toronja</v>
      </c>
      <c r="H941" s="0" t="str">
        <f aca="false">A941&amp;"|"&amp;B941</f>
        <v>the grapefruit|la toronja</v>
      </c>
    </row>
    <row r="942" customFormat="false" ht="15.75" hidden="false" customHeight="false" outlineLevel="0" collapsed="false">
      <c r="A942" s="4" t="s">
        <v>1866</v>
      </c>
      <c r="B942" s="5" t="s">
        <v>1867</v>
      </c>
      <c r="C942" s="5" t="s">
        <v>1784</v>
      </c>
      <c r="D942" s="6"/>
      <c r="E942" s="7" t="str">
        <f aca="false">IFERROR(__xludf.dummyfunction("lower(GOOGLETRANSLATE(B942,""es"",""en""))"),"watermelon")</f>
        <v>watermelon</v>
      </c>
      <c r="F942" s="7" t="str">
        <f aca="false">IFERROR(__xludf.dummyfunction("lower(GOOGLETRANSLATE(A942,""en"",""es""))"),"la sandia")</f>
        <v>la sandia</v>
      </c>
      <c r="H942" s="0" t="str">
        <f aca="false">A942&amp;"|"&amp;B942</f>
        <v>the watermelon|la sandía</v>
      </c>
    </row>
    <row r="943" customFormat="false" ht="15.75" hidden="false" customHeight="false" outlineLevel="0" collapsed="false">
      <c r="A943" s="4" t="s">
        <v>1868</v>
      </c>
      <c r="B943" s="5" t="s">
        <v>1869</v>
      </c>
      <c r="C943" s="5" t="s">
        <v>1784</v>
      </c>
      <c r="D943" s="6"/>
      <c r="E943" s="7" t="str">
        <f aca="false">IFERROR(__xludf.dummyfunction("lower(GOOGLETRANSLATE(B943,""es"",""en""))"),"the tomato")</f>
        <v>the tomato</v>
      </c>
      <c r="F943" s="7" t="str">
        <f aca="false">IFERROR(__xludf.dummyfunction("lower(GOOGLETRANSLATE(A943,""en"",""es""))"),"el tomate")</f>
        <v>el tomate</v>
      </c>
      <c r="H943" s="0" t="str">
        <f aca="false">A943&amp;"|"&amp;B943</f>
        <v>the tomato|el tomato</v>
      </c>
    </row>
    <row r="944" customFormat="false" ht="15.75" hidden="false" customHeight="false" outlineLevel="0" collapsed="false">
      <c r="A944" s="4" t="s">
        <v>1868</v>
      </c>
      <c r="B944" s="5" t="s">
        <v>1870</v>
      </c>
      <c r="C944" s="5" t="s">
        <v>1784</v>
      </c>
      <c r="D944" s="6"/>
      <c r="E944" s="7" t="str">
        <f aca="false">IFERROR(__xludf.dummyfunction("lower(GOOGLETRANSLATE(B944,""es"",""en""))"),"the jitomato")</f>
        <v>the jitomato</v>
      </c>
      <c r="F944" s="7" t="str">
        <f aca="false">IFERROR(__xludf.dummyfunction("lower(GOOGLETRANSLATE(A944,""en"",""es""))"),"el tomate")</f>
        <v>el tomate</v>
      </c>
      <c r="H944" s="0" t="str">
        <f aca="false">A944&amp;"|"&amp;B944</f>
        <v>the tomato|el jitomato</v>
      </c>
    </row>
    <row r="945" customFormat="false" ht="15.75" hidden="false" customHeight="false" outlineLevel="0" collapsed="false">
      <c r="A945" s="4" t="s">
        <v>1871</v>
      </c>
      <c r="B945" s="5" t="s">
        <v>1872</v>
      </c>
      <c r="C945" s="5" t="s">
        <v>1784</v>
      </c>
      <c r="D945" s="6"/>
      <c r="E945" s="7" t="str">
        <f aca="false">IFERROR(__xludf.dummyfunction("lower(GOOGLETRANSLATE(B945,""es"",""en""))"),"the grape")</f>
        <v>the grape</v>
      </c>
      <c r="F945" s="7" t="str">
        <f aca="false">IFERROR(__xludf.dummyfunction("lower(GOOGLETRANSLATE(A945,""en"",""es""))"),"la uva")</f>
        <v>la uva</v>
      </c>
      <c r="H945" s="0" t="str">
        <f aca="false">A945&amp;"|"&amp;B945</f>
        <v>the grape|la uva</v>
      </c>
    </row>
    <row r="946" customFormat="false" ht="15.75" hidden="false" customHeight="false" outlineLevel="0" collapsed="false">
      <c r="A946" s="4" t="s">
        <v>1873</v>
      </c>
      <c r="B946" s="5" t="s">
        <v>1874</v>
      </c>
      <c r="C946" s="5" t="s">
        <v>1784</v>
      </c>
      <c r="D946" s="6"/>
      <c r="E946" s="7" t="str">
        <f aca="false">IFERROR(__xludf.dummyfunction("lower(GOOGLETRANSLATE(B946,""es"",""en""))"),"the zaramora")</f>
        <v>the zaramora</v>
      </c>
      <c r="F946" s="7" t="str">
        <f aca="false">IFERROR(__xludf.dummyfunction("lower(GOOGLETRANSLATE(A946,""en"",""es""))"),"la mora")</f>
        <v>la mora</v>
      </c>
      <c r="H946" s="0" t="str">
        <f aca="false">A946&amp;"|"&amp;B946</f>
        <v>the blackberry|la zaramora</v>
      </c>
    </row>
    <row r="947" customFormat="false" ht="15.75" hidden="false" customHeight="false" outlineLevel="0" collapsed="false">
      <c r="A947" s="4" t="s">
        <v>1875</v>
      </c>
      <c r="B947" s="5" t="s">
        <v>1876</v>
      </c>
      <c r="C947" s="5" t="s">
        <v>1784</v>
      </c>
      <c r="D947" s="6"/>
      <c r="E947" s="7" t="str">
        <f aca="false">IFERROR(__xludf.dummyfunction("lower(GOOGLETRANSLATE(B947,""es"",""en""))"),"nuts")</f>
        <v>nuts</v>
      </c>
      <c r="F947" s="7" t="str">
        <f aca="false">IFERROR(__xludf.dummyfunction("lower(GOOGLETRANSLATE(A947,""en"",""es""))"),"las nueces")</f>
        <v>las nueces</v>
      </c>
      <c r="H947" s="0" t="str">
        <f aca="false">A947&amp;"|"&amp;B947</f>
        <v>the nuts|los frutos secos</v>
      </c>
    </row>
    <row r="948" customFormat="false" ht="15.75" hidden="false" customHeight="false" outlineLevel="0" collapsed="false">
      <c r="A948" s="4" t="s">
        <v>1875</v>
      </c>
      <c r="B948" s="5" t="s">
        <v>1877</v>
      </c>
      <c r="C948" s="5" t="s">
        <v>1784</v>
      </c>
      <c r="D948" s="6"/>
      <c r="E948" s="7" t="str">
        <f aca="false">IFERROR(__xludf.dummyfunction("lower(GOOGLETRANSLATE(B948,""es"",""en""))"),"the nuts")</f>
        <v>the nuts</v>
      </c>
      <c r="F948" s="7" t="str">
        <f aca="false">IFERROR(__xludf.dummyfunction("lower(GOOGLETRANSLATE(A948,""en"",""es""))"),"las nueces")</f>
        <v>las nueces</v>
      </c>
      <c r="H948" s="0" t="str">
        <f aca="false">A948&amp;"|"&amp;B948</f>
        <v>the nuts|las nueces</v>
      </c>
    </row>
    <row r="949" customFormat="false" ht="15.75" hidden="false" customHeight="false" outlineLevel="0" collapsed="false">
      <c r="A949" s="4" t="s">
        <v>1878</v>
      </c>
      <c r="B949" s="5" t="s">
        <v>1879</v>
      </c>
      <c r="C949" s="5" t="s">
        <v>1784</v>
      </c>
      <c r="D949" s="6"/>
      <c r="E949" s="7" t="str">
        <f aca="false">IFERROR(__xludf.dummyfunction("lower(GOOGLETRANSLATE(B949,""es"",""en""))"),"the almond")</f>
        <v>the almond</v>
      </c>
      <c r="F949" s="7" t="str">
        <f aca="false">IFERROR(__xludf.dummyfunction("lower(GOOGLETRANSLATE(A949,""en"",""es""))"),"la almendra")</f>
        <v>la almendra</v>
      </c>
      <c r="H949" s="0" t="str">
        <f aca="false">A949&amp;"|"&amp;B949</f>
        <v>the almond|la almendra</v>
      </c>
    </row>
    <row r="950" customFormat="false" ht="15.75" hidden="false" customHeight="false" outlineLevel="0" collapsed="false">
      <c r="A950" s="4" t="s">
        <v>1880</v>
      </c>
      <c r="B950" s="5" t="s">
        <v>1881</v>
      </c>
      <c r="C950" s="5" t="s">
        <v>1784</v>
      </c>
      <c r="D950" s="6"/>
      <c r="E950" s="7" t="str">
        <f aca="false">IFERROR(__xludf.dummyfunction("lower(GOOGLETRANSLATE(B950,""es"",""en""))"),"cashew")</f>
        <v>cashew</v>
      </c>
      <c r="F950" s="7" t="str">
        <f aca="false">IFERROR(__xludf.dummyfunction("lower(GOOGLETRANSLATE(A950,""en"",""es""))"),"el anacardo")</f>
        <v>el anacardo</v>
      </c>
      <c r="H950" s="0" t="str">
        <f aca="false">A950&amp;"|"&amp;B950</f>
        <v>the cashew|el anacardo</v>
      </c>
    </row>
    <row r="951" customFormat="false" ht="15.75" hidden="false" customHeight="false" outlineLevel="0" collapsed="false">
      <c r="A951" s="4" t="s">
        <v>1882</v>
      </c>
      <c r="B951" s="5" t="s">
        <v>1883</v>
      </c>
      <c r="C951" s="5" t="s">
        <v>1784</v>
      </c>
      <c r="D951" s="6"/>
      <c r="E951" s="7" t="str">
        <f aca="false">IFERROR(__xludf.dummyfunction("lower(GOOGLETRANSLATE(B951,""es"",""en""))"),"peanuts")</f>
        <v>peanuts</v>
      </c>
      <c r="F951" s="7" t="str">
        <f aca="false">IFERROR(__xludf.dummyfunction("lower(GOOGLETRANSLATE(A951,""en"",""es""))"),"el maní")</f>
        <v>el maní</v>
      </c>
      <c r="H951" s="0" t="str">
        <f aca="false">A951&amp;"|"&amp;B951</f>
        <v>the peanut|el cacahuate</v>
      </c>
    </row>
    <row r="952" customFormat="false" ht="15.75" hidden="false" customHeight="false" outlineLevel="0" collapsed="false">
      <c r="A952" s="4" t="s">
        <v>1882</v>
      </c>
      <c r="B952" s="5" t="s">
        <v>1884</v>
      </c>
      <c r="C952" s="5" t="s">
        <v>1784</v>
      </c>
      <c r="D952" s="6"/>
      <c r="E952" s="7" t="str">
        <f aca="false">IFERROR(__xludf.dummyfunction("lower(GOOGLETRANSLATE(B952,""es"",""en""))"),"peanuts")</f>
        <v>peanuts</v>
      </c>
      <c r="F952" s="7" t="str">
        <f aca="false">IFERROR(__xludf.dummyfunction("lower(GOOGLETRANSLATE(A952,""en"",""es""))"),"el maní")</f>
        <v>el maní</v>
      </c>
      <c r="H952" s="0" t="str">
        <f aca="false">A952&amp;"|"&amp;B952</f>
        <v>the peanut|el maní</v>
      </c>
    </row>
    <row r="953" customFormat="false" ht="15.75" hidden="false" customHeight="false" outlineLevel="0" collapsed="false">
      <c r="A953" s="4" t="s">
        <v>1885</v>
      </c>
      <c r="B953" s="5" t="s">
        <v>1886</v>
      </c>
      <c r="C953" s="5" t="s">
        <v>1784</v>
      </c>
      <c r="D953" s="6"/>
      <c r="E953" s="7" t="str">
        <f aca="false">IFERROR(__xludf.dummyfunction("lower(GOOGLETRANSLATE(B953,""es"",""en""))"),"the nut")</f>
        <v>the nut</v>
      </c>
      <c r="F953" s="7" t="str">
        <f aca="false">IFERROR(__xludf.dummyfunction("lower(GOOGLETRANSLATE(A953,""en"",""es""))"),"la nuez")</f>
        <v>la nuez</v>
      </c>
      <c r="H953" s="0" t="str">
        <f aca="false">A953&amp;"|"&amp;B953</f>
        <v>the walnut|la nuez</v>
      </c>
    </row>
    <row r="954" customFormat="false" ht="15.75" hidden="false" customHeight="false" outlineLevel="0" collapsed="false">
      <c r="A954" s="4" t="s">
        <v>1887</v>
      </c>
      <c r="B954" s="5" t="s">
        <v>1888</v>
      </c>
      <c r="C954" s="5" t="s">
        <v>1784</v>
      </c>
      <c r="D954" s="6"/>
      <c r="E954" s="7" t="str">
        <f aca="false">IFERROR(__xludf.dummyfunction("lower(GOOGLETRANSLATE(B954,""es"",""en""))"),"pistachio")</f>
        <v>pistachio</v>
      </c>
      <c r="F954" s="7" t="str">
        <f aca="false">IFERROR(__xludf.dummyfunction("lower(GOOGLETRANSLATE(A954,""en"",""es""))"),"el pistacho")</f>
        <v>el pistacho</v>
      </c>
      <c r="H954" s="0" t="str">
        <f aca="false">A954&amp;"|"&amp;B954</f>
        <v>the pistachio|el pistacho</v>
      </c>
    </row>
    <row r="955" customFormat="false" ht="15.75" hidden="false" customHeight="false" outlineLevel="0" collapsed="false">
      <c r="A955" s="4" t="s">
        <v>1889</v>
      </c>
      <c r="B955" s="5" t="s">
        <v>1890</v>
      </c>
      <c r="C955" s="5" t="s">
        <v>1784</v>
      </c>
      <c r="D955" s="6"/>
      <c r="E955" s="7" t="str">
        <f aca="false">IFERROR(__xludf.dummyfunction("lower(GOOGLETRANSLATE(B955,""es"",""en""))"),"stew")</f>
        <v>stew</v>
      </c>
      <c r="F955" s="7" t="str">
        <f aca="false">IFERROR(__xludf.dummyfunction("lower(GOOGLETRANSLATE(A955,""en"",""es""))"),"el guiso")</f>
        <v>el guiso</v>
      </c>
      <c r="H955" s="0" t="str">
        <f aca="false">A955&amp;"|"&amp;B955</f>
        <v>the stew|el guisado</v>
      </c>
    </row>
    <row r="956" customFormat="false" ht="15.75" hidden="false" customHeight="false" outlineLevel="0" collapsed="false">
      <c r="A956" s="4" t="s">
        <v>1891</v>
      </c>
      <c r="B956" s="5" t="s">
        <v>1892</v>
      </c>
      <c r="C956" s="5" t="s">
        <v>1784</v>
      </c>
      <c r="D956" s="6"/>
      <c r="E956" s="7" t="str">
        <f aca="false">IFERROR(__xludf.dummyfunction("lower(GOOGLETRANSLATE(B956,""es"",""en""))"),"the hamburger")</f>
        <v>the hamburger</v>
      </c>
      <c r="F956" s="7" t="str">
        <f aca="false">IFERROR(__xludf.dummyfunction("lower(GOOGLETRANSLATE(A956,""en"",""es""))"),"la hamburguesa")</f>
        <v>la hamburguesa</v>
      </c>
      <c r="H956" s="0" t="str">
        <f aca="false">A956&amp;"|"&amp;B956</f>
        <v>the hamburger|la hamburguesa</v>
      </c>
    </row>
    <row r="957" customFormat="false" ht="15.75" hidden="false" customHeight="false" outlineLevel="0" collapsed="false">
      <c r="A957" s="4" t="s">
        <v>1893</v>
      </c>
      <c r="B957" s="5" t="s">
        <v>1894</v>
      </c>
      <c r="C957" s="5" t="s">
        <v>1784</v>
      </c>
      <c r="D957" s="6"/>
      <c r="E957" s="7" t="str">
        <f aca="false">IFERROR(__xludf.dummyfunction("lower(GOOGLETRANSLATE(B957,""es"",""en""))"),"cheeseburger")</f>
        <v>cheeseburger</v>
      </c>
      <c r="F957" s="7" t="str">
        <f aca="false">IFERROR(__xludf.dummyfunction("lower(GOOGLETRANSLATE(A957,""en"",""es""))"),"la hamburguesa")</f>
        <v>la hamburguesa</v>
      </c>
      <c r="H957" s="0" t="str">
        <f aca="false">A957&amp;"|"&amp;B957</f>
        <v>the cheeseburger|la hamburguesa con queso</v>
      </c>
    </row>
    <row r="958" customFormat="false" ht="15.75" hidden="false" customHeight="false" outlineLevel="0" collapsed="false">
      <c r="A958" s="4" t="s">
        <v>1895</v>
      </c>
      <c r="B958" s="5" t="s">
        <v>1896</v>
      </c>
      <c r="C958" s="5" t="s">
        <v>1784</v>
      </c>
      <c r="D958" s="6"/>
      <c r="E958" s="7" t="str">
        <f aca="false">IFERROR(__xludf.dummyfunction("lower(GOOGLETRANSLATE(B958,""es"",""en""))"),"the egg")</f>
        <v>the egg</v>
      </c>
      <c r="F958" s="7" t="str">
        <f aca="false">IFERROR(__xludf.dummyfunction("lower(GOOGLETRANSLATE(A958,""en"",""es""))"),"el huevo")</f>
        <v>el huevo</v>
      </c>
      <c r="H958" s="0" t="str">
        <f aca="false">A958&amp;"|"&amp;B958</f>
        <v>the egg|el huevo</v>
      </c>
    </row>
    <row r="959" customFormat="false" ht="15.75" hidden="false" customHeight="false" outlineLevel="0" collapsed="false">
      <c r="A959" s="4" t="s">
        <v>1897</v>
      </c>
      <c r="B959" s="5" t="s">
        <v>1898</v>
      </c>
      <c r="C959" s="5" t="s">
        <v>1784</v>
      </c>
      <c r="D959" s="6"/>
      <c r="E959" s="7" t="str">
        <f aca="false">IFERROR(__xludf.dummyfunction("lower(GOOGLETRANSLATE(B959,""es"",""en""))"),"the ham")</f>
        <v>the ham</v>
      </c>
      <c r="F959" s="7" t="str">
        <f aca="false">IFERROR(__xludf.dummyfunction("lower(GOOGLETRANSLATE(A959,""en"",""es""))"),"el jamón")</f>
        <v>el jamón</v>
      </c>
      <c r="H959" s="0" t="str">
        <f aca="false">A959&amp;"|"&amp;B959</f>
        <v>the ham|el jamón</v>
      </c>
    </row>
    <row r="960" customFormat="false" ht="15.75" hidden="false" customHeight="false" outlineLevel="0" collapsed="false">
      <c r="A960" s="4" t="s">
        <v>1899</v>
      </c>
      <c r="B960" s="5" t="s">
        <v>1900</v>
      </c>
      <c r="C960" s="5" t="s">
        <v>1784</v>
      </c>
      <c r="D960" s="6"/>
      <c r="E960" s="7" t="str">
        <f aca="false">IFERROR(__xludf.dummyfunction("lower(GOOGLETRANSLATE(B960,""es"",""en""))"),"the mayo")</f>
        <v>the mayo</v>
      </c>
      <c r="F960" s="7" t="str">
        <f aca="false">IFERROR(__xludf.dummyfunction("lower(GOOGLETRANSLATE(A960,""en"",""es""))"),"la mayonesa")</f>
        <v>la mayonesa</v>
      </c>
      <c r="H960" s="0" t="str">
        <f aca="false">A960&amp;"|"&amp;B960</f>
        <v>the mayonnaise|la mayonesa</v>
      </c>
    </row>
    <row r="961" customFormat="false" ht="15.75" hidden="false" customHeight="false" outlineLevel="0" collapsed="false">
      <c r="A961" s="4" t="s">
        <v>1901</v>
      </c>
      <c r="B961" s="5" t="s">
        <v>1902</v>
      </c>
      <c r="C961" s="5" t="s">
        <v>1784</v>
      </c>
      <c r="D961" s="6"/>
      <c r="E961" s="7" t="str">
        <f aca="false">IFERROR(__xludf.dummyfunction("lower(GOOGLETRANSLATE(B961,""es"",""en""))"),"the mustard")</f>
        <v>the mustard</v>
      </c>
      <c r="F961" s="7" t="str">
        <f aca="false">IFERROR(__xludf.dummyfunction("lower(GOOGLETRANSLATE(A961,""en"",""es""))"),"la mostaza")</f>
        <v>la mostaza</v>
      </c>
      <c r="H961" s="0" t="str">
        <f aca="false">A961&amp;"|"&amp;B961</f>
        <v>the mustard|la mostaza</v>
      </c>
    </row>
    <row r="962" customFormat="false" ht="15.75" hidden="false" customHeight="false" outlineLevel="0" collapsed="false">
      <c r="A962" s="4" t="s">
        <v>1903</v>
      </c>
      <c r="B962" s="5" t="s">
        <v>1904</v>
      </c>
      <c r="C962" s="5" t="s">
        <v>1784</v>
      </c>
      <c r="D962" s="6"/>
      <c r="E962" s="7" t="str">
        <f aca="false">IFERROR(__xludf.dummyfunction("lower(GOOGLETRANSLATE(B962,""es"",""en""))"),"bread")</f>
        <v>bread</v>
      </c>
      <c r="F962" s="7" t="str">
        <f aca="false">IFERROR(__xludf.dummyfunction("lower(GOOGLETRANSLATE(A962,""en"",""es""))"),"el pan")</f>
        <v>el pan</v>
      </c>
      <c r="H962" s="0" t="str">
        <f aca="false">A962&amp;"|"&amp;B962</f>
        <v>the bread|el pan</v>
      </c>
    </row>
    <row r="963" customFormat="false" ht="15.75" hidden="false" customHeight="false" outlineLevel="0" collapsed="false">
      <c r="A963" s="4" t="s">
        <v>1905</v>
      </c>
      <c r="B963" s="5" t="s">
        <v>1906</v>
      </c>
      <c r="C963" s="5" t="s">
        <v>1784</v>
      </c>
      <c r="D963" s="6"/>
      <c r="E963" s="7" t="str">
        <f aca="false">IFERROR(__xludf.dummyfunction("lower(GOOGLETRANSLATE(B963,""es"",""en""))"),"the toasted bread")</f>
        <v>the toasted bread</v>
      </c>
      <c r="F963" s="7" t="str">
        <f aca="false">IFERROR(__xludf.dummyfunction("lower(GOOGLETRANSLATE(A963,""en"",""es""))"),"la tostada")</f>
        <v>la tostada</v>
      </c>
      <c r="H963" s="0" t="str">
        <f aca="false">A963&amp;"|"&amp;B963</f>
        <v>the toast|el pan tostado</v>
      </c>
    </row>
    <row r="964" customFormat="false" ht="15.75" hidden="false" customHeight="false" outlineLevel="0" collapsed="false">
      <c r="A964" s="4" t="s">
        <v>1907</v>
      </c>
      <c r="B964" s="5" t="s">
        <v>1908</v>
      </c>
      <c r="C964" s="5" t="s">
        <v>1784</v>
      </c>
      <c r="D964" s="6"/>
      <c r="E964" s="7" t="str">
        <f aca="false">IFERROR(__xludf.dummyfunction("lower(GOOGLETRANSLATE(B964,""es"",""en""))"),"the potato")</f>
        <v>the potato</v>
      </c>
      <c r="F964" s="7" t="str">
        <f aca="false">IFERROR(__xludf.dummyfunction("lower(GOOGLETRANSLATE(A964,""en"",""es""))"),"la papa")</f>
        <v>la papa</v>
      </c>
      <c r="H964" s="0" t="str">
        <f aca="false">A964&amp;"|"&amp;B964</f>
        <v>the potato|la papa</v>
      </c>
    </row>
    <row r="965" customFormat="false" ht="15.75" hidden="false" customHeight="false" outlineLevel="0" collapsed="false">
      <c r="A965" s="4" t="s">
        <v>1909</v>
      </c>
      <c r="B965" s="5" t="s">
        <v>1910</v>
      </c>
      <c r="C965" s="5" t="s">
        <v>1784</v>
      </c>
      <c r="D965" s="6"/>
      <c r="E965" s="7" t="str">
        <f aca="false">IFERROR(__xludf.dummyfunction("lower(GOOGLETRANSLATE(B965,""es"",""en""))"),"potatoes to the oven")</f>
        <v>potatoes to the oven</v>
      </c>
      <c r="F965" s="7" t="str">
        <f aca="false">IFERROR(__xludf.dummyfunction("lower(GOOGLETRANSLATE(A965,""en"",""es""))"),"las patatas")</f>
        <v>las patatas</v>
      </c>
      <c r="H965" s="0" t="str">
        <f aca="false">A965&amp;"|"&amp;B965</f>
        <v>the baked potatoes|las papas al horno</v>
      </c>
    </row>
    <row r="966" customFormat="false" ht="15.75" hidden="false" customHeight="false" outlineLevel="0" collapsed="false">
      <c r="A966" s="4" t="s">
        <v>1911</v>
      </c>
      <c r="B966" s="5" t="s">
        <v>1912</v>
      </c>
      <c r="C966" s="5" t="s">
        <v>1784</v>
      </c>
      <c r="D966" s="6"/>
      <c r="E966" s="7" t="str">
        <f aca="false">IFERROR(__xludf.dummyfunction("lower(GOOGLETRANSLATE(B966,""es"",""en""))"),"the french fries")</f>
        <v>the french fries</v>
      </c>
      <c r="F966" s="7" t="str">
        <f aca="false">IFERROR(__xludf.dummyfunction("lower(GOOGLETRANSLATE(A966,""en"",""es""))"),"las papas a la francesa")</f>
        <v>las papas a la francesa</v>
      </c>
      <c r="H966" s="0" t="str">
        <f aca="false">A966&amp;"|"&amp;B966</f>
        <v>the french fries|las papas fritas</v>
      </c>
    </row>
    <row r="967" customFormat="false" ht="15.75" hidden="false" customHeight="false" outlineLevel="0" collapsed="false">
      <c r="A967" s="4" t="s">
        <v>1913</v>
      </c>
      <c r="B967" s="5" t="s">
        <v>1914</v>
      </c>
      <c r="C967" s="5" t="s">
        <v>1784</v>
      </c>
      <c r="D967" s="6"/>
      <c r="E967" s="7" t="str">
        <f aca="false">IFERROR(__xludf.dummyfunction("lower(GOOGLETRANSLATE(B967,""es"",""en""))"),"fish")</f>
        <v>fish</v>
      </c>
      <c r="F967" s="7" t="str">
        <f aca="false">IFERROR(__xludf.dummyfunction("lower(GOOGLETRANSLATE(A967,""en"",""es""))"),"el pescado")</f>
        <v>el pescado</v>
      </c>
      <c r="H967" s="0" t="str">
        <f aca="false">A967&amp;"|"&amp;B967</f>
        <v>the fish|el pescado</v>
      </c>
    </row>
    <row r="968" customFormat="false" ht="15.75" hidden="false" customHeight="false" outlineLevel="0" collapsed="false">
      <c r="A968" s="4" t="s">
        <v>1915</v>
      </c>
      <c r="B968" s="5" t="s">
        <v>1916</v>
      </c>
      <c r="C968" s="5" t="s">
        <v>1784</v>
      </c>
      <c r="D968" s="6"/>
      <c r="E968" s="7" t="str">
        <f aca="false">IFERROR(__xludf.dummyfunction("lower(GOOGLETRANSLATE(B968,""es"",""en""))"),"the chicken")</f>
        <v>the chicken</v>
      </c>
      <c r="F968" s="7" t="str">
        <f aca="false">IFERROR(__xludf.dummyfunction("lower(GOOGLETRANSLATE(A968,""en"",""es""))"),"el pollo")</f>
        <v>el pollo</v>
      </c>
      <c r="H968" s="0" t="str">
        <f aca="false">A968&amp;"|"&amp;B968</f>
        <v>the chicken|el pollo</v>
      </c>
    </row>
    <row r="969" customFormat="false" ht="15.75" hidden="false" customHeight="false" outlineLevel="0" collapsed="false">
      <c r="A969" s="4" t="s">
        <v>1917</v>
      </c>
      <c r="B969" s="5" t="s">
        <v>1918</v>
      </c>
      <c r="C969" s="5" t="s">
        <v>1784</v>
      </c>
      <c r="D969" s="6"/>
      <c r="E969" s="7" t="str">
        <f aca="false">IFERROR(__xludf.dummyfunction("lower(GOOGLETRANSLATE(B969,""es"",""en""))"),"the pork")</f>
        <v>the pork</v>
      </c>
      <c r="F969" s="7" t="str">
        <f aca="false">IFERROR(__xludf.dummyfunction("lower(GOOGLETRANSLATE(A969,""en"",""es""))"),"el puerco")</f>
        <v>el puerco</v>
      </c>
      <c r="H969" s="0" t="str">
        <f aca="false">A969&amp;"|"&amp;B969</f>
        <v>the pork|el puerco</v>
      </c>
    </row>
    <row r="970" customFormat="false" ht="15.75" hidden="false" customHeight="false" outlineLevel="0" collapsed="false">
      <c r="A970" s="4" t="s">
        <v>1919</v>
      </c>
      <c r="B970" s="5" t="s">
        <v>1920</v>
      </c>
      <c r="C970" s="5" t="s">
        <v>1784</v>
      </c>
      <c r="D970" s="6"/>
      <c r="E970" s="7" t="str">
        <f aca="false">IFERROR(__xludf.dummyfunction("lower(GOOGLETRANSLATE(B970,""es"",""en""))"),"the cheese")</f>
        <v>the cheese</v>
      </c>
      <c r="F970" s="7" t="str">
        <f aca="false">IFERROR(__xludf.dummyfunction("lower(GOOGLETRANSLATE(A970,""en"",""es""))"),"el queso")</f>
        <v>el queso</v>
      </c>
      <c r="H970" s="0" t="str">
        <f aca="false">A970&amp;"|"&amp;B970</f>
        <v>the cheese|el queso</v>
      </c>
    </row>
    <row r="971" customFormat="false" ht="15.75" hidden="false" customHeight="false" outlineLevel="0" collapsed="false">
      <c r="A971" s="4" t="s">
        <v>1921</v>
      </c>
      <c r="B971" s="5" t="s">
        <v>1922</v>
      </c>
      <c r="C971" s="5" t="s">
        <v>1784</v>
      </c>
      <c r="D971" s="6"/>
      <c r="E971" s="7" t="str">
        <f aca="false">IFERROR(__xludf.dummyfunction("lower(GOOGLETRANSLATE(B971,""es"",""en""))"),"the salt and the pepper")</f>
        <v>the salt and the pepper</v>
      </c>
      <c r="F971" s="7" t="str">
        <f aca="false">IFERROR(__xludf.dummyfunction("lower(GOOGLETRANSLATE(A971,""en"",""es""))"),"sal y pimienta")</f>
        <v>sal y pimienta</v>
      </c>
      <c r="H971" s="0" t="str">
        <f aca="false">A971&amp;"|"&amp;B971</f>
        <v>salt and pepper|la sal y la pimienta</v>
      </c>
    </row>
    <row r="972" customFormat="false" ht="15.75" hidden="false" customHeight="false" outlineLevel="0" collapsed="false">
      <c r="A972" s="4" t="s">
        <v>1923</v>
      </c>
      <c r="B972" s="5" t="s">
        <v>1924</v>
      </c>
      <c r="C972" s="5" t="s">
        <v>1784</v>
      </c>
      <c r="D972" s="6"/>
      <c r="E972" s="7" t="str">
        <f aca="false">IFERROR(__xludf.dummyfunction("lower(GOOGLETRANSLATE(B972,""es"",""en""))"),"the sandwich")</f>
        <v>the sandwich</v>
      </c>
      <c r="F972" s="7" t="str">
        <f aca="false">IFERROR(__xludf.dummyfunction("lower(GOOGLETRANSLATE(A972,""en"",""es""))"),"el sandwich")</f>
        <v>el sandwich</v>
      </c>
      <c r="H972" s="0" t="str">
        <f aca="false">A972&amp;"|"&amp;B972</f>
        <v>the sandwich|el sándwich</v>
      </c>
    </row>
    <row r="973" customFormat="false" ht="15.75" hidden="false" customHeight="false" outlineLevel="0" collapsed="false">
      <c r="A973" s="4" t="s">
        <v>1923</v>
      </c>
      <c r="B973" s="5" t="s">
        <v>1925</v>
      </c>
      <c r="C973" s="5" t="s">
        <v>1784</v>
      </c>
      <c r="D973" s="6"/>
      <c r="E973" s="7" t="str">
        <f aca="false">IFERROR(__xludf.dummyfunction("lower(GOOGLETRANSLATE(B973,""es"",""en""))"),"the cake")</f>
        <v>the cake</v>
      </c>
      <c r="F973" s="7" t="str">
        <f aca="false">IFERROR(__xludf.dummyfunction("lower(GOOGLETRANSLATE(A973,""en"",""es""))"),"el sandwich")</f>
        <v>el sandwich</v>
      </c>
      <c r="H973" s="0" t="str">
        <f aca="false">A973&amp;"|"&amp;B973</f>
        <v>the sandwich|la torta</v>
      </c>
    </row>
    <row r="974" customFormat="false" ht="15.75" hidden="false" customHeight="false" outlineLevel="0" collapsed="false">
      <c r="A974" s="4" t="s">
        <v>1926</v>
      </c>
      <c r="B974" s="5" t="s">
        <v>1927</v>
      </c>
      <c r="C974" s="5" t="s">
        <v>1784</v>
      </c>
      <c r="D974" s="6"/>
      <c r="E974" s="7" t="str">
        <f aca="false">IFERROR(__xludf.dummyfunction("lower(GOOGLETRANSLATE(B974,""es"",""en""))"),"ham sandwich")</f>
        <v>ham sandwich</v>
      </c>
      <c r="F974" s="7" t="str">
        <f aca="false">IFERROR(__xludf.dummyfunction("lower(GOOGLETRANSLATE(A974,""en"",""es""))"),"el sándwich de jamón")</f>
        <v>el sándwich de jamón</v>
      </c>
      <c r="H974" s="0" t="str">
        <f aca="false">A974&amp;"|"&amp;B974</f>
        <v>the ham sandwich|el sándwich de jamón</v>
      </c>
    </row>
    <row r="975" customFormat="false" ht="15.75" hidden="false" customHeight="false" outlineLevel="0" collapsed="false">
      <c r="A975" s="4" t="s">
        <v>1928</v>
      </c>
      <c r="B975" s="5" t="s">
        <v>1929</v>
      </c>
      <c r="C975" s="5" t="s">
        <v>1784</v>
      </c>
      <c r="D975" s="6"/>
      <c r="E975" s="7" t="str">
        <f aca="false">IFERROR(__xludf.dummyfunction("lower(GOOGLETRANSLATE(B975,""es"",""en""))"),"soup")</f>
        <v>soup</v>
      </c>
      <c r="F975" s="7" t="str">
        <f aca="false">IFERROR(__xludf.dummyfunction("lower(GOOGLETRANSLATE(A975,""en"",""es""))"),"la sopa")</f>
        <v>la sopa</v>
      </c>
      <c r="H975" s="0" t="str">
        <f aca="false">A975&amp;"|"&amp;B975</f>
        <v>the soup|la sopa</v>
      </c>
    </row>
    <row r="976" customFormat="false" ht="15.75" hidden="false" customHeight="false" outlineLevel="0" collapsed="false">
      <c r="A976" s="4" t="s">
        <v>1930</v>
      </c>
      <c r="B976" s="5" t="s">
        <v>1931</v>
      </c>
      <c r="C976" s="5" t="s">
        <v>1784</v>
      </c>
      <c r="D976" s="6"/>
      <c r="E976" s="7" t="str">
        <f aca="false">IFERROR(__xludf.dummyfunction("lower(GOOGLETRANSLATE(B976,""es"",""en""))"),"the chicken soup")</f>
        <v>the chicken soup</v>
      </c>
      <c r="F976" s="7" t="str">
        <f aca="false">IFERROR(__xludf.dummyfunction("lower(GOOGLETRANSLATE(A976,""en"",""es""))"),"la sopa de pollo")</f>
        <v>la sopa de pollo</v>
      </c>
      <c r="H976" s="0" t="str">
        <f aca="false">A976&amp;"|"&amp;B976</f>
        <v>the chicken soup|la sopa de pollo</v>
      </c>
    </row>
    <row r="977" customFormat="false" ht="15.75" hidden="false" customHeight="false" outlineLevel="0" collapsed="false">
      <c r="A977" s="4" t="s">
        <v>1932</v>
      </c>
      <c r="B977" s="5" t="s">
        <v>1933</v>
      </c>
      <c r="C977" s="5" t="s">
        <v>1784</v>
      </c>
      <c r="D977" s="6"/>
      <c r="E977" s="7" t="str">
        <f aca="false">IFERROR(__xludf.dummyfunction("lower(GOOGLETRANSLATE(B977,""es"",""en""))"),"the tomato soup")</f>
        <v>the tomato soup</v>
      </c>
      <c r="F977" s="7" t="str">
        <f aca="false">IFERROR(__xludf.dummyfunction("lower(GOOGLETRANSLATE(A977,""en"",""es""))"),"la sopa de tomate")</f>
        <v>la sopa de tomate</v>
      </c>
      <c r="H977" s="0" t="str">
        <f aca="false">A977&amp;"|"&amp;B977</f>
        <v>the tomato soup|la sopa de tomate</v>
      </c>
    </row>
    <row r="978" customFormat="false" ht="15.75" hidden="false" customHeight="false" outlineLevel="0" collapsed="false">
      <c r="A978" s="4" t="s">
        <v>1934</v>
      </c>
      <c r="B978" s="5" t="s">
        <v>1935</v>
      </c>
      <c r="C978" s="5" t="s">
        <v>1784</v>
      </c>
      <c r="D978" s="6"/>
      <c r="E978" s="7" t="str">
        <f aca="false">IFERROR(__xludf.dummyfunction("lower(GOOGLETRANSLATE(B978,""es"",""en""))"),"vegetable soup")</f>
        <v>vegetable soup</v>
      </c>
      <c r="F978" s="7" t="str">
        <f aca="false">IFERROR(__xludf.dummyfunction("lower(GOOGLETRANSLATE(A978,""en"",""es""))"),"la sopa de verduras")</f>
        <v>la sopa de verduras</v>
      </c>
      <c r="H978" s="0" t="str">
        <f aca="false">A978&amp;"|"&amp;B978</f>
        <v>the vegetable soup|la sopa de verduras</v>
      </c>
    </row>
    <row r="979" customFormat="false" ht="15.75" hidden="false" customHeight="false" outlineLevel="0" collapsed="false">
      <c r="A979" s="4" t="s">
        <v>1936</v>
      </c>
      <c r="B979" s="5" t="s">
        <v>1937</v>
      </c>
      <c r="C979" s="5" t="s">
        <v>1784</v>
      </c>
      <c r="D979" s="6"/>
      <c r="E979" s="7" t="str">
        <f aca="false">IFERROR(__xludf.dummyfunction("lower(GOOGLETRANSLATE(B979,""es"",""en""))"),"vegetables")</f>
        <v>vegetables</v>
      </c>
      <c r="F979" s="7" t="str">
        <f aca="false">IFERROR(__xludf.dummyfunction("lower(GOOGLETRANSLATE(A979,""en"",""es""))"),"los vegetales")</f>
        <v>los vegetales</v>
      </c>
      <c r="H979" s="0" t="str">
        <f aca="false">A979&amp;"|"&amp;B979</f>
        <v>the vegetables|las verduras</v>
      </c>
    </row>
    <row r="980" customFormat="false" ht="15.75" hidden="false" customHeight="false" outlineLevel="0" collapsed="false">
      <c r="A980" s="4" t="s">
        <v>1936</v>
      </c>
      <c r="B980" s="5" t="s">
        <v>1938</v>
      </c>
      <c r="C980" s="5" t="s">
        <v>1784</v>
      </c>
      <c r="D980" s="6"/>
      <c r="E980" s="7" t="str">
        <f aca="false">IFERROR(__xludf.dummyfunction("lower(GOOGLETRANSLATE(B980,""es"",""en""))"),"the vegetables")</f>
        <v>the vegetables</v>
      </c>
      <c r="F980" s="7" t="str">
        <f aca="false">IFERROR(__xludf.dummyfunction("lower(GOOGLETRANSLATE(A980,""en"",""es""))"),"los vegetales")</f>
        <v>los vegetales</v>
      </c>
      <c r="H980" s="0" t="str">
        <f aca="false">A980&amp;"|"&amp;B980</f>
        <v>the vegetables|los vegetales</v>
      </c>
    </row>
    <row r="981" customFormat="false" ht="15.75" hidden="false" customHeight="false" outlineLevel="0" collapsed="false">
      <c r="A981" s="4" t="s">
        <v>1939</v>
      </c>
      <c r="B981" s="5" t="s">
        <v>1940</v>
      </c>
      <c r="C981" s="5" t="s">
        <v>1784</v>
      </c>
      <c r="D981" s="6"/>
      <c r="E981" s="7" t="str">
        <f aca="false">IFERROR(__xludf.dummyfunction("lower(GOOGLETRANSLATE(B981,""es"",""en""))"),"garlic")</f>
        <v>garlic</v>
      </c>
      <c r="F981" s="7" t="str">
        <f aca="false">IFERROR(__xludf.dummyfunction("lower(GOOGLETRANSLATE(A981,""en"",""es""))"),"el ajo")</f>
        <v>el ajo</v>
      </c>
      <c r="H981" s="0" t="str">
        <f aca="false">A981&amp;"|"&amp;B981</f>
        <v>the garlic|el ajo</v>
      </c>
    </row>
    <row r="982" customFormat="false" ht="15.75" hidden="false" customHeight="false" outlineLevel="0" collapsed="false">
      <c r="A982" s="4" t="s">
        <v>1941</v>
      </c>
      <c r="B982" s="5" t="s">
        <v>1942</v>
      </c>
      <c r="C982" s="5" t="s">
        <v>1784</v>
      </c>
      <c r="D982" s="6"/>
      <c r="E982" s="7" t="str">
        <f aca="false">IFERROR(__xludf.dummyfunction("lower(GOOGLETRANSLATE(B982,""es"",""en""))"),"celery")</f>
        <v>celery</v>
      </c>
      <c r="F982" s="7" t="str">
        <f aca="false">IFERROR(__xludf.dummyfunction("lower(GOOGLETRANSLATE(A982,""en"",""es""))"),"apio")</f>
        <v>apio</v>
      </c>
      <c r="H982" s="0" t="str">
        <f aca="false">A982&amp;"|"&amp;B982</f>
        <v>celery|el apio</v>
      </c>
    </row>
    <row r="983" customFormat="false" ht="15.75" hidden="false" customHeight="false" outlineLevel="0" collapsed="false">
      <c r="A983" s="4" t="s">
        <v>1943</v>
      </c>
      <c r="B983" s="5" t="s">
        <v>1944</v>
      </c>
      <c r="C983" s="5" t="s">
        <v>1784</v>
      </c>
      <c r="D983" s="6"/>
      <c r="E983" s="7" t="str">
        <f aca="false">IFERROR(__xludf.dummyfunction("lower(GOOGLETRANSLATE(B983,""es"",""en""))"),"the eggplant")</f>
        <v>the eggplant</v>
      </c>
      <c r="F983" s="7" t="str">
        <f aca="false">IFERROR(__xludf.dummyfunction("lower(GOOGLETRANSLATE(A983,""en"",""es""))"),"la berenjena")</f>
        <v>la berenjena</v>
      </c>
      <c r="H983" s="0" t="str">
        <f aca="false">A983&amp;"|"&amp;B983</f>
        <v>the eggplant|la berenjena</v>
      </c>
    </row>
    <row r="984" customFormat="false" ht="15.75" hidden="false" customHeight="false" outlineLevel="0" collapsed="false">
      <c r="A984" s="4" t="s">
        <v>1945</v>
      </c>
      <c r="B984" s="5" t="s">
        <v>1946</v>
      </c>
      <c r="C984" s="5" t="s">
        <v>1784</v>
      </c>
      <c r="D984" s="6"/>
      <c r="E984" s="7" t="str">
        <f aca="false">IFERROR(__xludf.dummyfunction("lower(GOOGLETRANSLATE(B984,""es"",""en""))"),"broccoli")</f>
        <v>broccoli</v>
      </c>
      <c r="F984" s="7" t="str">
        <f aca="false">IFERROR(__xludf.dummyfunction("lower(GOOGLETRANSLATE(A984,""en"",""es""))"),"el brócoli")</f>
        <v>el brócoli</v>
      </c>
      <c r="H984" s="0" t="str">
        <f aca="false">A984&amp;"|"&amp;B984</f>
        <v>the broccoli|el brócoli</v>
      </c>
    </row>
    <row r="985" customFormat="false" ht="15.75" hidden="false" customHeight="false" outlineLevel="0" collapsed="false">
      <c r="A985" s="4" t="s">
        <v>1945</v>
      </c>
      <c r="B985" s="5" t="s">
        <v>1947</v>
      </c>
      <c r="C985" s="5" t="s">
        <v>1784</v>
      </c>
      <c r="D985" s="6"/>
      <c r="E985" s="7" t="str">
        <f aca="false">IFERROR(__xludf.dummyfunction("lower(GOOGLETRANSLATE(B985,""es"",""en""))"),"broccoli")</f>
        <v>broccoli</v>
      </c>
      <c r="F985" s="7" t="str">
        <f aca="false">IFERROR(__xludf.dummyfunction("lower(GOOGLETRANSLATE(A985,""en"",""es""))"),"el brócoli")</f>
        <v>el brócoli</v>
      </c>
      <c r="H985" s="0" t="str">
        <f aca="false">A985&amp;"|"&amp;B985</f>
        <v>the broccoli|el brécol</v>
      </c>
    </row>
    <row r="986" customFormat="false" ht="15.75" hidden="false" customHeight="false" outlineLevel="0" collapsed="false">
      <c r="A986" s="4" t="s">
        <v>1948</v>
      </c>
      <c r="B986" s="5" t="s">
        <v>1949</v>
      </c>
      <c r="C986" s="5" t="s">
        <v>1784</v>
      </c>
      <c r="D986" s="6"/>
      <c r="E986" s="7" t="str">
        <f aca="false">IFERROR(__xludf.dummyfunction("lower(GOOGLETRANSLATE(B986,""es"",""en""))"),"the zucchini")</f>
        <v>the zucchini</v>
      </c>
      <c r="F986" s="7" t="str">
        <f aca="false">IFERROR(__xludf.dummyfunction("lower(GOOGLETRANSLATE(A986,""en"",""es""))"),"los zuquini")</f>
        <v>los zuquini</v>
      </c>
      <c r="H986" s="0" t="str">
        <f aca="false">A986&amp;"|"&amp;B986</f>
        <v>the zuccini|la calabacín</v>
      </c>
    </row>
    <row r="987" customFormat="false" ht="15.75" hidden="false" customHeight="false" outlineLevel="0" collapsed="false">
      <c r="A987" s="4" t="s">
        <v>1950</v>
      </c>
      <c r="B987" s="5" t="s">
        <v>1951</v>
      </c>
      <c r="C987" s="5" t="s">
        <v>1784</v>
      </c>
      <c r="D987" s="6"/>
      <c r="E987" s="7" t="str">
        <f aca="false">IFERROR(__xludf.dummyfunction("lower(GOOGLETRANSLATE(B987,""es"",""en""))"),"the onion")</f>
        <v>the onion</v>
      </c>
      <c r="F987" s="7" t="str">
        <f aca="false">IFERROR(__xludf.dummyfunction("lower(GOOGLETRANSLATE(A987,""en"",""es""))"),"la cebolla")</f>
        <v>la cebolla</v>
      </c>
      <c r="H987" s="0" t="str">
        <f aca="false">A987&amp;"|"&amp;B987</f>
        <v>the onion|la cebolla</v>
      </c>
    </row>
    <row r="988" customFormat="false" ht="15.75" hidden="false" customHeight="false" outlineLevel="0" collapsed="false">
      <c r="A988" s="4" t="s">
        <v>1952</v>
      </c>
      <c r="B988" s="5" t="s">
        <v>1953</v>
      </c>
      <c r="C988" s="5" t="s">
        <v>1784</v>
      </c>
      <c r="D988" s="6"/>
      <c r="E988" s="7" t="str">
        <f aca="false">IFERROR(__xludf.dummyfunction("lower(GOOGLETRANSLATE(B988,""es"",""en""))"),"the peas")</f>
        <v>the peas</v>
      </c>
      <c r="F988" s="7" t="str">
        <f aca="false">IFERROR(__xludf.dummyfunction("lower(GOOGLETRANSLATE(A988,""en"",""es""))"),"los guisantes")</f>
        <v>los guisantes</v>
      </c>
      <c r="H988" s="0" t="str">
        <f aca="false">A988&amp;"|"&amp;B988</f>
        <v>the peas|los chícharos</v>
      </c>
    </row>
    <row r="989" customFormat="false" ht="15.75" hidden="false" customHeight="false" outlineLevel="0" collapsed="false">
      <c r="A989" s="4" t="s">
        <v>1952</v>
      </c>
      <c r="B989" s="5" t="s">
        <v>1954</v>
      </c>
      <c r="C989" s="5" t="s">
        <v>1784</v>
      </c>
      <c r="D989" s="6"/>
      <c r="E989" s="7" t="str">
        <f aca="false">IFERROR(__xludf.dummyfunction("lower(GOOGLETRANSLATE(B989,""es"",""en""))"),"the guisantees")</f>
        <v>the guisantees</v>
      </c>
      <c r="F989" s="7" t="str">
        <f aca="false">IFERROR(__xludf.dummyfunction("lower(GOOGLETRANSLATE(A989,""en"",""es""))"),"los guisantes")</f>
        <v>los guisantes</v>
      </c>
      <c r="H989" s="0" t="str">
        <f aca="false">A989&amp;"|"&amp;B989</f>
        <v>the peas|los guisantees</v>
      </c>
    </row>
    <row r="990" customFormat="false" ht="15.75" hidden="false" customHeight="false" outlineLevel="0" collapsed="false">
      <c r="A990" s="4" t="s">
        <v>1955</v>
      </c>
      <c r="B990" s="5" t="s">
        <v>1956</v>
      </c>
      <c r="C990" s="5" t="s">
        <v>1784</v>
      </c>
      <c r="D990" s="6"/>
      <c r="E990" s="7" t="str">
        <f aca="false">IFERROR(__xludf.dummyfunction("lower(GOOGLETRANSLATE(B990,""es"",""en""))"),"chili")</f>
        <v>chili</v>
      </c>
      <c r="F990" s="7" t="str">
        <f aca="false">IFERROR(__xludf.dummyfunction("lower(GOOGLETRANSLATE(A990,""en"",""es""))"),"ají picante")</f>
        <v>ají picante</v>
      </c>
      <c r="H990" s="0" t="str">
        <f aca="false">A990&amp;"|"&amp;B990</f>
        <v>chili pepper|el chile</v>
      </c>
    </row>
    <row r="991" customFormat="false" ht="15.75" hidden="false" customHeight="false" outlineLevel="0" collapsed="false">
      <c r="A991" s="4" t="s">
        <v>1957</v>
      </c>
      <c r="B991" s="5" t="s">
        <v>1958</v>
      </c>
      <c r="C991" s="5" t="s">
        <v>1784</v>
      </c>
      <c r="D991" s="6"/>
      <c r="E991" s="7" t="str">
        <f aca="false">IFERROR(__xludf.dummyfunction("lower(GOOGLETRANSLATE(B991,""es"",""en""))"),"cabbage")</f>
        <v>cabbage</v>
      </c>
      <c r="F991" s="7" t="str">
        <f aca="false">IFERROR(__xludf.dummyfunction("lower(GOOGLETRANSLATE(A991,""en"",""es""))"),"la col")</f>
        <v>la col</v>
      </c>
      <c r="H991" s="0" t="str">
        <f aca="false">A991&amp;"|"&amp;B991</f>
        <v>the cabbage|la col</v>
      </c>
    </row>
    <row r="992" customFormat="false" ht="15.75" hidden="false" customHeight="false" outlineLevel="0" collapsed="false">
      <c r="A992" s="4" t="s">
        <v>1957</v>
      </c>
      <c r="B992" s="5" t="s">
        <v>1959</v>
      </c>
      <c r="C992" s="5" t="s">
        <v>1784</v>
      </c>
      <c r="D992" s="6"/>
      <c r="E992" s="7" t="str">
        <f aca="false">IFERROR(__xludf.dummyfunction("lower(GOOGLETRANSLATE(B992,""es"",""en""))"),"the cabbage")</f>
        <v>the cabbage</v>
      </c>
      <c r="F992" s="7" t="str">
        <f aca="false">IFERROR(__xludf.dummyfunction("lower(GOOGLETRANSLATE(A992,""en"",""es""))"),"la col")</f>
        <v>la col</v>
      </c>
      <c r="H992" s="0" t="str">
        <f aca="false">A992&amp;"|"&amp;B992</f>
        <v>the cabbage|el repollo</v>
      </c>
    </row>
    <row r="993" customFormat="false" ht="15.75" hidden="false" customHeight="false" outlineLevel="0" collapsed="false">
      <c r="A993" s="4" t="s">
        <v>1960</v>
      </c>
      <c r="B993" s="5" t="s">
        <v>1961</v>
      </c>
      <c r="C993" s="5" t="s">
        <v>1784</v>
      </c>
      <c r="D993" s="6"/>
      <c r="E993" s="7" t="str">
        <f aca="false">IFERROR(__xludf.dummyfunction("lower(GOOGLETRANSLATE(B993,""es"",""en""))"),"kale")</f>
        <v>kale</v>
      </c>
      <c r="F993" s="7" t="str">
        <f aca="false">IFERROR(__xludf.dummyfunction("lower(GOOGLETRANSLATE(A993,""en"",""es""))"),"la col rizada")</f>
        <v>la col rizada</v>
      </c>
      <c r="H993" s="0" t="str">
        <f aca="false">A993&amp;"|"&amp;B993</f>
        <v>the kale|la col rizada</v>
      </c>
    </row>
    <row r="994" customFormat="false" ht="15.75" hidden="false" customHeight="false" outlineLevel="0" collapsed="false">
      <c r="A994" s="4" t="s">
        <v>1962</v>
      </c>
      <c r="B994" s="5" t="s">
        <v>1963</v>
      </c>
      <c r="C994" s="5" t="s">
        <v>1784</v>
      </c>
      <c r="D994" s="6"/>
      <c r="E994" s="7" t="str">
        <f aca="false">IFERROR(__xludf.dummyfunction("lower(GOOGLETRANSLATE(B994,""es"",""en""))"),"cauliflower")</f>
        <v>cauliflower</v>
      </c>
      <c r="F994" s="7" t="str">
        <f aca="false">IFERROR(__xludf.dummyfunction("lower(GOOGLETRANSLATE(A994,""en"",""es""))"),"la coliflor")</f>
        <v>la coliflor</v>
      </c>
      <c r="H994" s="0" t="str">
        <f aca="false">A994&amp;"|"&amp;B994</f>
        <v>the cauliflower|la coliflor</v>
      </c>
    </row>
    <row r="995" customFormat="false" ht="15.75" hidden="false" customHeight="false" outlineLevel="0" collapsed="false">
      <c r="A995" s="4" t="s">
        <v>1964</v>
      </c>
      <c r="B995" s="5" t="s">
        <v>1965</v>
      </c>
      <c r="C995" s="5" t="s">
        <v>1784</v>
      </c>
      <c r="D995" s="6"/>
      <c r="E995" s="7" t="str">
        <f aca="false">IFERROR(__xludf.dummyfunction("lower(GOOGLETRANSLATE(B995,""es"",""en""))"),"the asparagus")</f>
        <v>the asparagus</v>
      </c>
      <c r="F995" s="7" t="str">
        <f aca="false">IFERROR(__xludf.dummyfunction("lower(GOOGLETRANSLATE(A995,""en"",""es""))"),"los espárragos")</f>
        <v>los espárragos</v>
      </c>
      <c r="H995" s="0" t="str">
        <f aca="false">A995&amp;"|"&amp;B995</f>
        <v>the asparagus|las espárragos</v>
      </c>
    </row>
    <row r="996" customFormat="false" ht="15.75" hidden="false" customHeight="false" outlineLevel="0" collapsed="false">
      <c r="A996" s="4" t="s">
        <v>1966</v>
      </c>
      <c r="B996" s="5" t="s">
        <v>1967</v>
      </c>
      <c r="C996" s="5" t="s">
        <v>1784</v>
      </c>
      <c r="D996" s="6"/>
      <c r="E996" s="7" t="str">
        <f aca="false">IFERROR(__xludf.dummyfunction("lower(GOOGLETRANSLATE(B996,""es"",""en""))"),"the spinach")</f>
        <v>the spinach</v>
      </c>
      <c r="F996" s="7" t="str">
        <f aca="false">IFERROR(__xludf.dummyfunction("lower(GOOGLETRANSLATE(A996,""en"",""es""))"),"la espinaca")</f>
        <v>la espinaca</v>
      </c>
      <c r="H996" s="0" t="str">
        <f aca="false">A996&amp;"|"&amp;B996</f>
        <v>the spinach|las espinacas</v>
      </c>
    </row>
    <row r="997" customFormat="false" ht="15.75" hidden="false" customHeight="false" outlineLevel="0" collapsed="false">
      <c r="A997" s="4" t="s">
        <v>1968</v>
      </c>
      <c r="B997" s="5" t="s">
        <v>1969</v>
      </c>
      <c r="C997" s="5" t="s">
        <v>1784</v>
      </c>
      <c r="D997" s="6"/>
      <c r="E997" s="7" t="str">
        <f aca="false">IFERROR(__xludf.dummyfunction("lower(GOOGLETRANSLATE(B997,""es"",""en""))"),"the verder beans")</f>
        <v>the verder beans</v>
      </c>
      <c r="F997" s="7" t="str">
        <f aca="false">IFERROR(__xludf.dummyfunction("lower(GOOGLETRANSLATE(A997,""en"",""es""))"),"las judías verdes")</f>
        <v>las judías verdes</v>
      </c>
      <c r="H997" s="0" t="str">
        <f aca="false">A997&amp;"|"&amp;B997</f>
        <v>the green beans|las habichuelas verder</v>
      </c>
    </row>
    <row r="998" customFormat="false" ht="15.75" hidden="false" customHeight="false" outlineLevel="0" collapsed="false">
      <c r="A998" s="4" t="s">
        <v>1970</v>
      </c>
      <c r="B998" s="5" t="s">
        <v>1971</v>
      </c>
      <c r="C998" s="5" t="s">
        <v>1784</v>
      </c>
      <c r="D998" s="6"/>
      <c r="E998" s="7" t="str">
        <f aca="false">IFERROR(__xludf.dummyfunction("lower(GOOGLETRANSLATE(B998,""es"",""en""))"),"lettuce")</f>
        <v>lettuce</v>
      </c>
      <c r="F998" s="7" t="str">
        <f aca="false">IFERROR(__xludf.dummyfunction("lower(GOOGLETRANSLATE(A998,""en"",""es""))"),"la lechuga")</f>
        <v>la lechuga</v>
      </c>
      <c r="H998" s="0" t="str">
        <f aca="false">A998&amp;"|"&amp;B998</f>
        <v>the lettuce|la lechuga</v>
      </c>
    </row>
    <row r="999" customFormat="false" ht="15.75" hidden="false" customHeight="false" outlineLevel="0" collapsed="false">
      <c r="A999" s="4" t="s">
        <v>1972</v>
      </c>
      <c r="B999" s="5" t="s">
        <v>1973</v>
      </c>
      <c r="C999" s="5" t="s">
        <v>1784</v>
      </c>
      <c r="D999" s="6"/>
      <c r="E999" s="7" t="str">
        <f aca="false">IFERROR(__xludf.dummyfunction("lower(GOOGLETRANSLATE(B999,""es"",""en""))"),"gherkin")</f>
        <v>gherkin</v>
      </c>
      <c r="F999" s="7" t="str">
        <f aca="false">IFERROR(__xludf.dummyfunction("lower(GOOGLETRANSLATE(A999,""en"",""es""))"),"la salmuera")</f>
        <v>la salmuera</v>
      </c>
      <c r="H999" s="0" t="str">
        <f aca="false">A999&amp;"|"&amp;B999</f>
        <v>the pickle|el pepinillo</v>
      </c>
    </row>
    <row r="1000" customFormat="false" ht="15.75" hidden="false" customHeight="false" outlineLevel="0" collapsed="false">
      <c r="A1000" s="4" t="s">
        <v>1974</v>
      </c>
      <c r="B1000" s="5" t="s">
        <v>1975</v>
      </c>
      <c r="C1000" s="5" t="s">
        <v>1784</v>
      </c>
      <c r="D1000" s="6"/>
      <c r="E1000" s="7" t="str">
        <f aca="false">IFERROR(__xludf.dummyfunction("lower(GOOGLETRANSLATE(B1000,""es"",""en""))"),"the cucumber")</f>
        <v>the cucumber</v>
      </c>
      <c r="F1000" s="7" t="str">
        <f aca="false">IFERROR(__xludf.dummyfunction("lower(GOOGLETRANSLATE(A1000,""en"",""es""))"),"el pepino")</f>
        <v>el pepino</v>
      </c>
      <c r="H1000" s="0" t="str">
        <f aca="false">A1000&amp;"|"&amp;B1000</f>
        <v>the cucumber|el pepino</v>
      </c>
    </row>
    <row r="1001" customFormat="false" ht="15.75" hidden="false" customHeight="false" outlineLevel="0" collapsed="false">
      <c r="A1001" s="4" t="s">
        <v>1976</v>
      </c>
      <c r="B1001" s="5" t="s">
        <v>1977</v>
      </c>
      <c r="C1001" s="5" t="s">
        <v>1784</v>
      </c>
      <c r="D1001" s="6"/>
      <c r="E1001" s="7" t="str">
        <f aca="false">IFERROR(__xludf.dummyfunction("lower(GOOGLETRANSLATE(B1001,""es"",""en""))"),"peppers")</f>
        <v>peppers</v>
      </c>
      <c r="F1001" s="7" t="str">
        <f aca="false">IFERROR(__xludf.dummyfunction("lower(GOOGLETRANSLATE(A1001,""en"",""es""))"),"el pimiento")</f>
        <v>el pimiento</v>
      </c>
      <c r="H1001" s="0" t="str">
        <f aca="false">A1001&amp;"|"&amp;B1001</f>
        <v>the bell pepper|el pimiento</v>
      </c>
    </row>
    <row r="1002" customFormat="false" ht="15.75" hidden="false" customHeight="false" outlineLevel="0" collapsed="false">
      <c r="A1002" s="4" t="s">
        <v>1978</v>
      </c>
      <c r="B1002" s="5" t="s">
        <v>1979</v>
      </c>
      <c r="C1002" s="5" t="s">
        <v>1784</v>
      </c>
      <c r="D1002" s="6"/>
      <c r="E1002" s="7" t="str">
        <f aca="false">IFERROR(__xludf.dummyfunction("lower(GOOGLETRANSLATE(B1002,""es"",""en""))"),"brussels sprouts")</f>
        <v>brussels sprouts</v>
      </c>
      <c r="F1002" s="7" t="str">
        <f aca="false">IFERROR(__xludf.dummyfunction("lower(GOOGLETRANSLATE(A1002,""en"",""es""))"),"las coles de bruselas")</f>
        <v>las coles de bruselas</v>
      </c>
      <c r="H1002" s="0" t="str">
        <f aca="false">A1002&amp;"|"&amp;B1002</f>
        <v>the brussels sprouts|los repollitos de bruselas</v>
      </c>
    </row>
    <row r="1003" customFormat="false" ht="15.75" hidden="false" customHeight="false" outlineLevel="0" collapsed="false">
      <c r="A1003" s="4" t="s">
        <v>1980</v>
      </c>
      <c r="B1003" s="5" t="s">
        <v>1981</v>
      </c>
      <c r="C1003" s="5" t="s">
        <v>1784</v>
      </c>
      <c r="D1003" s="6"/>
      <c r="E1003" s="7" t="str">
        <f aca="false">IFERROR(__xludf.dummyfunction("lower(GOOGLETRANSLATE(B1003,""es"",""en""))"),"the corn")</f>
        <v>the corn</v>
      </c>
      <c r="F1003" s="7" t="str">
        <f aca="false">IFERROR(__xludf.dummyfunction("lower(GOOGLETRANSLATE(A1003,""en"",""es""))"),"el maiz")</f>
        <v>el maiz</v>
      </c>
      <c r="H1003" s="0" t="str">
        <f aca="false">A1003&amp;"|"&amp;B1003</f>
        <v>the corn|el maíz</v>
      </c>
    </row>
    <row r="1004" customFormat="false" ht="15.75" hidden="false" customHeight="false" outlineLevel="0" collapsed="false">
      <c r="A1004" s="4" t="s">
        <v>1982</v>
      </c>
      <c r="B1004" s="5" t="s">
        <v>1983</v>
      </c>
      <c r="C1004" s="5" t="s">
        <v>1784</v>
      </c>
      <c r="D1004" s="6"/>
      <c r="E1004" s="7" t="str">
        <f aca="false">IFERROR(__xludf.dummyfunction("lower(GOOGLETRANSLATE(B1004,""es"",""en""))"),"the carrot")</f>
        <v>the carrot</v>
      </c>
      <c r="F1004" s="7" t="str">
        <f aca="false">IFERROR(__xludf.dummyfunction("lower(GOOGLETRANSLATE(A1004,""en"",""es""))"),"la zanahoria")</f>
        <v>la zanahoria</v>
      </c>
      <c r="H1004" s="0" t="str">
        <f aca="false">A1004&amp;"|"&amp;B1004</f>
        <v>the carrot|la zanahoria</v>
      </c>
    </row>
    <row r="1005" customFormat="false" ht="15.75" hidden="false" customHeight="false" outlineLevel="0" collapsed="false">
      <c r="A1005" s="4" t="s">
        <v>1984</v>
      </c>
      <c r="B1005" s="5" t="s">
        <v>1985</v>
      </c>
      <c r="C1005" s="5" t="s">
        <v>1784</v>
      </c>
      <c r="D1005" s="6"/>
      <c r="E1005" s="7" t="str">
        <f aca="false">IFERROR(__xludf.dummyfunction("lower(GOOGLETRANSLATE(B1005,""es"",""en""))"),"the yogurt)")</f>
        <v>the yogurt)</v>
      </c>
      <c r="F1005" s="7" t="str">
        <f aca="false">IFERROR(__xludf.dummyfunction("lower(GOOGLETRANSLATE(A1005,""en"",""es""))"),"el yogurt")</f>
        <v>el yogurt</v>
      </c>
      <c r="H1005" s="0" t="str">
        <f aca="false">A1005&amp;"|"&amp;B1005</f>
        <v>the yogurt|el yogur(t)</v>
      </c>
    </row>
    <row r="1006" customFormat="false" ht="15.75" hidden="false" customHeight="false" outlineLevel="0" collapsed="false">
      <c r="A1006" s="4" t="s">
        <v>1986</v>
      </c>
      <c r="B1006" s="5" t="s">
        <v>1987</v>
      </c>
      <c r="C1006" s="5" t="s">
        <v>1784</v>
      </c>
      <c r="D1006" s="6"/>
      <c r="E1006" s="7" t="str">
        <f aca="false">IFERROR(__xludf.dummyfunction("lower(GOOGLETRANSLATE(B1006,""es"",""en""))"),"the water")</f>
        <v>the water</v>
      </c>
      <c r="F1006" s="7" t="str">
        <f aca="false">IFERROR(__xludf.dummyfunction("lower(GOOGLETRANSLATE(A1006,""en"",""es""))"),"el agua")</f>
        <v>el agua</v>
      </c>
      <c r="H1006" s="0" t="str">
        <f aca="false">A1006&amp;"|"&amp;B1006</f>
        <v>the water|el aqua</v>
      </c>
    </row>
    <row r="1007" customFormat="false" ht="15.75" hidden="false" customHeight="false" outlineLevel="0" collapsed="false">
      <c r="A1007" s="4" t="s">
        <v>1988</v>
      </c>
      <c r="B1007" s="5" t="s">
        <v>1989</v>
      </c>
      <c r="C1007" s="5" t="s">
        <v>1784</v>
      </c>
      <c r="D1007" s="6"/>
      <c r="E1007" s="7" t="str">
        <f aca="false">IFERROR(__xludf.dummyfunction("lower(GOOGLETRANSLATE(B1007,""es"",""en""))"),"the coffee")</f>
        <v>the coffee</v>
      </c>
      <c r="F1007" s="7" t="str">
        <f aca="false">IFERROR(__xludf.dummyfunction("lower(GOOGLETRANSLATE(A1007,""en"",""es""))"),"el café")</f>
        <v>el café</v>
      </c>
      <c r="H1007" s="0" t="str">
        <f aca="false">A1007&amp;"|"&amp;B1007</f>
        <v>the coffee|el café</v>
      </c>
    </row>
    <row r="1008" customFormat="false" ht="15.75" hidden="false" customHeight="false" outlineLevel="0" collapsed="false">
      <c r="A1008" s="4" t="s">
        <v>1990</v>
      </c>
      <c r="B1008" s="5" t="s">
        <v>1991</v>
      </c>
      <c r="C1008" s="5" t="s">
        <v>1784</v>
      </c>
      <c r="D1008" s="6"/>
      <c r="E1008" s="7" t="str">
        <f aca="false">IFERROR(__xludf.dummyfunction("lower(GOOGLETRANSLATE(B1008,""es"",""en""))"),"the orange juice")</f>
        <v>the orange juice</v>
      </c>
      <c r="F1008" s="7" t="str">
        <f aca="false">IFERROR(__xludf.dummyfunction("lower(GOOGLETRANSLATE(A1008,""en"",""es""))"),"el jugo de naranja")</f>
        <v>el jugo de naranja</v>
      </c>
      <c r="H1008" s="0" t="str">
        <f aca="false">A1008&amp;"|"&amp;B1008</f>
        <v>the orange juice|el jugo de naranja</v>
      </c>
    </row>
    <row r="1009" customFormat="false" ht="15.75" hidden="false" customHeight="false" outlineLevel="0" collapsed="false">
      <c r="A1009" s="4" t="s">
        <v>1992</v>
      </c>
      <c r="B1009" s="5" t="s">
        <v>1993</v>
      </c>
      <c r="C1009" s="5" t="s">
        <v>1784</v>
      </c>
      <c r="D1009" s="6"/>
      <c r="E1009" s="7" t="str">
        <f aca="false">IFERROR(__xludf.dummyfunction("lower(GOOGLETRANSLATE(B1009,""es"",""en""))"),"the apple juice")</f>
        <v>the apple juice</v>
      </c>
      <c r="F1009" s="7" t="str">
        <f aca="false">IFERROR(__xludf.dummyfunction("lower(GOOGLETRANSLATE(A1009,""en"",""es""))"),"el jugo de manzana")</f>
        <v>el jugo de manzana</v>
      </c>
      <c r="H1009" s="0" t="str">
        <f aca="false">A1009&amp;"|"&amp;B1009</f>
        <v>the apple juice|el jugo de manzana</v>
      </c>
    </row>
    <row r="1010" customFormat="false" ht="15.75" hidden="false" customHeight="false" outlineLevel="0" collapsed="false">
      <c r="A1010" s="4" t="s">
        <v>1994</v>
      </c>
      <c r="B1010" s="5" t="s">
        <v>1995</v>
      </c>
      <c r="C1010" s="5" t="s">
        <v>1784</v>
      </c>
      <c r="D1010" s="6"/>
      <c r="E1010" s="7" t="str">
        <f aca="false">IFERROR(__xludf.dummyfunction("lower(GOOGLETRANSLATE(B1010,""es"",""en""))"),"milk")</f>
        <v>milk</v>
      </c>
      <c r="F1010" s="7" t="str">
        <f aca="false">IFERROR(__xludf.dummyfunction("lower(GOOGLETRANSLATE(A1010,""en"",""es""))"),"la leche")</f>
        <v>la leche</v>
      </c>
      <c r="H1010" s="0" t="str">
        <f aca="false">A1010&amp;"|"&amp;B1010</f>
        <v>the milk|la leche</v>
      </c>
    </row>
    <row r="1011" customFormat="false" ht="15.75" hidden="false" customHeight="false" outlineLevel="0" collapsed="false">
      <c r="A1011" s="4" t="s">
        <v>1996</v>
      </c>
      <c r="B1011" s="5" t="s">
        <v>1997</v>
      </c>
      <c r="C1011" s="5" t="s">
        <v>1784</v>
      </c>
      <c r="D1011" s="6"/>
      <c r="E1011" s="7" t="str">
        <f aca="false">IFERROR(__xludf.dummyfunction("lower(GOOGLETRANSLATE(B1011,""es"",""en""))"),"the shake")</f>
        <v>the shake</v>
      </c>
      <c r="F1011" s="7" t="str">
        <f aca="false">IFERROR(__xludf.dummyfunction("lower(GOOGLETRANSLATE(A1011,""en"",""es""))"),"el batido")</f>
        <v>el batido</v>
      </c>
      <c r="H1011" s="0" t="str">
        <f aca="false">A1011&amp;"|"&amp;B1011</f>
        <v>the smoothie|el licuado</v>
      </c>
    </row>
    <row r="1012" customFormat="false" ht="15.75" hidden="false" customHeight="false" outlineLevel="0" collapsed="false">
      <c r="A1012" s="4" t="s">
        <v>1998</v>
      </c>
      <c r="B1012" s="5" t="s">
        <v>1999</v>
      </c>
      <c r="C1012" s="5" t="s">
        <v>1784</v>
      </c>
      <c r="D1012" s="6"/>
      <c r="E1012" s="7" t="str">
        <f aca="false">IFERROR(__xludf.dummyfunction("lower(GOOGLETRANSLATE(B1012,""es"",""en""))"),"the lemonade")</f>
        <v>the lemonade</v>
      </c>
      <c r="F1012" s="7" t="str">
        <f aca="false">IFERROR(__xludf.dummyfunction("lower(GOOGLETRANSLATE(A1012,""en"",""es""))"),"la limonada")</f>
        <v>la limonada</v>
      </c>
      <c r="H1012" s="0" t="str">
        <f aca="false">A1012&amp;"|"&amp;B1012</f>
        <v>the lemonade|la limonada</v>
      </c>
    </row>
    <row r="1013" customFormat="false" ht="15.75" hidden="false" customHeight="false" outlineLevel="0" collapsed="false">
      <c r="A1013" s="4" t="s">
        <v>2000</v>
      </c>
      <c r="B1013" s="5" t="s">
        <v>2001</v>
      </c>
      <c r="C1013" s="5" t="s">
        <v>1784</v>
      </c>
      <c r="D1013" s="6"/>
      <c r="E1013" s="7" t="str">
        <f aca="false">IFERROR(__xludf.dummyfunction("lower(GOOGLETRANSLATE(B1013,""es"",""en""))"),"soda / soda")</f>
        <v>soda / soda</v>
      </c>
      <c r="F1013" s="7" t="str">
        <f aca="false">IFERROR(__xludf.dummyfunction("lower(GOOGLETRANSLATE(A1013,""en"",""es""))"),"el refresco")</f>
        <v>el refresco</v>
      </c>
      <c r="H1013" s="0" t="str">
        <f aca="false">A1013&amp;"|"&amp;B1013</f>
        <v>the soft drink|el refresco/la gaseosa</v>
      </c>
    </row>
    <row r="1014" customFormat="false" ht="15.75" hidden="false" customHeight="false" outlineLevel="0" collapsed="false">
      <c r="A1014" s="4" t="s">
        <v>2002</v>
      </c>
      <c r="B1014" s="5" t="s">
        <v>2003</v>
      </c>
      <c r="C1014" s="5" t="s">
        <v>1784</v>
      </c>
      <c r="D1014" s="6"/>
      <c r="E1014" s="7" t="str">
        <f aca="false">IFERROR(__xludf.dummyfunction("lower(GOOGLETRANSLATE(B1014,""es"",""en""))"),"the tea")</f>
        <v>the tea</v>
      </c>
      <c r="F1014" s="7" t="str">
        <f aca="false">IFERROR(__xludf.dummyfunction("lower(GOOGLETRANSLATE(A1014,""en"",""es""))"),"el té")</f>
        <v>el té</v>
      </c>
      <c r="H1014" s="0" t="str">
        <f aca="false">A1014&amp;"|"&amp;B1014</f>
        <v>the tea|el té</v>
      </c>
    </row>
    <row r="1015" customFormat="false" ht="15.75" hidden="false" customHeight="false" outlineLevel="0" collapsed="false">
      <c r="A1015" s="4" t="s">
        <v>2004</v>
      </c>
      <c r="B1015" s="5" t="s">
        <v>2005</v>
      </c>
      <c r="C1015" s="5" t="s">
        <v>1784</v>
      </c>
      <c r="D1015" s="6"/>
      <c r="E1015" s="7" t="str">
        <f aca="false">IFERROR(__xludf.dummyfunction("lower(GOOGLETRANSLATE(B1015,""es"",""en""))"),"the iced tea")</f>
        <v>the iced tea</v>
      </c>
      <c r="F1015" s="7" t="str">
        <f aca="false">IFERROR(__xludf.dummyfunction("lower(GOOGLETRANSLATE(A1015,""en"",""es""))"),"el té helado")</f>
        <v>el té helado</v>
      </c>
      <c r="H1015" s="0" t="str">
        <f aca="false">A1015&amp;"|"&amp;B1015</f>
        <v>the ice tea|el té helado</v>
      </c>
    </row>
    <row r="1016" customFormat="false" ht="15.75" hidden="false" customHeight="false" outlineLevel="0" collapsed="false">
      <c r="A1016" s="4" t="s">
        <v>2006</v>
      </c>
      <c r="B1016" s="5" t="s">
        <v>2007</v>
      </c>
      <c r="C1016" s="5" t="s">
        <v>1784</v>
      </c>
      <c r="D1016" s="6"/>
      <c r="E1016" s="7" t="str">
        <f aca="false">IFERROR(__xludf.dummyfunction("lower(GOOGLETRANSLATE(B1016,""es"",""en""))"),"@ good health")</f>
        <v>@ good health</v>
      </c>
      <c r="F1016" s="7" t="str">
        <f aca="false">IFERROR(__xludf.dummyfunction("lower(GOOGLETRANSLATE(A1016,""en"",""es""))"),"bueno para la salud")</f>
        <v>bueno para la salud</v>
      </c>
      <c r="H1016" s="0" t="str">
        <f aca="false">A1016&amp;"|"&amp;B1016</f>
        <v>good for the health|buen@ para la salud</v>
      </c>
    </row>
    <row r="1017" customFormat="false" ht="15.75" hidden="false" customHeight="false" outlineLevel="0" collapsed="false">
      <c r="A1017" s="4" t="s">
        <v>2008</v>
      </c>
      <c r="B1017" s="5" t="s">
        <v>2009</v>
      </c>
      <c r="C1017" s="5" t="s">
        <v>1784</v>
      </c>
      <c r="D1017" s="6"/>
      <c r="E1017" s="7" t="str">
        <f aca="false">IFERROR(__xludf.dummyfunction("lower(GOOGLETRANSLATE(B1017,""es"",""en""))"),"@ bad health")</f>
        <v>@ bad health</v>
      </c>
      <c r="F1017" s="7" t="str">
        <f aca="false">IFERROR(__xludf.dummyfunction("lower(GOOGLETRANSLATE(A1017,""en"",""es""))"),"malo para la salud")</f>
        <v>malo para la salud</v>
      </c>
      <c r="H1017" s="0" t="str">
        <f aca="false">A1017&amp;"|"&amp;B1017</f>
        <v>bad for the health|mal@ para la salud</v>
      </c>
    </row>
    <row r="1018" customFormat="false" ht="15.75" hidden="false" customHeight="false" outlineLevel="0" collapsed="false">
      <c r="A1018" s="4" t="s">
        <v>2010</v>
      </c>
      <c r="B1018" s="5" t="s">
        <v>2011</v>
      </c>
      <c r="C1018" s="5" t="s">
        <v>1784</v>
      </c>
      <c r="D1018" s="6"/>
      <c r="E1018" s="7" t="str">
        <f aca="false">IFERROR(__xludf.dummyfunction("lower(GOOGLETRANSLATE(B1018,""es"",""en""))"),"delecios @")</f>
        <v>delecios @</v>
      </c>
      <c r="F1018" s="7" t="str">
        <f aca="false">IFERROR(__xludf.dummyfunction("lower(GOOGLETRANSLATE(A1018,""en"",""es""))"),"delicioso")</f>
        <v>delicioso</v>
      </c>
      <c r="H1018" s="0" t="str">
        <f aca="false">A1018&amp;"|"&amp;B1018</f>
        <v>delicious|delecios@</v>
      </c>
    </row>
    <row r="1019" customFormat="false" ht="15.75" hidden="false" customHeight="false" outlineLevel="0" collapsed="false">
      <c r="A1019" s="4" t="s">
        <v>2010</v>
      </c>
      <c r="B1019" s="5" t="s">
        <v>2012</v>
      </c>
      <c r="C1019" s="5" t="s">
        <v>1784</v>
      </c>
      <c r="D1019" s="6"/>
      <c r="E1019" s="7" t="str">
        <f aca="false">IFERROR(__xludf.dummyfunction("lower(GOOGLETRANSLATE(B1019,""es"",""en""))"),"sabros @")</f>
        <v>sabros @</v>
      </c>
      <c r="F1019" s="7" t="str">
        <f aca="false">IFERROR(__xludf.dummyfunction("lower(GOOGLETRANSLATE(A1019,""en"",""es""))"),"delicioso")</f>
        <v>delicioso</v>
      </c>
      <c r="H1019" s="0" t="str">
        <f aca="false">A1019&amp;"|"&amp;B1019</f>
        <v>delicious|sabros@</v>
      </c>
    </row>
    <row r="1020" customFormat="false" ht="15.75" hidden="false" customHeight="false" outlineLevel="0" collapsed="false">
      <c r="A1020" s="4" t="s">
        <v>2013</v>
      </c>
      <c r="B1020" s="5" t="s">
        <v>2014</v>
      </c>
      <c r="C1020" s="5" t="s">
        <v>1784</v>
      </c>
      <c r="D1020" s="6"/>
      <c r="E1020" s="7" t="str">
        <f aca="false">IFERROR(__xludf.dummyfunction("lower(GOOGLETRANSLATE(B1020,""es"",""en""))"),"asqueros @")</f>
        <v>asqueros @</v>
      </c>
      <c r="F1020" s="7" t="str">
        <f aca="false">IFERROR(__xludf.dummyfunction("lower(GOOGLETRANSLATE(A1020,""en"",""es""))"),"repugnante")</f>
        <v>repugnante</v>
      </c>
      <c r="H1020" s="0" t="str">
        <f aca="false">A1020&amp;"|"&amp;B1020</f>
        <v>disgusting|asqueros@</v>
      </c>
    </row>
    <row r="1021" customFormat="false" ht="15.75" hidden="false" customHeight="false" outlineLevel="0" collapsed="false">
      <c r="A1021" s="4" t="s">
        <v>2015</v>
      </c>
      <c r="B1021" s="5" t="s">
        <v>2016</v>
      </c>
      <c r="C1021" s="5" t="s">
        <v>1784</v>
      </c>
      <c r="D1021" s="6"/>
      <c r="E1021" s="7" t="str">
        <f aca="false">IFERROR(__xludf.dummyfunction("lower(GOOGLETRANSLATE(B1021,""es"",""en""))"),"authentic ha @")</f>
        <v>authentic ha @</v>
      </c>
      <c r="F1021" s="7" t="str">
        <f aca="false">IFERROR(__xludf.dummyfunction("lower(GOOGLETRANSLATE(A1021,""en"",""es""))"),"auténtico")</f>
        <v>auténtico</v>
      </c>
      <c r="H1021" s="0" t="str">
        <f aca="false">A1021&amp;"|"&amp;B1021</f>
        <v>authentic|auténtic@</v>
      </c>
    </row>
    <row r="1022" customFormat="false" ht="15.75" hidden="false" customHeight="false" outlineLevel="0" collapsed="false">
      <c r="A1022" s="4" t="s">
        <v>2017</v>
      </c>
      <c r="B1022" s="5" t="s">
        <v>2018</v>
      </c>
      <c r="C1022" s="5" t="s">
        <v>1784</v>
      </c>
      <c r="D1022" s="6"/>
      <c r="E1022" s="7" t="str">
        <f aca="false">IFERROR(__xludf.dummyfunction("lower(GOOGLETRANSLATE(B1022,""es"",""en""))"),"i think so")</f>
        <v>i think so</v>
      </c>
      <c r="F1022" s="7" t="str">
        <f aca="false">IFERROR(__xludf.dummyfunction("lower(GOOGLETRANSLATE(A1022,""en"",""es""))"),"eso creo")</f>
        <v>eso creo</v>
      </c>
      <c r="H1022" s="0" t="str">
        <f aca="false">A1022&amp;"|"&amp;B1022</f>
        <v>i believe so|creo que sí</v>
      </c>
    </row>
    <row r="1023" customFormat="false" ht="15.75" hidden="false" customHeight="false" outlineLevel="0" collapsed="false">
      <c r="A1023" s="4" t="s">
        <v>2019</v>
      </c>
      <c r="B1023" s="5" t="s">
        <v>2020</v>
      </c>
      <c r="C1023" s="5" t="s">
        <v>1784</v>
      </c>
      <c r="D1023" s="6"/>
      <c r="E1023" s="7" t="str">
        <f aca="false">IFERROR(__xludf.dummyfunction("lower(GOOGLETRANSLATE(B1023,""es"",""en""))"),"i think not")</f>
        <v>i think not</v>
      </c>
      <c r="F1023" s="7" t="str">
        <f aca="false">IFERROR(__xludf.dummyfunction("lower(GOOGLETRANSLATE(A1023,""en"",""es""))"),"no lo creo")</f>
        <v>no lo creo</v>
      </c>
      <c r="H1023" s="0" t="str">
        <f aca="false">A1023&amp;"|"&amp;B1023</f>
        <v>i don't think so|creo que no</v>
      </c>
    </row>
    <row r="1024" customFormat="false" ht="15.75" hidden="false" customHeight="false" outlineLevel="0" collapsed="false">
      <c r="A1024" s="4" t="s">
        <v>2021</v>
      </c>
      <c r="B1024" s="5" t="s">
        <v>2022</v>
      </c>
      <c r="C1024" s="5" t="s">
        <v>1784</v>
      </c>
      <c r="D1024" s="6"/>
      <c r="E1024" s="7" t="str">
        <f aca="false">IFERROR(__xludf.dummyfunction("lower(GOOGLETRANSLATE(B1024,""es"",""en""))"),"!gross!")</f>
        <v>!gross!</v>
      </c>
      <c r="F1024" s="7" t="str">
        <f aca="false">IFERROR(__xludf.dummyfunction("lower(GOOGLETRANSLATE(A1024,""en"",""es""))"),"¡qué asco!")</f>
        <v>¡qué asco!</v>
      </c>
      <c r="H1024" s="0" t="str">
        <f aca="false">A1024&amp;"|"&amp;B1024</f>
        <v>how disgusting!|!qué asco!</v>
      </c>
    </row>
    <row r="1025" customFormat="false" ht="15.75" hidden="false" customHeight="false" outlineLevel="0" collapsed="false">
      <c r="A1025" s="4" t="s">
        <v>2023</v>
      </c>
      <c r="B1025" s="5" t="s">
        <v>2024</v>
      </c>
      <c r="C1025" s="5" t="s">
        <v>1784</v>
      </c>
      <c r="D1025" s="6"/>
      <c r="E1025" s="7" t="str">
        <f aca="false">IFERROR(__xludf.dummyfunction("lower(GOOGLETRANSLATE(B1025,""es"",""en""))"),"! quácala!")</f>
        <v>! quácala!</v>
      </c>
      <c r="F1025" s="7" t="str">
        <f aca="false">IFERROR(__xludf.dummyfunction("lower(GOOGLETRANSLATE(A1025,""en"",""es""))"),"puaj!")</f>
        <v>puaj!</v>
      </c>
      <c r="H1025" s="0" t="str">
        <f aca="false">A1025&amp;"|"&amp;B1025</f>
        <v>yuck!|!quácala!</v>
      </c>
    </row>
    <row r="1026" customFormat="false" ht="15.75" hidden="false" customHeight="false" outlineLevel="0" collapsed="false">
      <c r="A1026" s="4" t="s">
        <v>2025</v>
      </c>
      <c r="B1026" s="5" t="s">
        <v>2026</v>
      </c>
      <c r="C1026" s="5" t="s">
        <v>1784</v>
      </c>
      <c r="D1026" s="6"/>
      <c r="E1026" s="7" t="str">
        <f aca="false">IFERROR(__xludf.dummyfunction("lower(GOOGLETRANSLATE(B1026,""es"",""en""))"),"occasionally")</f>
        <v>occasionally</v>
      </c>
      <c r="F1026" s="7" t="str">
        <f aca="false">IFERROR(__xludf.dummyfunction("lower(GOOGLETRANSLATE(A1026,""en"",""es""))"),"de vez en cuando")</f>
        <v>de vez en cuando</v>
      </c>
      <c r="H1026" s="0" t="str">
        <f aca="false">A1026&amp;"|"&amp;B1026</f>
        <v>from time to time|de vez en cuando</v>
      </c>
    </row>
    <row r="1027" customFormat="false" ht="15.75" hidden="false" customHeight="false" outlineLevel="0" collapsed="false">
      <c r="A1027" s="4" t="s">
        <v>1765</v>
      </c>
      <c r="B1027" s="5" t="s">
        <v>1766</v>
      </c>
      <c r="C1027" s="5" t="s">
        <v>1784</v>
      </c>
      <c r="D1027" s="6"/>
      <c r="E1027" s="7" t="str">
        <f aca="false">IFERROR(__xludf.dummyfunction("lower(GOOGLETRANSLATE(B1027,""es"",""en""))"),"something")</f>
        <v>something</v>
      </c>
      <c r="F1027" s="7" t="str">
        <f aca="false">IFERROR(__xludf.dummyfunction("lower(GOOGLETRANSLATE(A1027,""en"",""es""))"),"alguna cosa")</f>
        <v>alguna cosa</v>
      </c>
      <c r="H1027" s="0" t="str">
        <f aca="false">A1027&amp;"|"&amp;B1027</f>
        <v>something|algo</v>
      </c>
    </row>
    <row r="1028" customFormat="false" ht="15.75" hidden="false" customHeight="false" outlineLevel="0" collapsed="false">
      <c r="A1028" s="4" t="s">
        <v>1767</v>
      </c>
      <c r="B1028" s="5" t="s">
        <v>1768</v>
      </c>
      <c r="C1028" s="5" t="s">
        <v>1784</v>
      </c>
      <c r="D1028" s="6"/>
      <c r="E1028" s="7" t="str">
        <f aca="false">IFERROR(__xludf.dummyfunction("lower(GOOGLETRANSLATE(B1028,""es"",""en""))"),"nothing")</f>
        <v>nothing</v>
      </c>
      <c r="F1028" s="7" t="str">
        <f aca="false">IFERROR(__xludf.dummyfunction("lower(GOOGLETRANSLATE(A1028,""en"",""es""))"),"nada")</f>
        <v>nada</v>
      </c>
      <c r="H1028" s="0" t="str">
        <f aca="false">A1028&amp;"|"&amp;B1028</f>
        <v>nothing|nada</v>
      </c>
    </row>
    <row r="1029" customFormat="false" ht="15.75" hidden="false" customHeight="false" outlineLevel="0" collapsed="false">
      <c r="A1029" s="4" t="s">
        <v>2027</v>
      </c>
      <c r="B1029" s="5" t="s">
        <v>2028</v>
      </c>
      <c r="C1029" s="5" t="s">
        <v>1784</v>
      </c>
      <c r="D1029" s="6"/>
      <c r="E1029" s="7" t="str">
        <f aca="false">IFERROR(__xludf.dummyfunction("lower(GOOGLETRANSLATE(B1029,""es"",""en""))"),"some(@)")</f>
        <v>some(@)</v>
      </c>
      <c r="F1029" s="7" t="str">
        <f aca="false">IFERROR(__xludf.dummyfunction("lower(GOOGLETRANSLATE(A1029,""en"",""es""))"),"algunos")</f>
        <v>algunos</v>
      </c>
      <c r="H1029" s="0" t="str">
        <f aca="false">A1029&amp;"|"&amp;B1029</f>
        <v>some|algun(@)</v>
      </c>
    </row>
    <row r="1030" customFormat="false" ht="15.75" hidden="false" customHeight="false" outlineLevel="0" collapsed="false">
      <c r="A1030" s="4" t="s">
        <v>2029</v>
      </c>
      <c r="B1030" s="5" t="s">
        <v>2030</v>
      </c>
      <c r="C1030" s="5" t="s">
        <v>1784</v>
      </c>
      <c r="D1030" s="6"/>
      <c r="E1030" s="7" t="str">
        <f aca="false">IFERROR(__xludf.dummyfunction("lower(GOOGLETRANSLATE(B1030,""es"",""en""))"),"product (@)")</f>
        <v>product (@)</v>
      </c>
      <c r="F1030" s="7" t="str">
        <f aca="false">IFERROR(__xludf.dummyfunction("lower(GOOGLETRANSLATE(A1030,""en"",""es""))"),"ninguna")</f>
        <v>ninguna</v>
      </c>
      <c r="H1030" s="0" t="str">
        <f aca="false">A1030&amp;"|"&amp;B1030</f>
        <v>none|ningun(@)</v>
      </c>
    </row>
    <row r="1031" customFormat="false" ht="15.75" hidden="false" customHeight="false" outlineLevel="0" collapsed="false">
      <c r="A1031" s="4" t="s">
        <v>2031</v>
      </c>
      <c r="B1031" s="5" t="s">
        <v>2032</v>
      </c>
      <c r="C1031" s="5" t="s">
        <v>1784</v>
      </c>
      <c r="D1031" s="6"/>
      <c r="E1031" s="7" t="str">
        <f aca="false">IFERROR(__xludf.dummyfunction("lower(GOOGLETRANSLATE(B1031,""es"",""en""))"),"the experience")</f>
        <v>the experience</v>
      </c>
      <c r="F1031" s="7" t="str">
        <f aca="false">IFERROR(__xludf.dummyfunction("lower(GOOGLETRANSLATE(A1031,""en"",""es""))"),"la experiencia")</f>
        <v>la experiencia</v>
      </c>
      <c r="H1031" s="0" t="str">
        <f aca="false">A1031&amp;"|"&amp;B1031</f>
        <v>the experience|la experiencia</v>
      </c>
    </row>
    <row r="1032" customFormat="false" ht="15.75" hidden="false" customHeight="false" outlineLevel="0" collapsed="false">
      <c r="A1032" s="4" t="s">
        <v>2033</v>
      </c>
      <c r="B1032" s="5" t="s">
        <v>2034</v>
      </c>
      <c r="C1032" s="5" t="s">
        <v>1784</v>
      </c>
      <c r="D1032" s="6"/>
      <c r="E1032" s="7" t="str">
        <f aca="false">IFERROR(__xludf.dummyfunction("lower(GOOGLETRANSLATE(B1032,""es"",""en""))"),"both")</f>
        <v>both</v>
      </c>
      <c r="F1032" s="7" t="str">
        <f aca="false">IFERROR(__xludf.dummyfunction("lower(GOOGLETRANSLATE(A1032,""en"",""es""))"),"ambos")</f>
        <v>ambos</v>
      </c>
      <c r="H1032" s="0" t="str">
        <f aca="false">A1032&amp;"|"&amp;B1032</f>
        <v>both|los dos</v>
      </c>
    </row>
    <row r="1033" customFormat="false" ht="15.75" hidden="false" customHeight="false" outlineLevel="0" collapsed="false">
      <c r="A1033" s="4" t="s">
        <v>2035</v>
      </c>
      <c r="B1033" s="5" t="s">
        <v>2036</v>
      </c>
      <c r="C1033" s="5" t="s">
        <v>1784</v>
      </c>
      <c r="D1033" s="6"/>
      <c r="E1033" s="7" t="str">
        <f aca="false">IFERROR(__xludf.dummyfunction("lower(GOOGLETRANSLATE(B1033,""es"",""en""))"),"to be hungry")</f>
        <v>to be hungry</v>
      </c>
      <c r="F1033" s="7" t="str">
        <f aca="false">IFERROR(__xludf.dummyfunction("lower(GOOGLETRANSLATE(A1033,""en"",""es""))"),"ser (tener) hambre")</f>
        <v>ser (tener) hambre</v>
      </c>
      <c r="H1033" s="0" t="str">
        <f aca="false">A1033&amp;"|"&amp;B1033</f>
        <v>to be (have) hungry|tener hambre</v>
      </c>
    </row>
    <row r="1034" customFormat="false" ht="15.75" hidden="false" customHeight="false" outlineLevel="0" collapsed="false">
      <c r="A1034" s="4" t="s">
        <v>2037</v>
      </c>
      <c r="B1034" s="5" t="s">
        <v>2038</v>
      </c>
      <c r="C1034" s="5" t="s">
        <v>1784</v>
      </c>
      <c r="D1034" s="6"/>
      <c r="E1034" s="7" t="str">
        <f aca="false">IFERROR(__xludf.dummyfunction("lower(GOOGLETRANSLATE(B1034,""es"",""en""))"),"be thirsty")</f>
        <v>be thirsty</v>
      </c>
      <c r="F1034" s="7" t="str">
        <f aca="false">IFERROR(__xludf.dummyfunction("lower(GOOGLETRANSLATE(A1034,""en"",""es""))"),"ser (tienen) sediento")</f>
        <v>ser (tienen) sediento</v>
      </c>
      <c r="H1034" s="0" t="str">
        <f aca="false">A1034&amp;"|"&amp;B1034</f>
        <v>to be (have) thirsty|tener sed</v>
      </c>
    </row>
    <row r="1035" customFormat="false" ht="15.75" hidden="false" customHeight="false" outlineLevel="0" collapsed="false">
      <c r="A1035" s="4" t="s">
        <v>2039</v>
      </c>
      <c r="B1035" s="5" t="s">
        <v>2040</v>
      </c>
      <c r="C1035" s="5" t="s">
        <v>2041</v>
      </c>
      <c r="D1035" s="6"/>
      <c r="E1035" s="7" t="str">
        <f aca="false">IFERROR(__xludf.dummyfunction("lower(GOOGLETRANSLATE(B1035,""es"",""en""))"),"the family")</f>
        <v>the family</v>
      </c>
      <c r="F1035" s="7" t="str">
        <f aca="false">IFERROR(__xludf.dummyfunction("lower(GOOGLETRANSLATE(A1035,""en"",""es""))"),"la familia")</f>
        <v>la familia</v>
      </c>
      <c r="H1035" s="0" t="str">
        <f aca="false">A1035&amp;"|"&amp;B1035</f>
        <v>the family|la familia</v>
      </c>
    </row>
    <row r="1036" customFormat="false" ht="15.75" hidden="false" customHeight="false" outlineLevel="0" collapsed="false">
      <c r="A1036" s="4" t="s">
        <v>2042</v>
      </c>
      <c r="B1036" s="5" t="s">
        <v>2043</v>
      </c>
      <c r="C1036" s="5" t="s">
        <v>2041</v>
      </c>
      <c r="D1036" s="6"/>
      <c r="E1036" s="7" t="str">
        <f aca="false">IFERROR(__xludf.dummyfunction("lower(GOOGLETRANSLATE(B1036,""es"",""en""))"),"the grandparents")</f>
        <v>the grandparents</v>
      </c>
      <c r="F1036" s="7" t="str">
        <f aca="false">IFERROR(__xludf.dummyfunction("lower(GOOGLETRANSLATE(A1036,""en"",""es""))"),"los abuelos")</f>
        <v>los abuelos</v>
      </c>
      <c r="H1036" s="0" t="str">
        <f aca="false">A1036&amp;"|"&amp;B1036</f>
        <v>the grand parents|los abuelos</v>
      </c>
    </row>
    <row r="1037" customFormat="false" ht="15.75" hidden="false" customHeight="false" outlineLevel="0" collapsed="false">
      <c r="A1037" s="4" t="s">
        <v>2044</v>
      </c>
      <c r="B1037" s="5" t="s">
        <v>2045</v>
      </c>
      <c r="C1037" s="5" t="s">
        <v>2041</v>
      </c>
      <c r="D1037" s="6"/>
      <c r="E1037" s="7" t="str">
        <f aca="false">IFERROR(__xludf.dummyfunction("lower(GOOGLETRANSLATE(B1037,""es"",""en""))"),"grandpa")</f>
        <v>grandpa</v>
      </c>
      <c r="F1037" s="7" t="str">
        <f aca="false">IFERROR(__xludf.dummyfunction("lower(GOOGLETRANSLATE(A1037,""en"",""es""))"),"el abuelo")</f>
        <v>el abuelo</v>
      </c>
      <c r="H1037" s="0" t="str">
        <f aca="false">A1037&amp;"|"&amp;B1037</f>
        <v>the grandpa|el abuelo</v>
      </c>
    </row>
    <row r="1038" customFormat="false" ht="15.75" hidden="false" customHeight="false" outlineLevel="0" collapsed="false">
      <c r="A1038" s="4" t="s">
        <v>2046</v>
      </c>
      <c r="B1038" s="5" t="s">
        <v>2047</v>
      </c>
      <c r="C1038" s="5" t="s">
        <v>2041</v>
      </c>
      <c r="D1038" s="6"/>
      <c r="E1038" s="7" t="str">
        <f aca="false">IFERROR(__xludf.dummyfunction("lower(GOOGLETRANSLATE(B1038,""es"",""en""))"),"the abuala")</f>
        <v>the abuala</v>
      </c>
      <c r="F1038" s="7" t="str">
        <f aca="false">IFERROR(__xludf.dummyfunction("lower(GOOGLETRANSLATE(A1038,""en"",""es""))"),"la abuela")</f>
        <v>la abuela</v>
      </c>
      <c r="H1038" s="0" t="str">
        <f aca="false">A1038&amp;"|"&amp;B1038</f>
        <v>the grandma|la abuala</v>
      </c>
    </row>
    <row r="1039" customFormat="false" ht="15.75" hidden="false" customHeight="false" outlineLevel="0" collapsed="false">
      <c r="A1039" s="4" t="s">
        <v>2048</v>
      </c>
      <c r="B1039" s="5" t="s">
        <v>2049</v>
      </c>
      <c r="C1039" s="5" t="s">
        <v>2041</v>
      </c>
      <c r="D1039" s="6"/>
      <c r="E1039" s="7" t="str">
        <f aca="false">IFERROR(__xludf.dummyfunction("lower(GOOGLETRANSLATE(B1039,""es"",""en""))"),"brothers")</f>
        <v>brothers</v>
      </c>
      <c r="F1039" s="7" t="str">
        <f aca="false">IFERROR(__xludf.dummyfunction("lower(GOOGLETRANSLATE(A1039,""en"",""es""))"),"los hermanos")</f>
        <v>los hermanos</v>
      </c>
      <c r="H1039" s="0" t="str">
        <f aca="false">A1039&amp;"|"&amp;B1039</f>
        <v>the siblings|los hermanos</v>
      </c>
    </row>
    <row r="1040" customFormat="false" ht="15.75" hidden="false" customHeight="false" outlineLevel="0" collapsed="false">
      <c r="A1040" s="4" t="s">
        <v>2050</v>
      </c>
      <c r="B1040" s="5" t="s">
        <v>2051</v>
      </c>
      <c r="C1040" s="5" t="s">
        <v>2041</v>
      </c>
      <c r="D1040" s="6"/>
      <c r="E1040" s="7" t="str">
        <f aca="false">IFERROR(__xludf.dummyfunction("lower(GOOGLETRANSLATE(B1040,""es"",""en""))"),"the brother")</f>
        <v>the brother</v>
      </c>
      <c r="F1040" s="7" t="str">
        <f aca="false">IFERROR(__xludf.dummyfunction("lower(GOOGLETRANSLATE(A1040,""en"",""es""))"),"el hermano")</f>
        <v>el hermano</v>
      </c>
      <c r="H1040" s="0" t="str">
        <f aca="false">A1040&amp;"|"&amp;B1040</f>
        <v>the brother|el hermano</v>
      </c>
    </row>
    <row r="1041" customFormat="false" ht="15.75" hidden="false" customHeight="false" outlineLevel="0" collapsed="false">
      <c r="A1041" s="4" t="s">
        <v>2052</v>
      </c>
      <c r="B1041" s="5" t="s">
        <v>2053</v>
      </c>
      <c r="C1041" s="5" t="s">
        <v>2041</v>
      </c>
      <c r="D1041" s="6"/>
      <c r="E1041" s="7" t="str">
        <f aca="false">IFERROR(__xludf.dummyfunction("lower(GOOGLETRANSLATE(B1041,""es"",""en""))"),"sister")</f>
        <v>sister</v>
      </c>
      <c r="F1041" s="7" t="str">
        <f aca="false">IFERROR(__xludf.dummyfunction("lower(GOOGLETRANSLATE(A1041,""en"",""es""))"),"la hermana")</f>
        <v>la hermana</v>
      </c>
      <c r="H1041" s="0" t="str">
        <f aca="false">A1041&amp;"|"&amp;B1041</f>
        <v>the sister|la hermana</v>
      </c>
    </row>
    <row r="1042" customFormat="false" ht="15.75" hidden="false" customHeight="false" outlineLevel="0" collapsed="false">
      <c r="A1042" s="4" t="s">
        <v>2054</v>
      </c>
      <c r="B1042" s="5" t="s">
        <v>2055</v>
      </c>
      <c r="C1042" s="5" t="s">
        <v>2041</v>
      </c>
      <c r="D1042" s="6"/>
      <c r="E1042" s="7" t="str">
        <f aca="false">IFERROR(__xludf.dummyfunction("lower(GOOGLETRANSLATE(B1042,""es"",""en""))"),"children")</f>
        <v>children</v>
      </c>
      <c r="F1042" s="7" t="str">
        <f aca="false">IFERROR(__xludf.dummyfunction("lower(GOOGLETRANSLATE(A1042,""en"",""es""))"),"los niños")</f>
        <v>los niños</v>
      </c>
      <c r="H1042" s="0" t="str">
        <f aca="false">A1042&amp;"|"&amp;B1042</f>
        <v>the children|los hijos</v>
      </c>
    </row>
    <row r="1043" customFormat="false" ht="15.75" hidden="false" customHeight="false" outlineLevel="0" collapsed="false">
      <c r="A1043" s="4" t="s">
        <v>2056</v>
      </c>
      <c r="B1043" s="5" t="s">
        <v>2057</v>
      </c>
      <c r="C1043" s="5" t="s">
        <v>2041</v>
      </c>
      <c r="D1043" s="6"/>
      <c r="E1043" s="7" t="str">
        <f aca="false">IFERROR(__xludf.dummyfunction("lower(GOOGLETRANSLATE(B1043,""es"",""en""))"),"the son")</f>
        <v>the son</v>
      </c>
      <c r="F1043" s="7" t="str">
        <f aca="false">IFERROR(__xludf.dummyfunction("lower(GOOGLETRANSLATE(A1043,""en"",""es""))"),"el hijo")</f>
        <v>el hijo</v>
      </c>
      <c r="H1043" s="0" t="str">
        <f aca="false">A1043&amp;"|"&amp;B1043</f>
        <v>the son|el hijo</v>
      </c>
    </row>
    <row r="1044" customFormat="false" ht="15.75" hidden="false" customHeight="false" outlineLevel="0" collapsed="false">
      <c r="A1044" s="4" t="s">
        <v>2058</v>
      </c>
      <c r="B1044" s="5" t="s">
        <v>2059</v>
      </c>
      <c r="C1044" s="5" t="s">
        <v>2041</v>
      </c>
      <c r="D1044" s="6"/>
      <c r="E1044" s="7" t="str">
        <f aca="false">IFERROR(__xludf.dummyfunction("lower(GOOGLETRANSLATE(B1044,""es"",""en""))"),"the daughter")</f>
        <v>the daughter</v>
      </c>
      <c r="F1044" s="7" t="str">
        <f aca="false">IFERROR(__xludf.dummyfunction("lower(GOOGLETRANSLATE(A1044,""en"",""es""))"),"la hija")</f>
        <v>la hija</v>
      </c>
      <c r="H1044" s="0" t="str">
        <f aca="false">A1044&amp;"|"&amp;B1044</f>
        <v>the daughter|la hija</v>
      </c>
    </row>
    <row r="1045" customFormat="false" ht="15.75" hidden="false" customHeight="false" outlineLevel="0" collapsed="false">
      <c r="A1045" s="4" t="s">
        <v>2060</v>
      </c>
      <c r="B1045" s="5" t="s">
        <v>2061</v>
      </c>
      <c r="C1045" s="5" t="s">
        <v>2041</v>
      </c>
      <c r="D1045" s="6"/>
      <c r="E1045" s="7" t="str">
        <f aca="false">IFERROR(__xludf.dummyfunction("lower(GOOGLETRANSLATE(B1045,""es"",""en""))"),"the grandsons")</f>
        <v>the grandsons</v>
      </c>
      <c r="F1045" s="7" t="str">
        <f aca="false">IFERROR(__xludf.dummyfunction("lower(GOOGLETRANSLATE(A1045,""en"",""es""))"),"los nietos")</f>
        <v>los nietos</v>
      </c>
      <c r="H1045" s="0" t="str">
        <f aca="false">A1045&amp;"|"&amp;B1045</f>
        <v>the grand children|los nietos</v>
      </c>
    </row>
    <row r="1046" customFormat="false" ht="15.75" hidden="false" customHeight="false" outlineLevel="0" collapsed="false">
      <c r="A1046" s="4" t="s">
        <v>2062</v>
      </c>
      <c r="B1046" s="5" t="s">
        <v>2063</v>
      </c>
      <c r="C1046" s="5" t="s">
        <v>2041</v>
      </c>
      <c r="D1046" s="6"/>
      <c r="E1046" s="7" t="str">
        <f aca="false">IFERROR(__xludf.dummyfunction("lower(GOOGLETRANSLATE(B1046,""es"",""en""))"),"the grandson")</f>
        <v>the grandson</v>
      </c>
      <c r="F1046" s="7" t="str">
        <f aca="false">IFERROR(__xludf.dummyfunction("lower(GOOGLETRANSLATE(A1046,""en"",""es""))"),"el nieto")</f>
        <v>el nieto</v>
      </c>
      <c r="H1046" s="0" t="str">
        <f aca="false">A1046&amp;"|"&amp;B1046</f>
        <v>the grandson|el nieto</v>
      </c>
    </row>
    <row r="1047" customFormat="false" ht="15.75" hidden="false" customHeight="false" outlineLevel="0" collapsed="false">
      <c r="A1047" s="4" t="s">
        <v>2064</v>
      </c>
      <c r="B1047" s="5" t="s">
        <v>2065</v>
      </c>
      <c r="C1047" s="5" t="s">
        <v>2041</v>
      </c>
      <c r="D1047" s="6"/>
      <c r="E1047" s="7" t="str">
        <f aca="false">IFERROR(__xludf.dummyfunction("lower(GOOGLETRANSLATE(B1047,""es"",""en""))"),"the granddaughter")</f>
        <v>the granddaughter</v>
      </c>
      <c r="F1047" s="7" t="str">
        <f aca="false">IFERROR(__xludf.dummyfunction("lower(GOOGLETRANSLATE(A1047,""en"",""es""))"),"la nieta")</f>
        <v>la nieta</v>
      </c>
      <c r="H1047" s="0" t="str">
        <f aca="false">A1047&amp;"|"&amp;B1047</f>
        <v>the granddaughter|la nieta</v>
      </c>
    </row>
    <row r="1048" customFormat="false" ht="15.75" hidden="false" customHeight="false" outlineLevel="0" collapsed="false">
      <c r="A1048" s="4" t="s">
        <v>2066</v>
      </c>
      <c r="B1048" s="5" t="s">
        <v>2067</v>
      </c>
      <c r="C1048" s="5" t="s">
        <v>2041</v>
      </c>
      <c r="D1048" s="6"/>
      <c r="E1048" s="7" t="str">
        <f aca="false">IFERROR(__xludf.dummyfunction("lower(GOOGLETRANSLATE(B1048,""es"",""en""))"),"parents")</f>
        <v>parents</v>
      </c>
      <c r="F1048" s="7" t="str">
        <f aca="false">IFERROR(__xludf.dummyfunction("lower(GOOGLETRANSLATE(A1048,""en"",""es""))"),"los padres")</f>
        <v>los padres</v>
      </c>
      <c r="H1048" s="0" t="str">
        <f aca="false">A1048&amp;"|"&amp;B1048</f>
        <v>the parents|los padres</v>
      </c>
    </row>
    <row r="1049" customFormat="false" ht="15.75" hidden="false" customHeight="false" outlineLevel="0" collapsed="false">
      <c r="A1049" s="4" t="s">
        <v>2068</v>
      </c>
      <c r="B1049" s="5" t="s">
        <v>2069</v>
      </c>
      <c r="C1049" s="5" t="s">
        <v>2041</v>
      </c>
      <c r="D1049" s="6"/>
      <c r="E1049" s="7" t="str">
        <f aca="false">IFERROR(__xludf.dummyfunction("lower(GOOGLETRANSLATE(B1049,""es"",""en""))"),"the father")</f>
        <v>the father</v>
      </c>
      <c r="F1049" s="7" t="str">
        <f aca="false">IFERROR(__xludf.dummyfunction("lower(GOOGLETRANSLATE(A1049,""en"",""es""))"),"el padre")</f>
        <v>el padre</v>
      </c>
      <c r="H1049" s="0" t="str">
        <f aca="false">A1049&amp;"|"&amp;B1049</f>
        <v>the father|el padre</v>
      </c>
    </row>
    <row r="1050" customFormat="false" ht="15.75" hidden="false" customHeight="false" outlineLevel="0" collapsed="false">
      <c r="A1050" s="4" t="s">
        <v>2070</v>
      </c>
      <c r="B1050" s="5" t="s">
        <v>2071</v>
      </c>
      <c r="C1050" s="5" t="s">
        <v>2041</v>
      </c>
      <c r="D1050" s="6"/>
      <c r="E1050" s="7" t="str">
        <f aca="false">IFERROR(__xludf.dummyfunction("lower(GOOGLETRANSLATE(B1050,""es"",""en""))"),"mother")</f>
        <v>mother</v>
      </c>
      <c r="F1050" s="7" t="str">
        <f aca="false">IFERROR(__xludf.dummyfunction("lower(GOOGLETRANSLATE(A1050,""en"",""es""))"),"la madre")</f>
        <v>la madre</v>
      </c>
      <c r="H1050" s="0" t="str">
        <f aca="false">A1050&amp;"|"&amp;B1050</f>
        <v>the mother|la madre</v>
      </c>
    </row>
    <row r="1051" customFormat="false" ht="15.75" hidden="false" customHeight="false" outlineLevel="0" collapsed="false">
      <c r="A1051" s="4" t="s">
        <v>2072</v>
      </c>
      <c r="B1051" s="5" t="s">
        <v>2073</v>
      </c>
      <c r="C1051" s="5" t="s">
        <v>2041</v>
      </c>
      <c r="D1051" s="6"/>
      <c r="E1051" s="7" t="str">
        <f aca="false">IFERROR(__xludf.dummyfunction("lower(GOOGLETRANSLATE(B1051,""es"",""en""))"),"the cousins")</f>
        <v>the cousins</v>
      </c>
      <c r="F1051" s="7" t="str">
        <f aca="false">IFERROR(__xludf.dummyfunction("lower(GOOGLETRANSLATE(A1051,""en"",""es""))"),"los primos")</f>
        <v>los primos</v>
      </c>
      <c r="H1051" s="0" t="str">
        <f aca="false">A1051&amp;"|"&amp;B1051</f>
        <v>the cousins|los primos</v>
      </c>
    </row>
    <row r="1052" customFormat="false" ht="15.75" hidden="false" customHeight="false" outlineLevel="0" collapsed="false">
      <c r="A1052" s="4" t="s">
        <v>2074</v>
      </c>
      <c r="B1052" s="5" t="s">
        <v>2075</v>
      </c>
      <c r="C1052" s="5" t="s">
        <v>2041</v>
      </c>
      <c r="D1052" s="6"/>
      <c r="E1052" s="7" t="str">
        <f aca="false">IFERROR(__xludf.dummyfunction("lower(GOOGLETRANSLATE(B1052,""es"",""en""))"),"the cousin")</f>
        <v>the cousin</v>
      </c>
      <c r="F1052" s="7" t="str">
        <f aca="false">IFERROR(__xludf.dummyfunction("lower(GOOGLETRANSLATE(A1052,""en"",""es""))"),"el primo (m)")</f>
        <v>el primo (m)</v>
      </c>
      <c r="H1052" s="0" t="str">
        <f aca="false">A1052&amp;"|"&amp;B1052</f>
        <v>the cousin (m)|el primo</v>
      </c>
    </row>
    <row r="1053" customFormat="false" ht="15.75" hidden="false" customHeight="false" outlineLevel="0" collapsed="false">
      <c r="A1053" s="4" t="s">
        <v>2076</v>
      </c>
      <c r="B1053" s="5" t="s">
        <v>2077</v>
      </c>
      <c r="C1053" s="5" t="s">
        <v>2041</v>
      </c>
      <c r="D1053" s="6"/>
      <c r="E1053" s="7" t="str">
        <f aca="false">IFERROR(__xludf.dummyfunction("lower(GOOGLETRANSLATE(B1053,""es"",""en""))"),"the cousin")</f>
        <v>the cousin</v>
      </c>
      <c r="F1053" s="7" t="str">
        <f aca="false">IFERROR(__xludf.dummyfunction("lower(GOOGLETRANSLATE(A1053,""en"",""es""))"),"el primo (f)")</f>
        <v>el primo (f)</v>
      </c>
      <c r="H1053" s="0" t="str">
        <f aca="false">A1053&amp;"|"&amp;B1053</f>
        <v>the cousin (f)|la prima</v>
      </c>
    </row>
    <row r="1054" customFormat="false" ht="15.75" hidden="false" customHeight="false" outlineLevel="0" collapsed="false">
      <c r="A1054" s="4" t="s">
        <v>2078</v>
      </c>
      <c r="B1054" s="5" t="s">
        <v>2079</v>
      </c>
      <c r="C1054" s="5" t="s">
        <v>2041</v>
      </c>
      <c r="D1054" s="6"/>
      <c r="E1054" s="7" t="str">
        <f aca="false">IFERROR(__xludf.dummyfunction("lower(GOOGLETRANSLATE(B1054,""es"",""en""))"),"the guys")</f>
        <v>the guys</v>
      </c>
      <c r="F1054" s="7" t="str">
        <f aca="false">IFERROR(__xludf.dummyfunction("lower(GOOGLETRANSLATE(A1054,""en"",""es""))"),"los tíos")</f>
        <v>los tíos</v>
      </c>
      <c r="H1054" s="0" t="str">
        <f aca="false">A1054&amp;"|"&amp;B1054</f>
        <v>the aunts and uncles|los tíos</v>
      </c>
    </row>
    <row r="1055" customFormat="false" ht="15.75" hidden="false" customHeight="false" outlineLevel="0" collapsed="false">
      <c r="A1055" s="4" t="s">
        <v>2080</v>
      </c>
      <c r="B1055" s="5" t="s">
        <v>2081</v>
      </c>
      <c r="C1055" s="5" t="s">
        <v>2041</v>
      </c>
      <c r="D1055" s="6"/>
      <c r="E1055" s="7" t="str">
        <f aca="false">IFERROR(__xludf.dummyfunction("lower(GOOGLETRANSLATE(B1055,""es"",""en""))"),"the uncle")</f>
        <v>the uncle</v>
      </c>
      <c r="F1055" s="7" t="str">
        <f aca="false">IFERROR(__xludf.dummyfunction("lower(GOOGLETRANSLATE(A1055,""en"",""es""))"),"el tío")</f>
        <v>el tío</v>
      </c>
      <c r="H1055" s="0" t="str">
        <f aca="false">A1055&amp;"|"&amp;B1055</f>
        <v>the uncle|el tío</v>
      </c>
    </row>
    <row r="1056" customFormat="false" ht="15.75" hidden="false" customHeight="false" outlineLevel="0" collapsed="false">
      <c r="A1056" s="4" t="s">
        <v>2082</v>
      </c>
      <c r="B1056" s="5" t="s">
        <v>2083</v>
      </c>
      <c r="C1056" s="5" t="s">
        <v>2041</v>
      </c>
      <c r="D1056" s="6"/>
      <c r="E1056" s="7" t="str">
        <f aca="false">IFERROR(__xludf.dummyfunction("lower(GOOGLETRANSLATE(B1056,""es"",""en""))"),"the aunt")</f>
        <v>the aunt</v>
      </c>
      <c r="F1056" s="7" t="str">
        <f aca="false">IFERROR(__xludf.dummyfunction("lower(GOOGLETRANSLATE(A1056,""en"",""es""))"),"la tía")</f>
        <v>la tía</v>
      </c>
      <c r="H1056" s="0" t="str">
        <f aca="false">A1056&amp;"|"&amp;B1056</f>
        <v>the aunt|la tía</v>
      </c>
    </row>
    <row r="1057" customFormat="false" ht="15.75" hidden="false" customHeight="false" outlineLevel="0" collapsed="false">
      <c r="A1057" s="4" t="s">
        <v>2084</v>
      </c>
      <c r="B1057" s="5" t="s">
        <v>2085</v>
      </c>
      <c r="C1057" s="5" t="s">
        <v>2041</v>
      </c>
      <c r="D1057" s="6"/>
      <c r="E1057" s="7" t="str">
        <f aca="false">IFERROR(__xludf.dummyfunction("lower(GOOGLETRANSLATE(B1057,""es"",""en""))"),"the / the hij @ únic @")</f>
        <v>the / the hij @ únic @</v>
      </c>
      <c r="F1057" s="7" t="str">
        <f aca="false">IFERROR(__xludf.dummyfunction("lower(GOOGLETRANSLATE(A1057,""en"",""es""))"),"el hijo único")</f>
        <v>el hijo único</v>
      </c>
      <c r="H1057" s="0" t="str">
        <f aca="false">A1057&amp;"|"&amp;B1057</f>
        <v>the only child|el/la hij@ únic@</v>
      </c>
    </row>
    <row r="1058" customFormat="false" ht="15.75" hidden="false" customHeight="false" outlineLevel="0" collapsed="false">
      <c r="A1058" s="4" t="s">
        <v>2086</v>
      </c>
      <c r="B1058" s="5" t="s">
        <v>2087</v>
      </c>
      <c r="C1058" s="5" t="s">
        <v>2041</v>
      </c>
      <c r="D1058" s="6"/>
      <c r="E1058" s="7" t="str">
        <f aca="false">IFERROR(__xludf.dummyfunction("lower(GOOGLETRANSLATE(B1058,""es"",""en""))"),"twin / twin")</f>
        <v>twin / twin</v>
      </c>
      <c r="F1058" s="7" t="str">
        <f aca="false">IFERROR(__xludf.dummyfunction("lower(GOOGLETRANSLATE(A1058,""en"",""es""))"),"los gemelos")</f>
        <v>los gemelos</v>
      </c>
      <c r="H1058" s="0" t="str">
        <f aca="false">A1058&amp;"|"&amp;B1058</f>
        <v>the twins|los gemelos/las gemelas</v>
      </c>
    </row>
    <row r="1059" customFormat="false" ht="15.75" hidden="false" customHeight="false" outlineLevel="0" collapsed="false">
      <c r="A1059" s="4" t="s">
        <v>2088</v>
      </c>
      <c r="B1059" s="5" t="s">
        <v>2089</v>
      </c>
      <c r="C1059" s="5" t="s">
        <v>2090</v>
      </c>
      <c r="D1059" s="6"/>
      <c r="E1059" s="7" t="str">
        <f aca="false">IFERROR(__xludf.dummyfunction("lower(GOOGLETRANSLATE(B1059,""es"",""en""))"),"alt @")</f>
        <v>alt @</v>
      </c>
      <c r="F1059" s="7" t="str">
        <f aca="false">IFERROR(__xludf.dummyfunction("lower(GOOGLETRANSLATE(A1059,""en"",""es""))"),"alto")</f>
        <v>alto</v>
      </c>
      <c r="H1059" s="0" t="str">
        <f aca="false">A1059&amp;"|"&amp;B1059</f>
        <v>tall|alt@</v>
      </c>
    </row>
    <row r="1060" customFormat="false" ht="15.75" hidden="false" customHeight="false" outlineLevel="0" collapsed="false">
      <c r="A1060" s="4" t="s">
        <v>2091</v>
      </c>
      <c r="B1060" s="5" t="s">
        <v>2092</v>
      </c>
      <c r="C1060" s="5" t="s">
        <v>2090</v>
      </c>
      <c r="D1060" s="6"/>
      <c r="E1060" s="7" t="str">
        <f aca="false">IFERROR(__xludf.dummyfunction("lower(GOOGLETRANSLATE(B1060,""es"",""en""))"),"antipátic @")</f>
        <v>antipátic @</v>
      </c>
      <c r="F1060" s="7" t="str">
        <f aca="false">IFERROR(__xludf.dummyfunction("lower(GOOGLETRANSLATE(A1060,""en"",""es""))"),"media")</f>
        <v>media</v>
      </c>
      <c r="H1060" s="0" t="str">
        <f aca="false">A1060&amp;"|"&amp;B1060</f>
        <v>mean|antipátic@</v>
      </c>
    </row>
    <row r="1061" customFormat="false" ht="15.75" hidden="false" customHeight="false" outlineLevel="0" collapsed="false">
      <c r="A1061" s="4" t="s">
        <v>2093</v>
      </c>
      <c r="B1061" s="5" t="s">
        <v>2094</v>
      </c>
      <c r="C1061" s="5" t="s">
        <v>2090</v>
      </c>
      <c r="D1061" s="6"/>
      <c r="E1061" s="7" t="str">
        <f aca="false">IFERROR(__xludf.dummyfunction("lower(GOOGLETRANSLATE(B1061,""es"",""en""))"),"baj @")</f>
        <v>baj @</v>
      </c>
      <c r="F1061" s="7" t="str">
        <f aca="false">IFERROR(__xludf.dummyfunction("lower(GOOGLETRANSLATE(A1061,""en"",""es""))"),"corto")</f>
        <v>corto</v>
      </c>
      <c r="H1061" s="0" t="str">
        <f aca="false">A1061&amp;"|"&amp;B1061</f>
        <v>short|baj@</v>
      </c>
    </row>
    <row r="1062" customFormat="false" ht="15.75" hidden="false" customHeight="false" outlineLevel="0" collapsed="false">
      <c r="A1062" s="4" t="s">
        <v>2095</v>
      </c>
      <c r="B1062" s="5" t="s">
        <v>2096</v>
      </c>
      <c r="C1062" s="5" t="s">
        <v>2090</v>
      </c>
      <c r="D1062" s="6"/>
      <c r="E1062" s="7" t="str">
        <f aca="false">IFERROR(__xludf.dummyfunction("lower(GOOGLETRANSLATE(B1062,""es"",""en""))"),"bonit @")</f>
        <v>bonit @</v>
      </c>
      <c r="F1062" s="7" t="str">
        <f aca="false">IFERROR(__xludf.dummyfunction("lower(GOOGLETRANSLATE(A1062,""en"",""es""))"),"bonita")</f>
        <v>bonita</v>
      </c>
      <c r="H1062" s="0" t="str">
        <f aca="false">A1062&amp;"|"&amp;B1062</f>
        <v>pretty|bonit@</v>
      </c>
    </row>
    <row r="1063" customFormat="false" ht="15.75" hidden="false" customHeight="false" outlineLevel="0" collapsed="false">
      <c r="A1063" s="4" t="s">
        <v>2097</v>
      </c>
      <c r="B1063" s="5" t="s">
        <v>2098</v>
      </c>
      <c r="C1063" s="5" t="s">
        <v>2090</v>
      </c>
      <c r="D1063" s="6"/>
      <c r="E1063" s="7" t="str">
        <f aca="false">IFERROR(__xludf.dummyfunction("lower(GOOGLETRANSLATE(B1063,""es"",""en""))"),"cariños @")</f>
        <v>cariños @</v>
      </c>
      <c r="F1063" s="7" t="str">
        <f aca="false">IFERROR(__xludf.dummyfunction("lower(GOOGLETRANSLATE(A1063,""en"",""es""))"),"cariñoso")</f>
        <v>cariñoso</v>
      </c>
      <c r="H1063" s="0" t="str">
        <f aca="false">A1063&amp;"|"&amp;B1063</f>
        <v>affectionate|cariños@</v>
      </c>
    </row>
    <row r="1064" customFormat="false" ht="15.75" hidden="false" customHeight="false" outlineLevel="0" collapsed="false">
      <c r="A1064" s="4" t="s">
        <v>2099</v>
      </c>
      <c r="B1064" s="5" t="s">
        <v>2100</v>
      </c>
      <c r="C1064" s="5" t="s">
        <v>2090</v>
      </c>
      <c r="D1064" s="6"/>
      <c r="E1064" s="7" t="str">
        <f aca="false">IFERROR(__xludf.dummyfunction("lower(GOOGLETRANSLATE(B1064,""es"",""en""))"),"thin @")</f>
        <v>thin @</v>
      </c>
      <c r="F1064" s="7" t="str">
        <f aca="false">IFERROR(__xludf.dummyfunction("lower(GOOGLETRANSLATE(A1064,""en"",""es""))"),"delgado")</f>
        <v>delgado</v>
      </c>
      <c r="H1064" s="0" t="str">
        <f aca="false">A1064&amp;"|"&amp;B1064</f>
        <v>thin|delgad@</v>
      </c>
    </row>
    <row r="1065" customFormat="false" ht="15.75" hidden="false" customHeight="false" outlineLevel="0" collapsed="false">
      <c r="A1065" s="4" t="s">
        <v>2101</v>
      </c>
      <c r="B1065" s="5" t="s">
        <v>2102</v>
      </c>
      <c r="C1065" s="5" t="s">
        <v>2090</v>
      </c>
      <c r="D1065" s="6"/>
      <c r="E1065" s="7" t="str">
        <f aca="false">IFERROR(__xludf.dummyfunction("lower(GOOGLETRANSLATE(B1065,""es"",""en""))"),"faith@")</f>
        <v>faith@</v>
      </c>
      <c r="F1065" s="7" t="str">
        <f aca="false">IFERROR(__xludf.dummyfunction("lower(GOOGLETRANSLATE(A1065,""en"",""es""))"),"feo")</f>
        <v>feo</v>
      </c>
      <c r="H1065" s="0" t="str">
        <f aca="false">A1065&amp;"|"&amp;B1065</f>
        <v>ugly|fe@</v>
      </c>
    </row>
    <row r="1066" customFormat="false" ht="15.75" hidden="false" customHeight="false" outlineLevel="0" collapsed="false">
      <c r="A1066" s="4" t="s">
        <v>2103</v>
      </c>
      <c r="B1066" s="5" t="s">
        <v>2104</v>
      </c>
      <c r="C1066" s="5" t="s">
        <v>2090</v>
      </c>
      <c r="D1066" s="6"/>
      <c r="E1066" s="7" t="str">
        <f aca="false">IFERROR(__xludf.dummyfunction("lower(GOOGLETRANSLATE(B1066,""es"",""en""))"),"gord @")</f>
        <v>gord @</v>
      </c>
      <c r="F1066" s="7" t="str">
        <f aca="false">IFERROR(__xludf.dummyfunction("lower(GOOGLETRANSLATE(A1066,""en"",""es""))"),"grasa")</f>
        <v>grasa</v>
      </c>
      <c r="H1066" s="0" t="str">
        <f aca="false">A1066&amp;"|"&amp;B1066</f>
        <v>fat|gord@</v>
      </c>
    </row>
    <row r="1067" customFormat="false" ht="15.75" hidden="false" customHeight="false" outlineLevel="0" collapsed="false">
      <c r="A1067" s="4" t="s">
        <v>2105</v>
      </c>
      <c r="B1067" s="5" t="s">
        <v>2106</v>
      </c>
      <c r="C1067" s="5" t="s">
        <v>2090</v>
      </c>
      <c r="D1067" s="6"/>
      <c r="E1067" s="7" t="str">
        <f aca="false">IFERROR(__xludf.dummyfunction("lower(GOOGLETRANSLATE(B1067,""es"",""en""))"),"big")</f>
        <v>big</v>
      </c>
      <c r="F1067" s="7" t="str">
        <f aca="false">IFERROR(__xludf.dummyfunction("lower(GOOGLETRANSLATE(A1067,""en"",""es""))"),"muy grande")</f>
        <v>muy grande</v>
      </c>
      <c r="H1067" s="0" t="str">
        <f aca="false">A1067&amp;"|"&amp;B1067</f>
        <v>big/large|grande</v>
      </c>
    </row>
    <row r="1068" customFormat="false" ht="15.75" hidden="false" customHeight="false" outlineLevel="0" collapsed="false">
      <c r="A1068" s="4" t="s">
        <v>2107</v>
      </c>
      <c r="B1068" s="5" t="s">
        <v>2108</v>
      </c>
      <c r="C1068" s="5" t="s">
        <v>2090</v>
      </c>
      <c r="D1068" s="6"/>
      <c r="E1068" s="7" t="str">
        <f aca="false">IFERROR(__xludf.dummyfunction("lower(GOOGLETRANSLATE(B1068,""es"",""en""))"),"beautiful girls")</f>
        <v>beautiful girls</v>
      </c>
      <c r="F1068" s="7" t="str">
        <f aca="false">IFERROR(__xludf.dummyfunction("lower(GOOGLETRANSLATE(A1068,""en"",""es""))"),"guapo")</f>
        <v>guapo</v>
      </c>
      <c r="H1068" s="0" t="str">
        <f aca="false">A1068&amp;"|"&amp;B1068</f>
        <v>good looking|guap@</v>
      </c>
    </row>
    <row r="1069" customFormat="false" ht="15.75" hidden="false" customHeight="false" outlineLevel="0" collapsed="false">
      <c r="A1069" s="4" t="s">
        <v>2109</v>
      </c>
      <c r="B1069" s="5" t="s">
        <v>2110</v>
      </c>
      <c r="C1069" s="5" t="s">
        <v>2090</v>
      </c>
      <c r="D1069" s="6"/>
      <c r="E1069" s="7" t="str">
        <f aca="false">IFERROR(__xludf.dummyfunction("lower(GOOGLETRANSLATE(B1069,""es"",""en""))"),"intelligent")</f>
        <v>intelligent</v>
      </c>
      <c r="F1069" s="7" t="str">
        <f aca="false">IFERROR(__xludf.dummyfunction("lower(GOOGLETRANSLATE(A1069,""en"",""es""))"),"inteligente")</f>
        <v>inteligente</v>
      </c>
      <c r="H1069" s="0" t="str">
        <f aca="false">A1069&amp;"|"&amp;B1069</f>
        <v>smart|inteligente</v>
      </c>
    </row>
    <row r="1070" customFormat="false" ht="15.75" hidden="false" customHeight="false" outlineLevel="0" collapsed="false">
      <c r="A1070" s="4" t="s">
        <v>2111</v>
      </c>
      <c r="B1070" s="5" t="s">
        <v>2112</v>
      </c>
      <c r="C1070" s="5" t="s">
        <v>2090</v>
      </c>
      <c r="D1070" s="6"/>
      <c r="E1070" s="7" t="str">
        <f aca="false">IFERROR(__xludf.dummyfunction("lower(GOOGLETRANSLATE(B1070,""es"",""en""))"),"young")</f>
        <v>young</v>
      </c>
      <c r="F1070" s="7" t="str">
        <f aca="false">IFERROR(__xludf.dummyfunction("lower(GOOGLETRANSLATE(A1070,""en"",""es""))"),"joven")</f>
        <v>joven</v>
      </c>
      <c r="H1070" s="0" t="str">
        <f aca="false">A1070&amp;"|"&amp;B1070</f>
        <v>young|joven</v>
      </c>
    </row>
    <row r="1071" customFormat="false" ht="15.75" hidden="false" customHeight="false" outlineLevel="0" collapsed="false">
      <c r="A1071" s="4" t="s">
        <v>2113</v>
      </c>
      <c r="B1071" s="5" t="s">
        <v>2114</v>
      </c>
      <c r="C1071" s="5" t="s">
        <v>2090</v>
      </c>
      <c r="D1071" s="6"/>
      <c r="E1071" s="7" t="str">
        <f aca="false">IFERROR(__xludf.dummyfunction("lower(GOOGLETRANSLATE(B1071,""es"",""en""))"),"more / higher")</f>
        <v>more / higher</v>
      </c>
      <c r="F1071" s="7" t="str">
        <f aca="false">IFERROR(__xludf.dummyfunction("lower(GOOGLETRANSLATE(A1071,""en"",""es""))"),"viejo / mayor")</f>
        <v>viejo / mayor</v>
      </c>
      <c r="H1071" s="0" t="str">
        <f aca="false">A1071&amp;"|"&amp;B1071</f>
        <v>older/greater|mayor/mayores</v>
      </c>
    </row>
    <row r="1072" customFormat="false" ht="15.75" hidden="false" customHeight="false" outlineLevel="0" collapsed="false">
      <c r="A1072" s="4" t="s">
        <v>2115</v>
      </c>
      <c r="B1072" s="5" t="s">
        <v>2116</v>
      </c>
      <c r="C1072" s="5" t="s">
        <v>2090</v>
      </c>
      <c r="D1072" s="6"/>
      <c r="E1072" s="7" t="str">
        <f aca="false">IFERROR(__xludf.dummyfunction("lower(GOOGLETRANSLATE(B1072,""es"",""en""))"),"minor / minor")</f>
        <v>minor / minor</v>
      </c>
      <c r="F1072" s="7" t="str">
        <f aca="false">IFERROR(__xludf.dummyfunction("lower(GOOGLETRANSLATE(A1072,""en"",""es""))"),"más joven / menor")</f>
        <v>más joven / menor</v>
      </c>
      <c r="H1072" s="0" t="str">
        <f aca="false">A1072&amp;"|"&amp;B1072</f>
        <v>younger/lesser|menor/menores</v>
      </c>
    </row>
    <row r="1073" customFormat="false" ht="15.75" hidden="false" customHeight="false" outlineLevel="0" collapsed="false">
      <c r="A1073" s="4" t="s">
        <v>2117</v>
      </c>
      <c r="B1073" s="5" t="s">
        <v>2118</v>
      </c>
      <c r="C1073" s="5" t="s">
        <v>2090</v>
      </c>
      <c r="D1073" s="6"/>
      <c r="E1073" s="7" t="str">
        <f aca="false">IFERROR(__xludf.dummyfunction("lower(GOOGLETRANSLATE(B1073,""es"",""en""))"),"small @")</f>
        <v>small @</v>
      </c>
      <c r="F1073" s="7" t="str">
        <f aca="false">IFERROR(__xludf.dummyfunction("lower(GOOGLETRANSLATE(A1073,""en"",""es""))"),"pequeña")</f>
        <v>pequeña</v>
      </c>
      <c r="H1073" s="0" t="str">
        <f aca="false">A1073&amp;"|"&amp;B1073</f>
        <v>small|pequeñ@</v>
      </c>
    </row>
    <row r="1074" customFormat="false" ht="15.75" hidden="false" customHeight="false" outlineLevel="0" collapsed="false">
      <c r="A1074" s="4" t="s">
        <v>2119</v>
      </c>
      <c r="B1074" s="5" t="s">
        <v>2120</v>
      </c>
      <c r="C1074" s="5" t="s">
        <v>2090</v>
      </c>
      <c r="D1074" s="6"/>
      <c r="E1074" s="7" t="str">
        <f aca="false">IFERROR(__xludf.dummyfunction("lower(GOOGLETRANSLATE(B1074,""es"",""en""))"),"simpatic @")</f>
        <v>simpatic @</v>
      </c>
      <c r="F1074" s="7" t="str">
        <f aca="false">IFERROR(__xludf.dummyfunction("lower(GOOGLETRANSLATE(A1074,""en"",""es""))"),"bonito")</f>
        <v>bonito</v>
      </c>
      <c r="H1074" s="0" t="str">
        <f aca="false">A1074&amp;"|"&amp;B1074</f>
        <v>nice|simpátic@</v>
      </c>
    </row>
    <row r="1075" customFormat="false" ht="15.75" hidden="false" customHeight="false" outlineLevel="0" collapsed="false">
      <c r="A1075" s="4" t="s">
        <v>2121</v>
      </c>
      <c r="B1075" s="5" t="s">
        <v>2122</v>
      </c>
      <c r="C1075" s="5" t="s">
        <v>2090</v>
      </c>
      <c r="D1075" s="6"/>
      <c r="E1075" s="7" t="str">
        <f aca="false">IFERROR(__xludf.dummyfunction("lower(GOOGLETRANSLATE(B1075,""es"",""en""))"),"old style @")</f>
        <v>old style @</v>
      </c>
      <c r="F1075" s="7" t="str">
        <f aca="false">IFERROR(__xludf.dummyfunction("lower(GOOGLETRANSLATE(A1075,""en"",""es""))"),"antiguo")</f>
        <v>antiguo</v>
      </c>
      <c r="H1075" s="0" t="str">
        <f aca="false">A1075&amp;"|"&amp;B1075</f>
        <v>old|viej@</v>
      </c>
    </row>
    <row r="1076" customFormat="false" ht="15.75" hidden="false" customHeight="false" outlineLevel="0" collapsed="false">
      <c r="A1076" s="4" t="s">
        <v>2123</v>
      </c>
      <c r="B1076" s="5" t="s">
        <v>2124</v>
      </c>
      <c r="C1076" s="5" t="s">
        <v>2125</v>
      </c>
      <c r="D1076" s="6"/>
      <c r="E1076" s="7" t="str">
        <f aca="false">IFERROR(__xludf.dummyfunction("lower(GOOGLETRANSLATE(B1076,""es"",""en""))"),"hair")</f>
        <v>hair</v>
      </c>
      <c r="F1076" s="7" t="str">
        <f aca="false">IFERROR(__xludf.dummyfunction("lower(GOOGLETRANSLATE(A1076,""en"",""es""))"),"el pelo")</f>
        <v>el pelo</v>
      </c>
      <c r="H1076" s="0" t="str">
        <f aca="false">A1076&amp;"|"&amp;B1076</f>
        <v>the hair|el pelo</v>
      </c>
    </row>
    <row r="1077" customFormat="false" ht="15.75" hidden="false" customHeight="false" outlineLevel="0" collapsed="false">
      <c r="A1077" s="4" t="s">
        <v>2126</v>
      </c>
      <c r="B1077" s="5" t="s">
        <v>2127</v>
      </c>
      <c r="C1077" s="5" t="s">
        <v>2128</v>
      </c>
      <c r="D1077" s="6"/>
      <c r="E1077" s="7" t="str">
        <f aca="false">IFERROR(__xludf.dummyfunction("lower(GOOGLETRANSLATE(B1077,""es"",""en""))"),"hoary")</f>
        <v>hoary</v>
      </c>
      <c r="F1077" s="7" t="str">
        <f aca="false">IFERROR(__xludf.dummyfunction("lower(GOOGLETRANSLATE(A1077,""en"",""es""))"),"gris")</f>
        <v>gris</v>
      </c>
      <c r="H1077" s="0" t="str">
        <f aca="false">A1077&amp;"|"&amp;B1077</f>
        <v>grey|canoso</v>
      </c>
    </row>
    <row r="1078" customFormat="false" ht="15.75" hidden="false" customHeight="false" outlineLevel="0" collapsed="false">
      <c r="A1078" s="4" t="s">
        <v>2129</v>
      </c>
      <c r="B1078" s="5" t="s">
        <v>2130</v>
      </c>
      <c r="C1078" s="5" t="s">
        <v>2128</v>
      </c>
      <c r="D1078" s="6"/>
      <c r="E1078" s="7" t="str">
        <f aca="false">IFERROR(__xludf.dummyfunction("lower(GOOGLETRANSLATE(B1078,""es"",""en""))"),"brown")</f>
        <v>brown</v>
      </c>
      <c r="F1078" s="7" t="str">
        <f aca="false">IFERROR(__xludf.dummyfunction("lower(GOOGLETRANSLATE(A1078,""en"",""es""))"),"marrón")</f>
        <v>marrón</v>
      </c>
      <c r="H1078" s="0" t="str">
        <f aca="false">A1078&amp;"|"&amp;B1078</f>
        <v>brown|castaño</v>
      </c>
    </row>
    <row r="1079" customFormat="false" ht="15.75" hidden="false" customHeight="false" outlineLevel="0" collapsed="false">
      <c r="A1079" s="4" t="s">
        <v>2093</v>
      </c>
      <c r="B1079" s="5" t="s">
        <v>2131</v>
      </c>
      <c r="C1079" s="5" t="s">
        <v>2125</v>
      </c>
      <c r="D1079" s="6"/>
      <c r="E1079" s="7" t="str">
        <f aca="false">IFERROR(__xludf.dummyfunction("lower(GOOGLETRANSLATE(B1079,""es"",""en""))"),"short")</f>
        <v>short</v>
      </c>
      <c r="F1079" s="7" t="str">
        <f aca="false">IFERROR(__xludf.dummyfunction("lower(GOOGLETRANSLATE(A1079,""en"",""es""))"),"corto")</f>
        <v>corto</v>
      </c>
      <c r="H1079" s="0" t="str">
        <f aca="false">A1079&amp;"|"&amp;B1079</f>
        <v>short|corto</v>
      </c>
    </row>
    <row r="1080" customFormat="false" ht="15.75" hidden="false" customHeight="false" outlineLevel="0" collapsed="false">
      <c r="A1080" s="4" t="s">
        <v>2132</v>
      </c>
      <c r="B1080" s="5" t="s">
        <v>2133</v>
      </c>
      <c r="C1080" s="5" t="s">
        <v>2125</v>
      </c>
      <c r="D1080" s="6"/>
      <c r="E1080" s="7" t="str">
        <f aca="false">IFERROR(__xludf.dummyfunction("lower(GOOGLETRANSLATE(B1080,""es"",""en""))"),"curly")</f>
        <v>curly</v>
      </c>
      <c r="F1080" s="7" t="str">
        <f aca="false">IFERROR(__xludf.dummyfunction("lower(GOOGLETRANSLATE(A1080,""en"",""es""))"),"rizado")</f>
        <v>rizado</v>
      </c>
      <c r="H1080" s="0" t="str">
        <f aca="false">A1080&amp;"|"&amp;B1080</f>
        <v>curly|rizado</v>
      </c>
    </row>
    <row r="1081" customFormat="false" ht="15.75" hidden="false" customHeight="false" outlineLevel="0" collapsed="false">
      <c r="A1081" s="4" t="s">
        <v>2134</v>
      </c>
      <c r="B1081" s="5" t="s">
        <v>2135</v>
      </c>
      <c r="C1081" s="5" t="s">
        <v>2128</v>
      </c>
      <c r="D1081" s="6"/>
      <c r="E1081" s="7" t="str">
        <f aca="false">IFERROR(__xludf.dummyfunction("lower(GOOGLETRANSLATE(B1081,""es"",""en""))"),"black")</f>
        <v>black</v>
      </c>
      <c r="F1081" s="7" t="str">
        <f aca="false">IFERROR(__xludf.dummyfunction("lower(GOOGLETRANSLATE(A1081,""en"",""es""))"),"negro")</f>
        <v>negro</v>
      </c>
      <c r="H1081" s="0" t="str">
        <f aca="false">A1081&amp;"|"&amp;B1081</f>
        <v>black|negro</v>
      </c>
    </row>
    <row r="1082" customFormat="false" ht="15.75" hidden="false" customHeight="false" outlineLevel="0" collapsed="false">
      <c r="A1082" s="4" t="s">
        <v>2136</v>
      </c>
      <c r="B1082" s="5" t="s">
        <v>2137</v>
      </c>
      <c r="C1082" s="5" t="s">
        <v>2128</v>
      </c>
      <c r="D1082" s="6"/>
      <c r="E1082" s="7" t="str">
        <f aca="false">IFERROR(__xludf.dummyfunction("lower(GOOGLETRANSLATE(B1082,""es"",""en""))"),"blond")</f>
        <v>blond</v>
      </c>
      <c r="F1082" s="7" t="str">
        <f aca="false">IFERROR(__xludf.dummyfunction("lower(GOOGLETRANSLATE(A1082,""en"",""es""))"),"rubio")</f>
        <v>rubio</v>
      </c>
      <c r="H1082" s="0" t="str">
        <f aca="false">A1082&amp;"|"&amp;B1082</f>
        <v>blond|rubio</v>
      </c>
    </row>
    <row r="1083" customFormat="false" ht="15.75" hidden="false" customHeight="false" outlineLevel="0" collapsed="false">
      <c r="A1083" s="4" t="s">
        <v>2138</v>
      </c>
      <c r="B1083" s="5" t="s">
        <v>2139</v>
      </c>
      <c r="C1083" s="5" t="s">
        <v>2125</v>
      </c>
      <c r="D1083" s="6"/>
      <c r="E1083" s="7" t="str">
        <f aca="false">IFERROR(__xludf.dummyfunction("lower(GOOGLETRANSLATE(B1083,""es"",""en""))"),"long")</f>
        <v>long</v>
      </c>
      <c r="F1083" s="7" t="str">
        <f aca="false">IFERROR(__xludf.dummyfunction("lower(GOOGLETRANSLATE(A1083,""en"",""es""))"),"largo")</f>
        <v>largo</v>
      </c>
      <c r="H1083" s="0" t="str">
        <f aca="false">A1083&amp;"|"&amp;B1083</f>
        <v>long|largo</v>
      </c>
    </row>
    <row r="1084" customFormat="false" ht="15.75" hidden="false" customHeight="false" outlineLevel="0" collapsed="false">
      <c r="A1084" s="4" t="s">
        <v>2140</v>
      </c>
      <c r="B1084" s="5" t="s">
        <v>2141</v>
      </c>
      <c r="C1084" s="5" t="s">
        <v>2125</v>
      </c>
      <c r="D1084" s="6"/>
      <c r="E1084" s="7" t="str">
        <f aca="false">IFERROR(__xludf.dummyfunction("lower(GOOGLETRANSLATE(B1084,""es"",""en""))"),"smooth")</f>
        <v>smooth</v>
      </c>
      <c r="F1084" s="7" t="str">
        <f aca="false">IFERROR(__xludf.dummyfunction("lower(GOOGLETRANSLATE(A1084,""en"",""es""))"),"derecho")</f>
        <v>derecho</v>
      </c>
      <c r="H1084" s="0" t="str">
        <f aca="false">A1084&amp;"|"&amp;B1084</f>
        <v>straight|liso</v>
      </c>
    </row>
    <row r="1085" customFormat="false" ht="15.75" hidden="false" customHeight="false" outlineLevel="0" collapsed="false">
      <c r="A1085" s="4" t="s">
        <v>2142</v>
      </c>
      <c r="B1085" s="5" t="s">
        <v>2143</v>
      </c>
      <c r="C1085" s="5" t="s">
        <v>2144</v>
      </c>
      <c r="D1085" s="6"/>
      <c r="E1085" s="7" t="str">
        <f aca="false">IFERROR(__xludf.dummyfunction("lower(GOOGLETRANSLATE(B1085,""es"",""en""))"),"pelirroj @")</f>
        <v>pelirroj @</v>
      </c>
      <c r="F1085" s="7" t="str">
        <f aca="false">IFERROR(__xludf.dummyfunction("lower(GOOGLETRANSLATE(A1085,""en"",""es""))"),"pelirrojo")</f>
        <v>pelirrojo</v>
      </c>
      <c r="H1085" s="0" t="str">
        <f aca="false">A1085&amp;"|"&amp;B1085</f>
        <v>redhead|pelirroj@</v>
      </c>
    </row>
    <row r="1086" customFormat="false" ht="15.75" hidden="false" customHeight="false" outlineLevel="0" collapsed="false">
      <c r="A1086" s="4" t="s">
        <v>2145</v>
      </c>
      <c r="B1086" s="5" t="s">
        <v>2146</v>
      </c>
      <c r="C1086" s="5" t="s">
        <v>2144</v>
      </c>
      <c r="D1086" s="6"/>
      <c r="E1086" s="7" t="str">
        <f aca="false">IFERROR(__xludf.dummyfunction("lower(GOOGLETRANSLATE(B1086,""es"",""en""))"),"the eyes")</f>
        <v>the eyes</v>
      </c>
      <c r="F1086" s="7" t="str">
        <f aca="false">IFERROR(__xludf.dummyfunction("lower(GOOGLETRANSLATE(A1086,""en"",""es""))"),"los ojos")</f>
        <v>los ojos</v>
      </c>
      <c r="H1086" s="0" t="str">
        <f aca="false">A1086&amp;"|"&amp;B1086</f>
        <v>the eyes|los ojos</v>
      </c>
    </row>
    <row r="1087" customFormat="false" ht="15.75" hidden="false" customHeight="false" outlineLevel="0" collapsed="false">
      <c r="A1087" s="4" t="s">
        <v>2147</v>
      </c>
      <c r="B1087" s="5" t="s">
        <v>2148</v>
      </c>
      <c r="C1087" s="5" t="s">
        <v>2144</v>
      </c>
      <c r="D1087" s="6"/>
      <c r="E1087" s="7" t="str">
        <f aca="false">IFERROR(__xludf.dummyfunction("lower(GOOGLETRANSLATE(B1087,""es"",""en""))"),"blue")</f>
        <v>blue</v>
      </c>
      <c r="F1087" s="7" t="str">
        <f aca="false">IFERROR(__xludf.dummyfunction("lower(GOOGLETRANSLATE(A1087,""en"",""es""))"),"ojos azules")</f>
        <v>ojos azules</v>
      </c>
      <c r="H1087" s="0" t="str">
        <f aca="false">A1087&amp;"|"&amp;B1087</f>
        <v>blue eyes|azules</v>
      </c>
    </row>
    <row r="1088" customFormat="false" ht="15.75" hidden="false" customHeight="false" outlineLevel="0" collapsed="false">
      <c r="A1088" s="4" t="s">
        <v>2149</v>
      </c>
      <c r="B1088" s="5" t="s">
        <v>2150</v>
      </c>
      <c r="C1088" s="5" t="s">
        <v>2144</v>
      </c>
      <c r="D1088" s="6"/>
      <c r="E1088" s="7" t="str">
        <f aca="false">IFERROR(__xludf.dummyfunction("lower(GOOGLETRANSLATE(B1088,""es"",""en""))"),"green")</f>
        <v>green</v>
      </c>
      <c r="F1088" s="7" t="str">
        <f aca="false">IFERROR(__xludf.dummyfunction("lower(GOOGLETRANSLATE(A1088,""en"",""es""))"),"ojos verdes")</f>
        <v>ojos verdes</v>
      </c>
      <c r="H1088" s="0" t="str">
        <f aca="false">A1088&amp;"|"&amp;B1088</f>
        <v>green eyes|verdes</v>
      </c>
    </row>
    <row r="1089" customFormat="false" ht="15.75" hidden="false" customHeight="false" outlineLevel="0" collapsed="false">
      <c r="A1089" s="4" t="s">
        <v>2151</v>
      </c>
      <c r="B1089" s="5" t="s">
        <v>2152</v>
      </c>
      <c r="C1089" s="5" t="s">
        <v>2144</v>
      </c>
      <c r="D1089" s="6"/>
      <c r="E1089" s="7" t="str">
        <f aca="false">IFERROR(__xludf.dummyfunction("lower(GOOGLETRANSLATE(B1089,""es"",""en""))"),"brown")</f>
        <v>brown</v>
      </c>
      <c r="F1089" s="7" t="str">
        <f aca="false">IFERROR(__xludf.dummyfunction("lower(GOOGLETRANSLATE(A1089,""en"",""es""))"),"ojos cafés")</f>
        <v>ojos cafés</v>
      </c>
      <c r="H1089" s="0" t="str">
        <f aca="false">A1089&amp;"|"&amp;B1089</f>
        <v>brown eyes|marrones</v>
      </c>
    </row>
    <row r="1090" customFormat="false" ht="15.75" hidden="false" customHeight="false" outlineLevel="0" collapsed="false">
      <c r="A1090" s="4" t="s">
        <v>2153</v>
      </c>
      <c r="B1090" s="5" t="s">
        <v>2154</v>
      </c>
      <c r="C1090" s="5" t="s">
        <v>2155</v>
      </c>
      <c r="D1090" s="6"/>
      <c r="E1090" s="7" t="str">
        <f aca="false">IFERROR(__xludf.dummyfunction("lower(GOOGLETRANSLATE(B1090,""es"",""en""))"),"people")</f>
        <v>people</v>
      </c>
      <c r="F1090" s="7" t="str">
        <f aca="false">IFERROR(__xludf.dummyfunction("lower(GOOGLETRANSLATE(A1090,""en"",""es""))"),"personas")</f>
        <v>personas</v>
      </c>
      <c r="H1090" s="0" t="str">
        <f aca="false">A1090&amp;"|"&amp;B1090</f>
        <v>people|la gente</v>
      </c>
    </row>
    <row r="1091" customFormat="false" ht="15.75" hidden="false" customHeight="false" outlineLevel="0" collapsed="false">
      <c r="A1091" s="4" t="s">
        <v>2156</v>
      </c>
      <c r="B1091" s="5" t="s">
        <v>2157</v>
      </c>
      <c r="C1091" s="5" t="s">
        <v>2155</v>
      </c>
      <c r="D1091" s="6"/>
      <c r="E1091" s="7" t="str">
        <f aca="false">IFERROR(__xludf.dummyfunction("lower(GOOGLETRANSLATE(B1091,""es"",""en""))"),"the boy / boy")</f>
        <v>the boy / boy</v>
      </c>
      <c r="F1091" s="7" t="str">
        <f aca="false">IFERROR(__xludf.dummyfunction("lower(GOOGLETRANSLATE(A1091,""en"",""es""))"),"el chico")</f>
        <v>el chico</v>
      </c>
      <c r="H1091" s="0" t="str">
        <f aca="false">A1091&amp;"|"&amp;B1091</f>
        <v>the boy|el chico/el muchacho</v>
      </c>
    </row>
    <row r="1092" customFormat="false" ht="15.75" hidden="false" customHeight="false" outlineLevel="0" collapsed="false">
      <c r="A1092" s="4" t="s">
        <v>2158</v>
      </c>
      <c r="B1092" s="5" t="s">
        <v>2159</v>
      </c>
      <c r="C1092" s="5" t="s">
        <v>2155</v>
      </c>
      <c r="D1092" s="6"/>
      <c r="E1092" s="7" t="str">
        <f aca="false">IFERROR(__xludf.dummyfunction("lower(GOOGLETRANSLATE(B1092,""es"",""en""))"),"the girl / girl")</f>
        <v>the girl / girl</v>
      </c>
      <c r="F1092" s="7" t="str">
        <f aca="false">IFERROR(__xludf.dummyfunction("lower(GOOGLETRANSLATE(A1092,""en"",""es""))"),"la mujer")</f>
        <v>la mujer</v>
      </c>
      <c r="H1092" s="0" t="str">
        <f aca="false">A1092&amp;"|"&amp;B1092</f>
        <v>the girl|la chica/la muchacha</v>
      </c>
    </row>
    <row r="1093" customFormat="false" ht="15.75" hidden="false" customHeight="false" outlineLevel="0" collapsed="false">
      <c r="A1093" s="4" t="s">
        <v>2160</v>
      </c>
      <c r="B1093" s="5" t="s">
        <v>2161</v>
      </c>
      <c r="C1093" s="5" t="s">
        <v>2155</v>
      </c>
      <c r="D1093" s="6"/>
      <c r="E1093" s="7" t="str">
        <f aca="false">IFERROR(__xludf.dummyfunction("lower(GOOGLETRANSLATE(B1093,""es"",""en""))"),"the man")</f>
        <v>the man</v>
      </c>
      <c r="F1093" s="7" t="str">
        <f aca="false">IFERROR(__xludf.dummyfunction("lower(GOOGLETRANSLATE(A1093,""en"",""es""))"),"el hombre")</f>
        <v>el hombre</v>
      </c>
      <c r="H1093" s="0" t="str">
        <f aca="false">A1093&amp;"|"&amp;B1093</f>
        <v>the man|el hombre</v>
      </c>
    </row>
    <row r="1094" customFormat="false" ht="15.75" hidden="false" customHeight="false" outlineLevel="0" collapsed="false">
      <c r="A1094" s="4" t="s">
        <v>2162</v>
      </c>
      <c r="B1094" s="5" t="s">
        <v>2163</v>
      </c>
      <c r="C1094" s="5" t="s">
        <v>2155</v>
      </c>
      <c r="D1094" s="6"/>
      <c r="E1094" s="7" t="str">
        <f aca="false">IFERROR(__xludf.dummyfunction("lower(GOOGLETRANSLATE(B1094,""es"",""en""))"),"the woman")</f>
        <v>the woman</v>
      </c>
      <c r="F1094" s="7" t="str">
        <f aca="false">IFERROR(__xludf.dummyfunction("lower(GOOGLETRANSLATE(A1094,""en"",""es""))"),"la mujer")</f>
        <v>la mujer</v>
      </c>
      <c r="H1094" s="0" t="str">
        <f aca="false">A1094&amp;"|"&amp;B1094</f>
        <v>the woman|la mujer</v>
      </c>
    </row>
    <row r="1095" customFormat="false" ht="15.75" hidden="false" customHeight="false" outlineLevel="0" collapsed="false">
      <c r="A1095" s="4" t="s">
        <v>2164</v>
      </c>
      <c r="B1095" s="5" t="s">
        <v>2165</v>
      </c>
      <c r="C1095" s="5" t="s">
        <v>2155</v>
      </c>
      <c r="D1095" s="6"/>
      <c r="E1095" s="7" t="str">
        <f aca="false">IFERROR(__xludf.dummyfunction("lower(GOOGLETRANSLATE(B1095,""es"",""en""))"),"person")</f>
        <v>person</v>
      </c>
      <c r="F1095" s="7" t="str">
        <f aca="false">IFERROR(__xludf.dummyfunction("lower(GOOGLETRANSLATE(A1095,""en"",""es""))"),"la persona")</f>
        <v>la persona</v>
      </c>
      <c r="H1095" s="0" t="str">
        <f aca="false">A1095&amp;"|"&amp;B1095</f>
        <v>the person|la persona</v>
      </c>
    </row>
    <row r="1096" customFormat="false" ht="15.75" hidden="false" customHeight="false" outlineLevel="0" collapsed="false">
      <c r="A1096" s="4" t="s">
        <v>2166</v>
      </c>
      <c r="B1096" s="5" t="s">
        <v>2167</v>
      </c>
      <c r="C1096" s="5" t="s">
        <v>2090</v>
      </c>
      <c r="D1096" s="6"/>
      <c r="E1096" s="7" t="str">
        <f aca="false">IFERROR(__xludf.dummyfunction("lower(GOOGLETRANSLATE(B1096,""es"",""en""))"),"how is she?")</f>
        <v>how is she?</v>
      </c>
      <c r="F1096" s="7" t="str">
        <f aca="false">IFERROR(__xludf.dummyfunction("lower(GOOGLETRANSLATE(A1096,""en"",""es""))"),"¿cómo es ella?")</f>
        <v>¿cómo es ella?</v>
      </c>
      <c r="H1096" s="0" t="str">
        <f aca="false">A1096&amp;"|"&amp;B1096</f>
        <v>what is she like?|cómo es ella?</v>
      </c>
    </row>
    <row r="1097" customFormat="false" ht="15.75" hidden="false" customHeight="false" outlineLevel="0" collapsed="false">
      <c r="A1097" s="4" t="s">
        <v>2168</v>
      </c>
      <c r="B1097" s="5" t="s">
        <v>2169</v>
      </c>
      <c r="C1097" s="5" t="s">
        <v>2170</v>
      </c>
      <c r="D1097" s="6"/>
      <c r="E1097" s="7" t="str">
        <f aca="false">IFERROR(__xludf.dummyfunction("lower(GOOGLETRANSLATE(B1097,""es"",""en""))"),"more than adj")</f>
        <v>more than adj</v>
      </c>
      <c r="F1097" s="7" t="str">
        <f aca="false">IFERROR(__xludf.dummyfunction("lower(GOOGLETRANSLATE(A1097,""en"",""es""))"),"mas que")</f>
        <v>mas que</v>
      </c>
      <c r="H1097" s="0" t="str">
        <f aca="false">A1097&amp;"|"&amp;B1097</f>
        <v>more _x0085_ than|más adj que</v>
      </c>
    </row>
    <row r="1098" customFormat="false" ht="15.75" hidden="false" customHeight="false" outlineLevel="0" collapsed="false">
      <c r="A1098" s="4" t="s">
        <v>2171</v>
      </c>
      <c r="B1098" s="5" t="s">
        <v>2172</v>
      </c>
      <c r="C1098" s="5" t="s">
        <v>2170</v>
      </c>
      <c r="D1098" s="6"/>
      <c r="E1098" s="7" t="str">
        <f aca="false">IFERROR(__xludf.dummyfunction("lower(GOOGLETRANSLATE(B1098,""es"",""en""))"),"adj less than")</f>
        <v>adj less than</v>
      </c>
      <c r="F1098" s="7" t="str">
        <f aca="false">IFERROR(__xludf.dummyfunction("lower(GOOGLETRANSLATE(A1098,""en"",""es""))"),"menos que")</f>
        <v>menos que</v>
      </c>
      <c r="H1098" s="0" t="str">
        <f aca="false">A1098&amp;"|"&amp;B1098</f>
        <v>less _x0085_ than|menos adj que</v>
      </c>
    </row>
    <row r="1099" customFormat="false" ht="15.75" hidden="false" customHeight="false" outlineLevel="0" collapsed="false">
      <c r="A1099" s="4" t="s">
        <v>2173</v>
      </c>
      <c r="B1099" s="5" t="s">
        <v>2174</v>
      </c>
      <c r="C1099" s="5" t="s">
        <v>2170</v>
      </c>
      <c r="D1099" s="6"/>
      <c r="E1099" s="7" t="str">
        <f aca="false">IFERROR(__xludf.dummyfunction("lower(GOOGLETRANSLATE(B1099,""es"",""en""))"),"greater than")</f>
        <v>greater than</v>
      </c>
      <c r="F1099" s="7" t="str">
        <f aca="false">IFERROR(__xludf.dummyfunction("lower(GOOGLETRANSLATE(A1099,""en"",""es""))"),"mayor entonces")</f>
        <v>mayor entonces</v>
      </c>
      <c r="H1099" s="0" t="str">
        <f aca="false">A1099&amp;"|"&amp;B1099</f>
        <v>older then|mayor que</v>
      </c>
    </row>
    <row r="1100" customFormat="false" ht="15.75" hidden="false" customHeight="false" outlineLevel="0" collapsed="false">
      <c r="A1100" s="4" t="s">
        <v>2175</v>
      </c>
      <c r="B1100" s="5" t="s">
        <v>2176</v>
      </c>
      <c r="C1100" s="5" t="s">
        <v>2170</v>
      </c>
      <c r="D1100" s="6"/>
      <c r="E1100" s="7" t="str">
        <f aca="false">IFERROR(__xludf.dummyfunction("lower(GOOGLETRANSLATE(B1100,""es"",""en""))"),"smaller than")</f>
        <v>smaller than</v>
      </c>
      <c r="F1100" s="7" t="str">
        <f aca="false">IFERROR(__xludf.dummyfunction("lower(GOOGLETRANSLATE(A1100,""en"",""es""))"),"mas joven que")</f>
        <v>mas joven que</v>
      </c>
      <c r="H1100" s="0" t="str">
        <f aca="false">A1100&amp;"|"&amp;B1100</f>
        <v>younger than|menor que</v>
      </c>
    </row>
    <row r="1101" customFormat="false" ht="15.75" hidden="false" customHeight="false" outlineLevel="0" collapsed="false">
      <c r="A1101" s="4" t="s">
        <v>2177</v>
      </c>
      <c r="B1101" s="5" t="s">
        <v>2178</v>
      </c>
      <c r="C1101" s="5" t="s">
        <v>2179</v>
      </c>
      <c r="D1101" s="6"/>
      <c r="E1101" s="7" t="str">
        <f aca="false">IFERROR(__xludf.dummyfunction("lower(GOOGLETRANSLATE(B1101,""es"",""en""))"),"sixty")</f>
        <v>sixty</v>
      </c>
      <c r="F1101" s="7" t="str">
        <f aca="false">IFERROR(__xludf.dummyfunction("lower(GOOGLETRANSLATE(A1101,""en"",""es""))"),"sesenta")</f>
        <v>sesenta</v>
      </c>
      <c r="H1101" s="0" t="str">
        <f aca="false">A1101&amp;"|"&amp;B1101</f>
        <v>sixty|sesenta</v>
      </c>
    </row>
    <row r="1102" customFormat="false" ht="15.75" hidden="false" customHeight="false" outlineLevel="0" collapsed="false">
      <c r="A1102" s="4" t="s">
        <v>2180</v>
      </c>
      <c r="B1102" s="5" t="s">
        <v>2181</v>
      </c>
      <c r="C1102" s="5" t="s">
        <v>2179</v>
      </c>
      <c r="D1102" s="6"/>
      <c r="E1102" s="7" t="str">
        <f aca="false">IFERROR(__xludf.dummyfunction("lower(GOOGLETRANSLATE(B1102,""es"",""en""))"),"seventy")</f>
        <v>seventy</v>
      </c>
      <c r="F1102" s="7" t="str">
        <f aca="false">IFERROR(__xludf.dummyfunction("lower(GOOGLETRANSLATE(A1102,""en"",""es""))"),"setenta")</f>
        <v>setenta</v>
      </c>
      <c r="H1102" s="0" t="str">
        <f aca="false">A1102&amp;"|"&amp;B1102</f>
        <v>seventy|setenta</v>
      </c>
    </row>
    <row r="1103" customFormat="false" ht="15.75" hidden="false" customHeight="false" outlineLevel="0" collapsed="false">
      <c r="A1103" s="4" t="s">
        <v>2182</v>
      </c>
      <c r="B1103" s="5" t="s">
        <v>2183</v>
      </c>
      <c r="C1103" s="5" t="s">
        <v>2179</v>
      </c>
      <c r="D1103" s="6"/>
      <c r="E1103" s="7" t="str">
        <f aca="false">IFERROR(__xludf.dummyfunction("lower(GOOGLETRANSLATE(B1103,""es"",""en""))"),"eighty")</f>
        <v>eighty</v>
      </c>
      <c r="F1103" s="7" t="str">
        <f aca="false">IFERROR(__xludf.dummyfunction("lower(GOOGLETRANSLATE(A1103,""en"",""es""))"),"ochenta")</f>
        <v>ochenta</v>
      </c>
      <c r="H1103" s="0" t="str">
        <f aca="false">A1103&amp;"|"&amp;B1103</f>
        <v>eighty|ochenta</v>
      </c>
    </row>
    <row r="1104" customFormat="false" ht="15.75" hidden="false" customHeight="false" outlineLevel="0" collapsed="false">
      <c r="A1104" s="4" t="s">
        <v>2184</v>
      </c>
      <c r="B1104" s="5" t="s">
        <v>2185</v>
      </c>
      <c r="C1104" s="5" t="s">
        <v>2179</v>
      </c>
      <c r="D1104" s="6"/>
      <c r="E1104" s="7" t="str">
        <f aca="false">IFERROR(__xludf.dummyfunction("lower(GOOGLETRANSLATE(B1104,""es"",""en""))"),"ninety")</f>
        <v>ninety</v>
      </c>
      <c r="F1104" s="7" t="str">
        <f aca="false">IFERROR(__xludf.dummyfunction("lower(GOOGLETRANSLATE(A1104,""en"",""es""))"),"noventa")</f>
        <v>noventa</v>
      </c>
      <c r="H1104" s="0" t="str">
        <f aca="false">A1104&amp;"|"&amp;B1104</f>
        <v>ninety|noventa</v>
      </c>
    </row>
    <row r="1105" customFormat="false" ht="15.75" hidden="false" customHeight="false" outlineLevel="0" collapsed="false">
      <c r="A1105" s="4" t="s">
        <v>2186</v>
      </c>
      <c r="B1105" s="5" t="s">
        <v>2187</v>
      </c>
      <c r="C1105" s="5" t="s">
        <v>2179</v>
      </c>
      <c r="D1105" s="6"/>
      <c r="E1105" s="7" t="str">
        <f aca="false">IFERROR(__xludf.dummyfunction("lower(GOOGLETRANSLATE(B1105,""es"",""en""))"),"one hundred")</f>
        <v>one hundred</v>
      </c>
      <c r="F1105" s="7" t="str">
        <f aca="false">IFERROR(__xludf.dummyfunction("lower(GOOGLETRANSLATE(A1105,""en"",""es""))"),"cien")</f>
        <v>cien</v>
      </c>
      <c r="H1105" s="0" t="str">
        <f aca="false">A1105&amp;"|"&amp;B1105</f>
        <v>hundred|cien</v>
      </c>
    </row>
    <row r="1106" customFormat="false" ht="15.75" hidden="false" customHeight="false" outlineLevel="0" collapsed="false">
      <c r="A1106" s="4" t="s">
        <v>2188</v>
      </c>
      <c r="B1106" s="5" t="s">
        <v>2189</v>
      </c>
      <c r="C1106" s="5" t="s">
        <v>2190</v>
      </c>
      <c r="D1106" s="6"/>
      <c r="E1106" s="7" t="str">
        <f aca="false">IFERROR(__xludf.dummyfunction("lower(GOOGLETRANSLATE(B1106,""es"",""en""))"),"the cat")</f>
        <v>the cat</v>
      </c>
      <c r="F1106" s="7" t="str">
        <f aca="false">IFERROR(__xludf.dummyfunction("lower(GOOGLETRANSLATE(A1106,""en"",""es""))"),"el gato")</f>
        <v>el gato</v>
      </c>
      <c r="H1106" s="0" t="str">
        <f aca="false">A1106&amp;"|"&amp;B1106</f>
        <v>the cat|el gato</v>
      </c>
    </row>
    <row r="1107" customFormat="false" ht="15.75" hidden="false" customHeight="false" outlineLevel="0" collapsed="false">
      <c r="A1107" s="4" t="s">
        <v>2191</v>
      </c>
      <c r="B1107" s="5" t="s">
        <v>2192</v>
      </c>
      <c r="C1107" s="5" t="s">
        <v>2190</v>
      </c>
      <c r="D1107" s="6"/>
      <c r="E1107" s="7" t="str">
        <f aca="false">IFERROR(__xludf.dummyfunction("lower(GOOGLETRANSLATE(B1107,""es"",""en""))"),"the dog")</f>
        <v>the dog</v>
      </c>
      <c r="F1107" s="7" t="str">
        <f aca="false">IFERROR(__xludf.dummyfunction("lower(GOOGLETRANSLATE(A1107,""en"",""es""))"),"el perro")</f>
        <v>el perro</v>
      </c>
      <c r="H1107" s="0" t="str">
        <f aca="false">A1107&amp;"|"&amp;B1107</f>
        <v>the dog|el perro</v>
      </c>
    </row>
    <row r="1108" customFormat="false" ht="15.75" hidden="false" customHeight="false" outlineLevel="0" collapsed="false">
      <c r="A1108" s="4" t="s">
        <v>2193</v>
      </c>
      <c r="B1108" s="5" t="s">
        <v>635</v>
      </c>
      <c r="C1108" s="5" t="s">
        <v>2090</v>
      </c>
      <c r="D1108" s="6"/>
      <c r="E1108" s="7" t="str">
        <f aca="false">IFERROR(__xludf.dummyfunction("lower(GOOGLETRANSLATE(B1108,""es"",""en""))"),"of")</f>
        <v>of</v>
      </c>
      <c r="F1108" s="7" t="str">
        <f aca="false">IFERROR(__xludf.dummyfunction("lower(GOOGLETRANSLATE(A1108,""en"",""es""))"),"de (posesión)")</f>
        <v>de (posesión)</v>
      </c>
      <c r="H1108" s="0" t="str">
        <f aca="false">A1108&amp;"|"&amp;B1108</f>
        <v>of (possession)|de</v>
      </c>
    </row>
    <row r="1109" customFormat="false" ht="15.75" hidden="false" customHeight="false" outlineLevel="0" collapsed="false">
      <c r="A1109" s="4" t="s">
        <v>2194</v>
      </c>
      <c r="B1109" s="5" t="s">
        <v>2195</v>
      </c>
      <c r="C1109" s="5" t="s">
        <v>2090</v>
      </c>
      <c r="D1109" s="6"/>
      <c r="E1109" s="7" t="str">
        <f aca="false">IFERROR(__xludf.dummyfunction("lower(GOOGLETRANSLATE(B1109,""es"",""en""))"),"someone")</f>
        <v>someone</v>
      </c>
      <c r="F1109" s="7" t="str">
        <f aca="false">IFERROR(__xludf.dummyfunction("lower(GOOGLETRANSLATE(A1109,""en"",""es""))"),"alguien")</f>
        <v>alguien</v>
      </c>
      <c r="H1109" s="0" t="str">
        <f aca="false">A1109&amp;"|"&amp;B1109</f>
        <v>someone|alguien</v>
      </c>
    </row>
    <row r="1110" customFormat="false" ht="15.75" hidden="false" customHeight="false" outlineLevel="0" collapsed="false">
      <c r="A1110" s="4" t="s">
        <v>2196</v>
      </c>
      <c r="B1110" s="5" t="s">
        <v>2197</v>
      </c>
      <c r="C1110" s="5" t="s">
        <v>2090</v>
      </c>
      <c r="D1110" s="6"/>
      <c r="E1110" s="7" t="str">
        <f aca="false">IFERROR(__xludf.dummyfunction("lower(GOOGLETRANSLATE(B1110,""es"",""en""))"),"nobody")</f>
        <v>nobody</v>
      </c>
      <c r="F1110" s="7" t="str">
        <f aca="false">IFERROR(__xludf.dummyfunction("lower(GOOGLETRANSLATE(A1110,""en"",""es""))"),"ninguno")</f>
        <v>ninguno</v>
      </c>
      <c r="H1110" s="0" t="str">
        <f aca="false">A1110&amp;"|"&amp;B1110</f>
        <v>no one|nadie</v>
      </c>
    </row>
    <row r="1111" customFormat="false" ht="15.75" hidden="false" customHeight="false" outlineLevel="0" collapsed="false">
      <c r="A1111" s="4" t="s">
        <v>2198</v>
      </c>
      <c r="B1111" s="5" t="s">
        <v>2199</v>
      </c>
      <c r="C1111" s="5" t="s">
        <v>2090</v>
      </c>
      <c r="D1111" s="6"/>
      <c r="E1111" s="7" t="str">
        <f aca="false">IFERROR(__xludf.dummyfunction("lower(GOOGLETRANSLATE(B1111,""es"",""en""))"),"alone")</f>
        <v>alone</v>
      </c>
      <c r="F1111" s="7" t="str">
        <f aca="false">IFERROR(__xludf.dummyfunction("lower(GOOGLETRANSLATE(A1111,""en"",""es""))"),"solamente")</f>
        <v>solamente</v>
      </c>
      <c r="H1111" s="0" t="str">
        <f aca="false">A1111&amp;"|"&amp;B1111</f>
        <v>only|solo</v>
      </c>
    </row>
    <row r="1112" customFormat="false" ht="15.75" hidden="false" customHeight="false" outlineLevel="0" collapsed="false">
      <c r="A1112" s="4" t="s">
        <v>2200</v>
      </c>
      <c r="B1112" s="5" t="s">
        <v>2201</v>
      </c>
      <c r="C1112" s="5" t="s">
        <v>2090</v>
      </c>
      <c r="D1112" s="6"/>
      <c r="E1112" s="7" t="str">
        <f aca="false">IFERROR(__xludf.dummyfunction("lower(GOOGLETRANSLATE(B1112,""es"",""en""))"),"tod @ s")</f>
        <v>tod @ s</v>
      </c>
      <c r="F1112" s="7" t="str">
        <f aca="false">IFERROR(__xludf.dummyfunction("lower(GOOGLETRANSLATE(A1112,""en"",""es""))"),"todos / todas / todos")</f>
        <v>todos / todas / todos</v>
      </c>
      <c r="H1112" s="0" t="str">
        <f aca="false">A1112&amp;"|"&amp;B1112</f>
        <v>every/all/everyone|tod@s</v>
      </c>
    </row>
    <row r="1113" customFormat="false" ht="15.75" hidden="false" customHeight="false" outlineLevel="0" collapsed="false">
      <c r="A1113" s="4" t="s">
        <v>2202</v>
      </c>
      <c r="B1113" s="5" t="s">
        <v>2203</v>
      </c>
      <c r="C1113" s="5" t="s">
        <v>2090</v>
      </c>
      <c r="D1113" s="6"/>
      <c r="E1113" s="7" t="str">
        <f aca="false">IFERROR(__xludf.dummyfunction("lower(GOOGLETRANSLATE(B1113,""es"",""en""))"),"blouse")</f>
        <v>blouse</v>
      </c>
      <c r="F1113" s="7" t="str">
        <f aca="false">IFERROR(__xludf.dummyfunction("lower(GOOGLETRANSLATE(A1113,""en"",""es""))"),"la blusa")</f>
        <v>la blusa</v>
      </c>
      <c r="H1113" s="0" t="str">
        <f aca="false">A1113&amp;"|"&amp;B1113</f>
        <v>the blouse|la blusa</v>
      </c>
    </row>
    <row r="1114" customFormat="false" ht="15.75" hidden="false" customHeight="false" outlineLevel="0" collapsed="false">
      <c r="A1114" s="4" t="s">
        <v>2204</v>
      </c>
      <c r="B1114" s="5" t="s">
        <v>2205</v>
      </c>
      <c r="C1114" s="5" t="s">
        <v>2090</v>
      </c>
      <c r="D1114" s="6"/>
      <c r="E1114" s="7" t="str">
        <f aca="false">IFERROR(__xludf.dummyfunction("lower(GOOGLETRANSLATE(B1114,""es"",""en""))"),"the bag")</f>
        <v>the bag</v>
      </c>
      <c r="F1114" s="7" t="str">
        <f aca="false">IFERROR(__xludf.dummyfunction("lower(GOOGLETRANSLATE(A1114,""en"",""es""))"),"el bolso")</f>
        <v>el bolso</v>
      </c>
      <c r="H1114" s="0" t="str">
        <f aca="false">A1114&amp;"|"&amp;B1114</f>
        <v>the bag|la bolsa</v>
      </c>
    </row>
    <row r="1115" customFormat="false" ht="15.75" hidden="false" customHeight="false" outlineLevel="0" collapsed="false">
      <c r="A1115" s="4" t="s">
        <v>2206</v>
      </c>
      <c r="B1115" s="5" t="s">
        <v>2207</v>
      </c>
      <c r="C1115" s="5" t="s">
        <v>2090</v>
      </c>
      <c r="D1115" s="6"/>
      <c r="E1115" s="7" t="str">
        <f aca="false">IFERROR(__xludf.dummyfunction("lower(GOOGLETRANSLATE(B1115,""es"",""en""))"),"the sock")</f>
        <v>the sock</v>
      </c>
      <c r="F1115" s="7" t="str">
        <f aca="false">IFERROR(__xludf.dummyfunction("lower(GOOGLETRANSLATE(A1115,""en"",""es""))"),"el calcetín")</f>
        <v>el calcetín</v>
      </c>
      <c r="H1115" s="0" t="str">
        <f aca="false">A1115&amp;"|"&amp;B1115</f>
        <v>the sock|el calcetín</v>
      </c>
    </row>
    <row r="1116" customFormat="false" ht="15.75" hidden="false" customHeight="false" outlineLevel="0" collapsed="false">
      <c r="A1116" s="4" t="s">
        <v>2208</v>
      </c>
      <c r="B1116" s="5" t="s">
        <v>2209</v>
      </c>
      <c r="C1116" s="5" t="s">
        <v>2090</v>
      </c>
      <c r="D1116" s="6"/>
      <c r="E1116" s="7" t="str">
        <f aca="false">IFERROR(__xludf.dummyfunction("lower(GOOGLETRANSLATE(B1116,""es"",""en""))"),"socks")</f>
        <v>socks</v>
      </c>
      <c r="F1116" s="7" t="str">
        <f aca="false">IFERROR(__xludf.dummyfunction("lower(GOOGLETRANSLATE(A1116,""en"",""es""))"),"los calcetines")</f>
        <v>los calcetines</v>
      </c>
      <c r="H1116" s="0" t="str">
        <f aca="false">A1116&amp;"|"&amp;B1116</f>
        <v>the socks|los calcetines</v>
      </c>
    </row>
    <row r="1117" customFormat="false" ht="15.75" hidden="false" customHeight="false" outlineLevel="0" collapsed="false">
      <c r="A1117" s="4" t="s">
        <v>2210</v>
      </c>
      <c r="B1117" s="5" t="s">
        <v>2211</v>
      </c>
      <c r="C1117" s="5" t="s">
        <v>2090</v>
      </c>
      <c r="D1117" s="6"/>
      <c r="E1117" s="7" t="str">
        <f aca="false">IFERROR(__xludf.dummyfunction("lower(GOOGLETRANSLATE(B1117,""es"",""en""))"),"shirt")</f>
        <v>shirt</v>
      </c>
      <c r="F1117" s="7" t="str">
        <f aca="false">IFERROR(__xludf.dummyfunction("lower(GOOGLETRANSLATE(A1117,""en"",""es""))"),"la camisa")</f>
        <v>la camisa</v>
      </c>
      <c r="H1117" s="0" t="str">
        <f aca="false">A1117&amp;"|"&amp;B1117</f>
        <v>the shirt|la camisa</v>
      </c>
    </row>
    <row r="1118" customFormat="false" ht="15.75" hidden="false" customHeight="false" outlineLevel="0" collapsed="false">
      <c r="A1118" s="4" t="s">
        <v>2212</v>
      </c>
      <c r="B1118" s="5" t="s">
        <v>2213</v>
      </c>
      <c r="C1118" s="5" t="s">
        <v>2090</v>
      </c>
      <c r="D1118" s="6"/>
      <c r="E1118" s="7" t="str">
        <f aca="false">IFERROR(__xludf.dummyfunction("lower(GOOGLETRANSLATE(B1118,""es"",""en""))"),"t-shirt")</f>
        <v>t-shirt</v>
      </c>
      <c r="F1118" s="7" t="str">
        <f aca="false">IFERROR(__xludf.dummyfunction("lower(GOOGLETRANSLATE(A1118,""en"",""es""))"),"la remera")</f>
        <v>la remera</v>
      </c>
      <c r="H1118" s="0" t="str">
        <f aca="false">A1118&amp;"|"&amp;B1118</f>
        <v>the t-shirt|la camiseta</v>
      </c>
    </row>
    <row r="1119" customFormat="false" ht="15.75" hidden="false" customHeight="false" outlineLevel="0" collapsed="false">
      <c r="A1119" s="4" t="s">
        <v>2214</v>
      </c>
      <c r="B1119" s="5" t="s">
        <v>2215</v>
      </c>
      <c r="C1119" s="5" t="s">
        <v>2090</v>
      </c>
      <c r="D1119" s="6"/>
      <c r="E1119" s="7" t="str">
        <f aca="false">IFERROR(__xludf.dummyfunction("lower(GOOGLETRANSLATE(B1119,""es"",""en""))"),"the backgammon / jacket")</f>
        <v>the backgammon / jacket</v>
      </c>
      <c r="F1119" s="7" t="str">
        <f aca="false">IFERROR(__xludf.dummyfunction("lower(GOOGLETRANSLATE(A1119,""en"",""es""))"),"la chaqueta")</f>
        <v>la chaqueta</v>
      </c>
      <c r="H1119" s="0" t="str">
        <f aca="false">A1119&amp;"|"&amp;B1119</f>
        <v>the jacket|la chaquete/la chamarra</v>
      </c>
    </row>
    <row r="1120" customFormat="false" ht="15.75" hidden="false" customHeight="false" outlineLevel="0" collapsed="false">
      <c r="A1120" s="4" t="s">
        <v>2216</v>
      </c>
      <c r="B1120" s="5" t="s">
        <v>2217</v>
      </c>
      <c r="C1120" s="5" t="s">
        <v>2090</v>
      </c>
      <c r="D1120" s="6"/>
      <c r="E1120" s="7" t="str">
        <f aca="false">IFERROR(__xludf.dummyfunction("lower(GOOGLETRANSLATE(B1120,""es"",""en""))"),"skirt")</f>
        <v>skirt</v>
      </c>
      <c r="F1120" s="7" t="str">
        <f aca="false">IFERROR(__xludf.dummyfunction("lower(GOOGLETRANSLATE(A1120,""en"",""es""))"),"la falda")</f>
        <v>la falda</v>
      </c>
      <c r="H1120" s="0" t="str">
        <f aca="false">A1120&amp;"|"&amp;B1120</f>
        <v>the skirt|la falda</v>
      </c>
    </row>
    <row r="1121" customFormat="false" ht="15.75" hidden="false" customHeight="false" outlineLevel="0" collapsed="false">
      <c r="A1121" s="4" t="s">
        <v>2218</v>
      </c>
      <c r="B1121" s="5" t="s">
        <v>2219</v>
      </c>
      <c r="C1121" s="5" t="s">
        <v>2090</v>
      </c>
      <c r="D1121" s="6"/>
      <c r="E1121" s="7" t="str">
        <f aca="false">IFERROR(__xludf.dummyfunction("lower(GOOGLETRANSLATE(B1121,""es"",""en""))"),"the jeans")</f>
        <v>the jeans</v>
      </c>
      <c r="F1121" s="7" t="str">
        <f aca="false">IFERROR(__xludf.dummyfunction("lower(GOOGLETRANSLATE(A1121,""en"",""es""))"),"los vaqueros")</f>
        <v>los vaqueros</v>
      </c>
      <c r="H1121" s="0" t="str">
        <f aca="false">A1121&amp;"|"&amp;B1121</f>
        <v>the jeans|los jeans</v>
      </c>
    </row>
    <row r="1122" customFormat="false" ht="15.75" hidden="false" customHeight="false" outlineLevel="0" collapsed="false">
      <c r="A1122" s="4" t="s">
        <v>2220</v>
      </c>
      <c r="B1122" s="5" t="s">
        <v>2221</v>
      </c>
      <c r="C1122" s="5" t="s">
        <v>2090</v>
      </c>
      <c r="D1122" s="6"/>
      <c r="E1122" s="7" t="str">
        <f aca="false">IFERROR(__xludf.dummyfunction("lower(GOOGLETRANSLATE(B1122,""es"",""en""))"),"shorts)")</f>
        <v>shorts)</v>
      </c>
      <c r="F1122" s="7" t="str">
        <f aca="false">IFERROR(__xludf.dummyfunction("lower(GOOGLETRANSLATE(A1122,""en"",""es""))"),"los pantalones (cortos)")</f>
        <v>los pantalones (cortos)</v>
      </c>
      <c r="H1122" s="0" t="str">
        <f aca="false">A1122&amp;"|"&amp;B1122</f>
        <v>the (short) pants|los pantalones (cortos)</v>
      </c>
    </row>
    <row r="1123" customFormat="false" ht="15.75" hidden="false" customHeight="false" outlineLevel="0" collapsed="false">
      <c r="A1123" s="4" t="s">
        <v>2222</v>
      </c>
      <c r="B1123" s="5" t="s">
        <v>2223</v>
      </c>
      <c r="C1123" s="5" t="s">
        <v>2090</v>
      </c>
      <c r="D1123" s="6"/>
      <c r="E1123" s="7" t="str">
        <f aca="false">IFERROR(__xludf.dummyfunction("lower(GOOGLETRANSLATE(B1123,""es"",""en""))"),"clothes")</f>
        <v>clothes</v>
      </c>
      <c r="F1123" s="7" t="str">
        <f aca="false">IFERROR(__xludf.dummyfunction("lower(GOOGLETRANSLATE(A1123,""en"",""es""))"),"ropa")</f>
        <v>ropa</v>
      </c>
      <c r="H1123" s="0" t="str">
        <f aca="false">A1123&amp;"|"&amp;B1123</f>
        <v>clothes|la ropa</v>
      </c>
    </row>
    <row r="1124" customFormat="false" ht="15.75" hidden="false" customHeight="false" outlineLevel="0" collapsed="false">
      <c r="A1124" s="4" t="s">
        <v>2224</v>
      </c>
      <c r="B1124" s="5" t="s">
        <v>2225</v>
      </c>
      <c r="C1124" s="5" t="s">
        <v>2090</v>
      </c>
      <c r="D1124" s="6"/>
      <c r="E1124" s="7" t="str">
        <f aca="false">IFERROR(__xludf.dummyfunction("lower(GOOGLETRANSLATE(B1124,""es"",""en""))"),"sweatshirt")</f>
        <v>sweatshirt</v>
      </c>
      <c r="F1124" s="7" t="str">
        <f aca="false">IFERROR(__xludf.dummyfunction("lower(GOOGLETRANSLATE(A1124,""en"",""es""))"),"la sudadera")</f>
        <v>la sudadera</v>
      </c>
      <c r="H1124" s="0" t="str">
        <f aca="false">A1124&amp;"|"&amp;B1124</f>
        <v>the sweatshirt|la sudadera</v>
      </c>
    </row>
    <row r="1125" customFormat="false" ht="15.75" hidden="false" customHeight="false" outlineLevel="0" collapsed="false">
      <c r="A1125" s="4" t="s">
        <v>2226</v>
      </c>
      <c r="B1125" s="5" t="s">
        <v>2227</v>
      </c>
      <c r="C1125" s="5" t="s">
        <v>2090</v>
      </c>
      <c r="D1125" s="6"/>
      <c r="E1125" s="7" t="str">
        <f aca="false">IFERROR(__xludf.dummyfunction("lower(GOOGLETRANSLATE(B1125,""es"",""en""))"),"the sweater")</f>
        <v>the sweater</v>
      </c>
      <c r="F1125" s="7" t="str">
        <f aca="false">IFERROR(__xludf.dummyfunction("lower(GOOGLETRANSLATE(A1125,""en"",""es""))"),"la sweather")</f>
        <v>la sweather</v>
      </c>
      <c r="H1125" s="0" t="str">
        <f aca="false">A1125&amp;"|"&amp;B1125</f>
        <v>the sweather|el suéter</v>
      </c>
    </row>
    <row r="1126" customFormat="false" ht="15.75" hidden="false" customHeight="false" outlineLevel="0" collapsed="false">
      <c r="A1126" s="4" t="s">
        <v>2228</v>
      </c>
      <c r="B1126" s="5" t="s">
        <v>2229</v>
      </c>
      <c r="C1126" s="5" t="s">
        <v>2090</v>
      </c>
      <c r="D1126" s="6"/>
      <c r="E1126" s="7" t="str">
        <f aca="false">IFERROR(__xludf.dummyfunction("lower(GOOGLETRANSLATE(B1126,""es"",""en""))"),"costume")</f>
        <v>costume</v>
      </c>
      <c r="F1126" s="7" t="str">
        <f aca="false">IFERROR(__xludf.dummyfunction("lower(GOOGLETRANSLATE(A1126,""en"",""es""))"),"el traje")</f>
        <v>el traje</v>
      </c>
      <c r="H1126" s="0" t="str">
        <f aca="false">A1126&amp;"|"&amp;B1126</f>
        <v>the suit|el traje</v>
      </c>
    </row>
    <row r="1127" customFormat="false" ht="15.75" hidden="false" customHeight="false" outlineLevel="0" collapsed="false">
      <c r="A1127" s="4" t="s">
        <v>2230</v>
      </c>
      <c r="B1127" s="5" t="s">
        <v>2231</v>
      </c>
      <c r="C1127" s="5" t="s">
        <v>2090</v>
      </c>
      <c r="D1127" s="6"/>
      <c r="E1127" s="7" t="str">
        <f aca="false">IFERROR(__xludf.dummyfunction("lower(GOOGLETRANSLATE(B1127,""es"",""en""))"),"tennis shoes")</f>
        <v>tennis shoes</v>
      </c>
      <c r="F1127" s="7" t="str">
        <f aca="false">IFERROR(__xludf.dummyfunction("lower(GOOGLETRANSLATE(A1127,""en"",""es""))"),"las zapatillas de tenis")</f>
        <v>las zapatillas de tenis</v>
      </c>
      <c r="H1127" s="0" t="str">
        <f aca="false">A1127&amp;"|"&amp;B1127</f>
        <v>the tennis shoes|los (zapatos de) tenis</v>
      </c>
    </row>
    <row r="1128" customFormat="false" ht="15.75" hidden="false" customHeight="false" outlineLevel="0" collapsed="false">
      <c r="A1128" s="4" t="s">
        <v>2232</v>
      </c>
      <c r="B1128" s="5" t="s">
        <v>2233</v>
      </c>
      <c r="C1128" s="5" t="s">
        <v>2090</v>
      </c>
      <c r="D1128" s="6"/>
      <c r="E1128" s="7" t="str">
        <f aca="false">IFERROR(__xludf.dummyfunction("lower(GOOGLETRANSLATE(B1128,""es"",""en""))"),"dress")</f>
        <v>dress</v>
      </c>
      <c r="F1128" s="7" t="str">
        <f aca="false">IFERROR(__xludf.dummyfunction("lower(GOOGLETRANSLATE(A1128,""en"",""es""))"),"el vestido")</f>
        <v>el vestido</v>
      </c>
      <c r="H1128" s="0" t="str">
        <f aca="false">A1128&amp;"|"&amp;B1128</f>
        <v>the dress|el vestido</v>
      </c>
    </row>
    <row r="1129" customFormat="false" ht="15.75" hidden="false" customHeight="false" outlineLevel="0" collapsed="false">
      <c r="A1129" s="4" t="s">
        <v>2234</v>
      </c>
      <c r="B1129" s="5" t="s">
        <v>2235</v>
      </c>
      <c r="C1129" s="5" t="s">
        <v>2090</v>
      </c>
      <c r="D1129" s="6"/>
      <c r="E1129" s="7" t="str">
        <f aca="false">IFERROR(__xludf.dummyfunction("lower(GOOGLETRANSLATE(B1129,""es"",""en""))"),"the shoes")</f>
        <v>the shoes</v>
      </c>
      <c r="F1129" s="7" t="str">
        <f aca="false">IFERROR(__xludf.dummyfunction("lower(GOOGLETRANSLATE(A1129,""en"",""es""))"),"los zapatos")</f>
        <v>los zapatos</v>
      </c>
      <c r="H1129" s="0" t="str">
        <f aca="false">A1129&amp;"|"&amp;B1129</f>
        <v>the shoes|los zapatos</v>
      </c>
    </row>
    <row r="1130" customFormat="false" ht="15.75" hidden="false" customHeight="false" outlineLevel="0" collapsed="false">
      <c r="A1130" s="4" t="s">
        <v>2236</v>
      </c>
      <c r="B1130" s="5" t="s">
        <v>2237</v>
      </c>
      <c r="C1130" s="5" t="s">
        <v>2090</v>
      </c>
      <c r="D1130" s="6"/>
      <c r="E1130" s="7" t="str">
        <f aca="false">IFERROR(__xludf.dummyfunction("lower(GOOGLETRANSLATE(B1130,""es"",""en""))"),"the color")</f>
        <v>the color</v>
      </c>
      <c r="F1130" s="7" t="str">
        <f aca="false">IFERROR(__xludf.dummyfunction("lower(GOOGLETRANSLATE(A1130,""en"",""es""))"),"el color")</f>
        <v>el color</v>
      </c>
      <c r="H1130" s="0" t="str">
        <f aca="false">A1130&amp;"|"&amp;B1130</f>
        <v>the color|el color</v>
      </c>
    </row>
    <row r="1131" customFormat="false" ht="15.75" hidden="false" customHeight="false" outlineLevel="0" collapsed="false">
      <c r="A1131" s="4" t="s">
        <v>2238</v>
      </c>
      <c r="B1131" s="5" t="s">
        <v>2239</v>
      </c>
      <c r="C1131" s="5" t="s">
        <v>2090</v>
      </c>
      <c r="D1131" s="6"/>
      <c r="E1131" s="7" t="str">
        <f aca="false">IFERROR(__xludf.dummyfunction("lower(GOOGLETRANSLATE(B1131,""es"",""en""))"),"what color?")</f>
        <v>what color?</v>
      </c>
      <c r="F1131" s="7" t="str">
        <f aca="false">IFERROR(__xludf.dummyfunction("lower(GOOGLETRANSLATE(A1131,""en"",""es""))"),"¿qué color?")</f>
        <v>¿qué color?</v>
      </c>
      <c r="H1131" s="0" t="str">
        <f aca="false">A1131&amp;"|"&amp;B1131</f>
        <v>what color?|de qué color?</v>
      </c>
    </row>
    <row r="1132" customFormat="false" ht="15.75" hidden="false" customHeight="false" outlineLevel="0" collapsed="false">
      <c r="A1132" s="4" t="s">
        <v>2240</v>
      </c>
      <c r="B1132" s="5" t="s">
        <v>2241</v>
      </c>
      <c r="C1132" s="5" t="s">
        <v>2090</v>
      </c>
      <c r="D1132" s="6"/>
      <c r="E1132" s="7" t="str">
        <f aca="false">IFERROR(__xludf.dummyfunction("lower(GOOGLETRANSLATE(B1132,""es"",""en""))"),"yellow @")</f>
        <v>yellow @</v>
      </c>
      <c r="F1132" s="7" t="str">
        <f aca="false">IFERROR(__xludf.dummyfunction("lower(GOOGLETRANSLATE(A1132,""en"",""es""))"),"amarillo")</f>
        <v>amarillo</v>
      </c>
      <c r="H1132" s="0" t="str">
        <f aca="false">A1132&amp;"|"&amp;B1132</f>
        <v>yellow|amarill@</v>
      </c>
    </row>
    <row r="1133" customFormat="false" ht="15.75" hidden="false" customHeight="false" outlineLevel="0" collapsed="false">
      <c r="A1133" s="4" t="s">
        <v>2242</v>
      </c>
      <c r="B1133" s="5" t="s">
        <v>2243</v>
      </c>
      <c r="C1133" s="5" t="s">
        <v>2090</v>
      </c>
      <c r="D1133" s="6"/>
      <c r="E1133" s="7" t="str">
        <f aca="false">IFERROR(__xludf.dummyfunction("lower(GOOGLETRANSLATE(B1133,""es"",""en""))"),"orange @")</f>
        <v>orange @</v>
      </c>
      <c r="F1133" s="7" t="str">
        <f aca="false">IFERROR(__xludf.dummyfunction("lower(GOOGLETRANSLATE(A1133,""en"",""es""))"),"naranja")</f>
        <v>naranja</v>
      </c>
      <c r="H1133" s="0" t="str">
        <f aca="false">A1133&amp;"|"&amp;B1133</f>
        <v>orange|anaranjad@</v>
      </c>
    </row>
    <row r="1134" customFormat="false" ht="15.75" hidden="false" customHeight="false" outlineLevel="0" collapsed="false">
      <c r="A1134" s="4" t="s">
        <v>2244</v>
      </c>
      <c r="B1134" s="5" t="s">
        <v>2245</v>
      </c>
      <c r="C1134" s="5" t="s">
        <v>2090</v>
      </c>
      <c r="D1134" s="6"/>
      <c r="E1134" s="7" t="str">
        <f aca="false">IFERROR(__xludf.dummyfunction("lower(GOOGLETRANSLATE(B1134,""es"",""en""))"),"blue (s)")</f>
        <v>blue (s)</v>
      </c>
      <c r="F1134" s="7" t="str">
        <f aca="false">IFERROR(__xludf.dummyfunction("lower(GOOGLETRANSLATE(A1134,""en"",""es""))"),"azul")</f>
        <v>azul</v>
      </c>
      <c r="H1134" s="0" t="str">
        <f aca="false">A1134&amp;"|"&amp;B1134</f>
        <v>blue|azul(es)</v>
      </c>
    </row>
    <row r="1135" customFormat="false" ht="15.75" hidden="false" customHeight="false" outlineLevel="0" collapsed="false">
      <c r="A1135" s="4" t="s">
        <v>2246</v>
      </c>
      <c r="B1135" s="5" t="s">
        <v>2247</v>
      </c>
      <c r="C1135" s="5" t="s">
        <v>2090</v>
      </c>
      <c r="D1135" s="6"/>
      <c r="E1135" s="7" t="str">
        <f aca="false">IFERROR(__xludf.dummyfunction("lower(GOOGLETRANSLATE(B1135,""es"",""en""))"),"blanc @")</f>
        <v>blanc @</v>
      </c>
      <c r="F1135" s="7" t="str">
        <f aca="false">IFERROR(__xludf.dummyfunction("lower(GOOGLETRANSLATE(A1135,""en"",""es""))"),"blanco")</f>
        <v>blanco</v>
      </c>
      <c r="H1135" s="0" t="str">
        <f aca="false">A1135&amp;"|"&amp;B1135</f>
        <v>white|blanc@</v>
      </c>
    </row>
    <row r="1136" customFormat="false" ht="15.75" hidden="false" customHeight="false" outlineLevel="0" collapsed="false">
      <c r="A1136" s="4" t="s">
        <v>2248</v>
      </c>
      <c r="B1136" s="5" t="s">
        <v>2249</v>
      </c>
      <c r="C1136" s="5" t="s">
        <v>2090</v>
      </c>
      <c r="D1136" s="6"/>
      <c r="E1136" s="7" t="str">
        <f aca="false">IFERROR(__xludf.dummyfunction("lower(GOOGLETRANSLATE(B1136,""es"",""en""))"),"gray (s)")</f>
        <v>gray (s)</v>
      </c>
      <c r="F1136" s="7" t="str">
        <f aca="false">IFERROR(__xludf.dummyfunction("lower(GOOGLETRANSLATE(A1136,""en"",""es""))"),"gris")</f>
        <v>gris</v>
      </c>
      <c r="H1136" s="0" t="str">
        <f aca="false">A1136&amp;"|"&amp;B1136</f>
        <v>gray|gris(es)</v>
      </c>
    </row>
    <row r="1137" customFormat="false" ht="15.75" hidden="false" customHeight="false" outlineLevel="0" collapsed="false">
      <c r="A1137" s="4" t="s">
        <v>2129</v>
      </c>
      <c r="B1137" s="5" t="s">
        <v>2250</v>
      </c>
      <c r="C1137" s="5" t="s">
        <v>2090</v>
      </c>
      <c r="D1137" s="6"/>
      <c r="E1137" s="7" t="str">
        <f aca="false">IFERROR(__xludf.dummyfunction("lower(GOOGLETRANSLATE(B1137,""es"",""en""))"),"brown (s)")</f>
        <v>brown (s)</v>
      </c>
      <c r="F1137" s="7" t="str">
        <f aca="false">IFERROR(__xludf.dummyfunction("lower(GOOGLETRANSLATE(A1137,""en"",""es""))"),"marrón")</f>
        <v>marrón</v>
      </c>
      <c r="H1137" s="0" t="str">
        <f aca="false">A1137&amp;"|"&amp;B1137</f>
        <v>brown|marrón(es)</v>
      </c>
    </row>
    <row r="1138" customFormat="false" ht="15.75" hidden="false" customHeight="false" outlineLevel="0" collapsed="false">
      <c r="A1138" s="4" t="s">
        <v>2251</v>
      </c>
      <c r="B1138" s="5" t="s">
        <v>2252</v>
      </c>
      <c r="C1138" s="5" t="s">
        <v>2090</v>
      </c>
      <c r="D1138" s="6"/>
      <c r="E1138" s="7" t="str">
        <f aca="false">IFERROR(__xludf.dummyfunction("lower(GOOGLETRANSLATE(B1138,""es"",""en""))"),"morad @")</f>
        <v>morad @</v>
      </c>
      <c r="F1138" s="7" t="str">
        <f aca="false">IFERROR(__xludf.dummyfunction("lower(GOOGLETRANSLATE(A1138,""en"",""es""))"),"púrpura")</f>
        <v>púrpura</v>
      </c>
      <c r="H1138" s="0" t="str">
        <f aca="false">A1138&amp;"|"&amp;B1138</f>
        <v>purple|morad@</v>
      </c>
    </row>
    <row r="1139" customFormat="false" ht="15.75" hidden="false" customHeight="false" outlineLevel="0" collapsed="false">
      <c r="A1139" s="4" t="s">
        <v>2134</v>
      </c>
      <c r="B1139" s="5" t="s">
        <v>2253</v>
      </c>
      <c r="C1139" s="5" t="s">
        <v>2090</v>
      </c>
      <c r="D1139" s="6"/>
      <c r="E1139" s="7" t="str">
        <f aca="false">IFERROR(__xludf.dummyfunction("lower(GOOGLETRANSLATE(B1139,""es"",""en""))"),"black @")</f>
        <v>black @</v>
      </c>
      <c r="F1139" s="7" t="str">
        <f aca="false">IFERROR(__xludf.dummyfunction("lower(GOOGLETRANSLATE(A1139,""en"",""es""))"),"negro")</f>
        <v>negro</v>
      </c>
      <c r="H1139" s="0" t="str">
        <f aca="false">A1139&amp;"|"&amp;B1139</f>
        <v>black|negr@</v>
      </c>
    </row>
    <row r="1140" customFormat="false" ht="15.75" hidden="false" customHeight="false" outlineLevel="0" collapsed="false">
      <c r="A1140" s="4" t="s">
        <v>2254</v>
      </c>
      <c r="B1140" s="5" t="s">
        <v>2255</v>
      </c>
      <c r="C1140" s="5" t="s">
        <v>2090</v>
      </c>
      <c r="D1140" s="6"/>
      <c r="E1140" s="7" t="str">
        <f aca="false">IFERROR(__xludf.dummyfunction("lower(GOOGLETRANSLATE(B1140,""es"",""en""))"),"red @")</f>
        <v>red @</v>
      </c>
      <c r="F1140" s="7" t="str">
        <f aca="false">IFERROR(__xludf.dummyfunction("lower(GOOGLETRANSLATE(A1140,""en"",""es""))"),"rojo")</f>
        <v>rojo</v>
      </c>
      <c r="H1140" s="0" t="str">
        <f aca="false">A1140&amp;"|"&amp;B1140</f>
        <v>red|roj@</v>
      </c>
    </row>
    <row r="1141" customFormat="false" ht="15.75" hidden="false" customHeight="false" outlineLevel="0" collapsed="false">
      <c r="A1141" s="4" t="s">
        <v>2256</v>
      </c>
      <c r="B1141" s="5" t="s">
        <v>2257</v>
      </c>
      <c r="C1141" s="5" t="s">
        <v>2090</v>
      </c>
      <c r="D1141" s="6"/>
      <c r="E1141" s="7" t="str">
        <f aca="false">IFERROR(__xludf.dummyfunction("lower(GOOGLETRANSLATE(B1141,""es"",""en""))"),"pink @")</f>
        <v>pink @</v>
      </c>
      <c r="F1141" s="7" t="str">
        <f aca="false">IFERROR(__xludf.dummyfunction("lower(GOOGLETRANSLATE(A1141,""en"",""es""))"),"rosado")</f>
        <v>rosado</v>
      </c>
      <c r="H1141" s="0" t="str">
        <f aca="false">A1141&amp;"|"&amp;B1141</f>
        <v>pink|rosad@</v>
      </c>
    </row>
    <row r="1142" customFormat="false" ht="15.75" hidden="false" customHeight="false" outlineLevel="0" collapsed="false">
      <c r="A1142" s="4" t="s">
        <v>2258</v>
      </c>
      <c r="B1142" s="5" t="s">
        <v>2259</v>
      </c>
      <c r="C1142" s="5" t="s">
        <v>2090</v>
      </c>
      <c r="D1142" s="6"/>
      <c r="E1142" s="7" t="str">
        <f aca="false">IFERROR(__xludf.dummyfunction("lower(GOOGLETRANSLATE(B1142,""es"",""en""))"),"green")</f>
        <v>green</v>
      </c>
      <c r="F1142" s="7" t="str">
        <f aca="false">IFERROR(__xludf.dummyfunction("lower(GOOGLETRANSLATE(A1142,""en"",""es""))"),"verde")</f>
        <v>verde</v>
      </c>
      <c r="H1142" s="0" t="str">
        <f aca="false">A1142&amp;"|"&amp;B1142</f>
        <v>green|verde</v>
      </c>
    </row>
    <row r="1143" customFormat="false" ht="15.75" hidden="false" customHeight="false" outlineLevel="0" collapsed="false">
      <c r="A1143" s="4" t="s">
        <v>2260</v>
      </c>
      <c r="B1143" s="5" t="s">
        <v>2261</v>
      </c>
      <c r="C1143" s="5" t="s">
        <v>2090</v>
      </c>
      <c r="D1143" s="6"/>
      <c r="E1143" s="7" t="str">
        <f aca="false">IFERROR(__xludf.dummyfunction("lower(GOOGLETRANSLATE(B1143,""es"",""en""))"),"newbie")</f>
        <v>newbie</v>
      </c>
      <c r="F1143" s="7" t="str">
        <f aca="false">IFERROR(__xludf.dummyfunction("lower(GOOGLETRANSLATE(A1143,""en"",""es""))"),"nuevo")</f>
        <v>nuevo</v>
      </c>
      <c r="H1143" s="0" t="str">
        <f aca="false">A1143&amp;"|"&amp;B1143</f>
        <v>new|nuev@</v>
      </c>
    </row>
    <row r="1144" customFormat="false" ht="15.75" hidden="false" customHeight="false" outlineLevel="0" collapsed="false">
      <c r="A1144" s="4" t="s">
        <v>2262</v>
      </c>
      <c r="B1144" s="5" t="s">
        <v>2263</v>
      </c>
      <c r="C1144" s="5" t="s">
        <v>2090</v>
      </c>
      <c r="D1144" s="6"/>
      <c r="E1144" s="7" t="str">
        <f aca="false">IFERROR(__xludf.dummyfunction("lower(GOOGLETRANSLATE(B1144,""es"",""en""))"),"the suit is gray")</f>
        <v>the suit is gray</v>
      </c>
      <c r="F1144" s="7" t="str">
        <f aca="false">IFERROR(__xludf.dummyfunction("lower(GOOGLETRANSLATE(A1144,""en"",""es""))"),"el traje es de color gris")</f>
        <v>el traje es de color gris</v>
      </c>
      <c r="H1144" s="0" t="str">
        <f aca="false">A1144&amp;"|"&amp;B1144</f>
        <v>the suit is gray|el traje es gris</v>
      </c>
    </row>
    <row r="1145" customFormat="false" ht="15.75" hidden="false" customHeight="false" outlineLevel="0" collapsed="false">
      <c r="A1145" s="4" t="s">
        <v>2264</v>
      </c>
      <c r="B1145" s="5" t="s">
        <v>2265</v>
      </c>
      <c r="C1145" s="5" t="s">
        <v>2090</v>
      </c>
      <c r="D1145" s="6"/>
      <c r="E1145" s="7" t="str">
        <f aca="false">IFERROR(__xludf.dummyfunction("lower(GOOGLETRANSLATE(B1145,""es"",""en""))"),"this / that / that")</f>
        <v>this / that / that</v>
      </c>
      <c r="F1145" s="7" t="str">
        <f aca="false">IFERROR(__xludf.dummyfunction("lower(GOOGLETRANSLATE(A1145,""en"",""es""))"),"ese")</f>
        <v>ese</v>
      </c>
      <c r="H1145" s="0" t="str">
        <f aca="false">A1145&amp;"|"&amp;B1145</f>
        <v>that|ese/esa/eso</v>
      </c>
    </row>
    <row r="1146" customFormat="false" ht="15.75" hidden="false" customHeight="false" outlineLevel="0" collapsed="false">
      <c r="A1146" s="4" t="s">
        <v>2266</v>
      </c>
      <c r="B1146" s="5" t="s">
        <v>2267</v>
      </c>
      <c r="C1146" s="5" t="s">
        <v>2090</v>
      </c>
      <c r="D1146" s="6"/>
      <c r="E1146" s="7" t="str">
        <f aca="false">IFERROR(__xludf.dummyfunction("lower(GOOGLETRANSLATE(B1146,""es"",""en""))"),"those")</f>
        <v>those</v>
      </c>
      <c r="F1146" s="7" t="str">
        <f aca="false">IFERROR(__xludf.dummyfunction("lower(GOOGLETRANSLATE(A1146,""en"",""es""))"),"aquellos")</f>
        <v>aquellos</v>
      </c>
      <c r="H1146" s="0" t="str">
        <f aca="false">A1146&amp;"|"&amp;B1146</f>
        <v>those|esos/esas</v>
      </c>
    </row>
    <row r="1147" customFormat="false" ht="15.75" hidden="false" customHeight="false" outlineLevel="0" collapsed="false">
      <c r="A1147" s="4" t="s">
        <v>2268</v>
      </c>
      <c r="B1147" s="5" t="s">
        <v>2269</v>
      </c>
      <c r="C1147" s="5" t="s">
        <v>2090</v>
      </c>
      <c r="D1147" s="6"/>
      <c r="E1147" s="7" t="str">
        <f aca="false">IFERROR(__xludf.dummyfunction("lower(GOOGLETRANSLATE(B1147,""es"",""en""))"),"this / this / this")</f>
        <v>this / this / this</v>
      </c>
      <c r="F1147" s="7" t="str">
        <f aca="false">IFERROR(__xludf.dummyfunction("lower(GOOGLETRANSLATE(A1147,""en"",""es""))"),"esta")</f>
        <v>esta</v>
      </c>
      <c r="H1147" s="0" t="str">
        <f aca="false">A1147&amp;"|"&amp;B1147</f>
        <v>this|este/esta/esto</v>
      </c>
    </row>
    <row r="1148" customFormat="false" ht="15.75" hidden="false" customHeight="false" outlineLevel="0" collapsed="false">
      <c r="A1148" s="4" t="s">
        <v>2270</v>
      </c>
      <c r="B1148" s="5" t="s">
        <v>2271</v>
      </c>
      <c r="C1148" s="5" t="s">
        <v>2090</v>
      </c>
      <c r="D1148" s="6"/>
      <c r="E1148" s="7" t="str">
        <f aca="false">IFERROR(__xludf.dummyfunction("lower(GOOGLETRANSLATE(B1148,""es"",""en""))"),"this / these")</f>
        <v>this / these</v>
      </c>
      <c r="F1148" s="7" t="str">
        <f aca="false">IFERROR(__xludf.dummyfunction("lower(GOOGLETRANSLATE(A1148,""en"",""es""))"),"estas")</f>
        <v>estas</v>
      </c>
      <c r="H1148" s="0" t="str">
        <f aca="false">A1148&amp;"|"&amp;B1148</f>
        <v>these|estos/estas</v>
      </c>
    </row>
    <row r="1149" customFormat="false" ht="15.75" hidden="false" customHeight="false" outlineLevel="0" collapsed="false">
      <c r="A1149" s="4" t="s">
        <v>2272</v>
      </c>
      <c r="B1149" s="5" t="s">
        <v>2273</v>
      </c>
      <c r="C1149" s="5" t="s">
        <v>2090</v>
      </c>
      <c r="D1149" s="6"/>
      <c r="E1149" s="7" t="str">
        <f aca="false">IFERROR(__xludf.dummyfunction("lower(GOOGLETRANSLATE(B1149,""es"",""en""))"),"other@")</f>
        <v>other@</v>
      </c>
      <c r="F1149" s="7" t="str">
        <f aca="false">IFERROR(__xludf.dummyfunction("lower(GOOGLETRANSLATE(A1149,""en"",""es""))"),"otro otra")</f>
        <v>otro otra</v>
      </c>
      <c r="H1149" s="0" t="str">
        <f aca="false">A1149&amp;"|"&amp;B1149</f>
        <v>other/another|otro@</v>
      </c>
    </row>
    <row r="1150" customFormat="false" ht="15.75" hidden="false" customHeight="false" outlineLevel="0" collapsed="false">
      <c r="A1150" s="4" t="s">
        <v>2274</v>
      </c>
      <c r="B1150" s="5" t="s">
        <v>2275</v>
      </c>
      <c r="C1150" s="5" t="s">
        <v>2090</v>
      </c>
      <c r="D1150" s="6"/>
      <c r="E1150" s="7" t="str">
        <f aca="false">IFERROR(__xludf.dummyfunction("lower(GOOGLETRANSLATE(B1150,""es"",""en""))"),"the store")</f>
        <v>the store</v>
      </c>
      <c r="F1150" s="7" t="str">
        <f aca="false">IFERROR(__xludf.dummyfunction("lower(GOOGLETRANSLATE(A1150,""en"",""es""))"),"el almacén")</f>
        <v>el almacén</v>
      </c>
      <c r="H1150" s="0" t="str">
        <f aca="false">A1150&amp;"|"&amp;B1150</f>
        <v>the warehouse|el almacén</v>
      </c>
    </row>
    <row r="1151" customFormat="false" ht="15.75" hidden="false" customHeight="false" outlineLevel="0" collapsed="false">
      <c r="A1151" s="4" t="s">
        <v>2276</v>
      </c>
      <c r="B1151" s="5" t="s">
        <v>2277</v>
      </c>
      <c r="C1151" s="5" t="s">
        <v>2090</v>
      </c>
      <c r="D1151" s="6"/>
      <c r="E1151" s="7" t="str">
        <f aca="false">IFERROR(__xludf.dummyfunction("lower(GOOGLETRANSLATE(B1151,""es"",""en""))"),"discount store")</f>
        <v>discount store</v>
      </c>
      <c r="F1151" s="7" t="str">
        <f aca="false">IFERROR(__xludf.dummyfunction("lower(GOOGLETRANSLATE(A1151,""en"",""es""))"),"la tienda de descuento")</f>
        <v>la tienda de descuento</v>
      </c>
      <c r="H1151" s="0" t="str">
        <f aca="false">A1151&amp;"|"&amp;B1151</f>
        <v>the discount store|la tienda de descuentos</v>
      </c>
    </row>
    <row r="1152" customFormat="false" ht="15.75" hidden="false" customHeight="false" outlineLevel="0" collapsed="false">
      <c r="A1152" s="4" t="s">
        <v>2278</v>
      </c>
      <c r="B1152" s="5" t="s">
        <v>2279</v>
      </c>
      <c r="C1152" s="5" t="s">
        <v>2090</v>
      </c>
      <c r="D1152" s="6"/>
      <c r="E1152" s="7" t="str">
        <f aca="false">IFERROR(__xludf.dummyfunction("lower(GOOGLETRANSLATE(B1152,""es"",""en""))"),"the clothing store")</f>
        <v>the clothing store</v>
      </c>
      <c r="F1152" s="7" t="str">
        <f aca="false">IFERROR(__xludf.dummyfunction("lower(GOOGLETRANSLATE(A1152,""en"",""es""))"),"la tienda de ropa")</f>
        <v>la tienda de ropa</v>
      </c>
      <c r="H1152" s="0" t="str">
        <f aca="false">A1152&amp;"|"&amp;B1152</f>
        <v>the clothing store|la tienda de ropa</v>
      </c>
    </row>
    <row r="1153" customFormat="false" ht="15.75" hidden="false" customHeight="false" outlineLevel="0" collapsed="false">
      <c r="A1153" s="4" t="s">
        <v>2280</v>
      </c>
      <c r="B1153" s="5" t="s">
        <v>2281</v>
      </c>
      <c r="C1153" s="5" t="s">
        <v>2090</v>
      </c>
      <c r="D1153" s="6"/>
      <c r="E1153" s="7" t="str">
        <f aca="false">IFERROR(__xludf.dummyfunction("lower(GOOGLETRANSLATE(B1153,""es"",""en""))"),"the shoe store")</f>
        <v>the shoe store</v>
      </c>
      <c r="F1153" s="7" t="str">
        <f aca="false">IFERROR(__xludf.dummyfunction("lower(GOOGLETRANSLATE(A1153,""en"",""es""))"),"la tienda de zapatos")</f>
        <v>la tienda de zapatos</v>
      </c>
      <c r="H1153" s="0" t="str">
        <f aca="false">A1153&amp;"|"&amp;B1153</f>
        <v>the shoe store|la zapatería</v>
      </c>
    </row>
    <row r="1154" customFormat="false" ht="15.75" hidden="false" customHeight="false" outlineLevel="0" collapsed="false">
      <c r="A1154" s="4" t="s">
        <v>2282</v>
      </c>
      <c r="B1154" s="5" t="s">
        <v>2283</v>
      </c>
      <c r="C1154" s="5" t="s">
        <v>2090</v>
      </c>
      <c r="D1154" s="6"/>
      <c r="E1154" s="7" t="str">
        <f aca="false">IFERROR(__xludf.dummyfunction("lower(GOOGLETRANSLATE(B1154,""es"",""en""))"),"shopping")</f>
        <v>shopping</v>
      </c>
      <c r="F1154" s="7" t="str">
        <f aca="false">IFERROR(__xludf.dummyfunction("lower(GOOGLETRANSLATE(A1154,""en"",""es""))"),"fuera de compras")</f>
        <v>fuera de compras</v>
      </c>
      <c r="H1154" s="0" t="str">
        <f aca="false">A1154&amp;"|"&amp;B1154</f>
        <v>out shopping|de compras</v>
      </c>
    </row>
    <row r="1155" customFormat="false" ht="15.75" hidden="false" customHeight="false" outlineLevel="0" collapsed="false">
      <c r="A1155" s="4" t="s">
        <v>2284</v>
      </c>
      <c r="B1155" s="5" t="s">
        <v>2285</v>
      </c>
      <c r="C1155" s="5" t="s">
        <v>2090</v>
      </c>
      <c r="D1155" s="6"/>
      <c r="E1155" s="7" t="str">
        <f aca="false">IFERROR(__xludf.dummyfunction("lower(GOOGLETRANSLATE(B1155,""es"",""en""))"),"look for")</f>
        <v>look for</v>
      </c>
      <c r="F1155" s="7" t="str">
        <f aca="false">IFERROR(__xludf.dummyfunction("lower(GOOGLETRANSLATE(A1155,""en"",""es""))"),"buscar")</f>
        <v>buscar</v>
      </c>
      <c r="H1155" s="0" t="str">
        <f aca="false">A1155&amp;"|"&amp;B1155</f>
        <v>to look for|buscar</v>
      </c>
    </row>
    <row r="1156" customFormat="false" ht="15.75" hidden="false" customHeight="false" outlineLevel="0" collapsed="false">
      <c r="A1156" s="4" t="s">
        <v>2286</v>
      </c>
      <c r="B1156" s="5" t="s">
        <v>2287</v>
      </c>
      <c r="C1156" s="5" t="s">
        <v>2090</v>
      </c>
      <c r="D1156" s="6"/>
      <c r="E1156" s="7" t="str">
        <f aca="false">IFERROR(__xludf.dummyfunction("lower(GOOGLETRANSLATE(B1156,""es"",""en""))"),"to buy")</f>
        <v>to buy</v>
      </c>
      <c r="F1156" s="7" t="str">
        <f aca="false">IFERROR(__xludf.dummyfunction("lower(GOOGLETRANSLATE(A1156,""en"",""es""))"),"la compra")</f>
        <v>la compra</v>
      </c>
      <c r="H1156" s="0" t="str">
        <f aca="false">A1156&amp;"|"&amp;B1156</f>
        <v>the buy|comprar</v>
      </c>
    </row>
    <row r="1157" customFormat="false" ht="15.75" hidden="false" customHeight="false" outlineLevel="0" collapsed="false">
      <c r="A1157" s="4" t="s">
        <v>2288</v>
      </c>
      <c r="B1157" s="5" t="s">
        <v>2289</v>
      </c>
      <c r="C1157" s="5" t="s">
        <v>2090</v>
      </c>
      <c r="D1157" s="6"/>
      <c r="E1157" s="7" t="str">
        <f aca="false">IFERROR(__xludf.dummyfunction("lower(GOOGLETRANSLATE(B1157,""es"",""en""))"),"count (o&gt; ue)")</f>
        <v>count (o&gt; ue)</v>
      </c>
      <c r="F1157" s="7" t="str">
        <f aca="false">IFERROR(__xludf.dummyfunction("lower(GOOGLETRANSLATE(A1157,""en"",""es""))"),"la cuenta")</f>
        <v>la cuenta</v>
      </c>
      <c r="H1157" s="0" t="str">
        <f aca="false">A1157&amp;"|"&amp;B1157</f>
        <v>the count|contar(o &gt; ue)</v>
      </c>
    </row>
    <row r="1158" customFormat="false" ht="15.75" hidden="false" customHeight="false" outlineLevel="0" collapsed="false">
      <c r="A1158" s="4" t="s">
        <v>2290</v>
      </c>
      <c r="B1158" s="5" t="s">
        <v>2291</v>
      </c>
      <c r="C1158" s="5" t="s">
        <v>2090</v>
      </c>
      <c r="D1158" s="6"/>
      <c r="E1158" s="7" t="str">
        <f aca="false">IFERROR(__xludf.dummyfunction("lower(GOOGLETRANSLATE(B1158,""es"",""en""))"),"consist (o&gt; ue)")</f>
        <v>consist (o&gt; ue)</v>
      </c>
      <c r="F1158" s="7" t="str">
        <f aca="false">IFERROR(__xludf.dummyfunction("lower(GOOGLETRANSLATE(A1158,""en"",""es""))"),"costar")</f>
        <v>costar</v>
      </c>
      <c r="H1158" s="0" t="str">
        <f aca="false">A1158&amp;"|"&amp;B1158</f>
        <v>to cost|constar(o &gt; ue)</v>
      </c>
    </row>
    <row r="1159" customFormat="false" ht="15.75" hidden="false" customHeight="false" outlineLevel="0" collapsed="false">
      <c r="A1159" s="4" t="s">
        <v>2292</v>
      </c>
      <c r="B1159" s="5" t="s">
        <v>2293</v>
      </c>
      <c r="C1159" s="5" t="s">
        <v>2090</v>
      </c>
      <c r="D1159" s="6"/>
      <c r="E1159" s="7" t="str">
        <f aca="false">IFERROR(__xludf.dummyfunction("lower(GOOGLETRANSLATE(B1159,""es"",""en""))"),"to wish")</f>
        <v>to wish</v>
      </c>
      <c r="F1159" s="7" t="str">
        <f aca="false">IFERROR(__xludf.dummyfunction("lower(GOOGLETRANSLATE(A1159,""en"",""es""))"),"querer / al deseo")</f>
        <v>querer / al deseo</v>
      </c>
      <c r="H1159" s="0" t="str">
        <f aca="false">A1159&amp;"|"&amp;B1159</f>
        <v>to want/to desire|desear</v>
      </c>
    </row>
    <row r="1160" customFormat="false" ht="15.75" hidden="false" customHeight="false" outlineLevel="0" collapsed="false">
      <c r="A1160" s="4" t="s">
        <v>2294</v>
      </c>
      <c r="B1160" s="5" t="s">
        <v>2295</v>
      </c>
      <c r="C1160" s="5" t="s">
        <v>2090</v>
      </c>
      <c r="D1160" s="6"/>
      <c r="E1160" s="7" t="str">
        <f aca="false">IFERROR(__xludf.dummyfunction("lower(GOOGLETRANSLATE(B1160,""es"",""en""))"),"find (o&gt; ue)")</f>
        <v>find (o&gt; ue)</v>
      </c>
      <c r="F1160" s="7" t="str">
        <f aca="false">IFERROR(__xludf.dummyfunction("lower(GOOGLETRANSLATE(A1160,""en"",""es""))"),"el hallazgo")</f>
        <v>el hallazgo</v>
      </c>
      <c r="H1160" s="0" t="str">
        <f aca="false">A1160&amp;"|"&amp;B1160</f>
        <v>the find|encontrar (o &gt; ue)</v>
      </c>
    </row>
    <row r="1161" customFormat="false" ht="15.75" hidden="false" customHeight="false" outlineLevel="0" collapsed="false">
      <c r="A1161" s="4" t="s">
        <v>2296</v>
      </c>
      <c r="B1161" s="5" t="s">
        <v>2297</v>
      </c>
      <c r="C1161" s="5" t="s">
        <v>2090</v>
      </c>
      <c r="D1161" s="6"/>
      <c r="E1161" s="7" t="str">
        <f aca="false">IFERROR(__xludf.dummyfunction("lower(GOOGLETRANSLATE(B1161,""es"",""en""))"),"free / gratuit @")</f>
        <v>free / gratuit @</v>
      </c>
      <c r="F1161" s="7" t="str">
        <f aca="false">IFERROR(__xludf.dummyfunction("lower(GOOGLETRANSLATE(A1161,""en"",""es""))"),"libre (sin costo)")</f>
        <v>libre (sin costo)</v>
      </c>
      <c r="H1161" s="0" t="str">
        <f aca="false">A1161&amp;"|"&amp;B1161</f>
        <v>free (no cost)|gratis/gratuit@</v>
      </c>
    </row>
    <row r="1162" customFormat="false" ht="15.75" hidden="false" customHeight="false" outlineLevel="0" collapsed="false">
      <c r="A1162" s="4" t="s">
        <v>2298</v>
      </c>
      <c r="B1162" s="5" t="s">
        <v>2299</v>
      </c>
      <c r="C1162" s="5" t="s">
        <v>2090</v>
      </c>
      <c r="D1162" s="6"/>
      <c r="E1162" s="7" t="str">
        <f aca="false">IFERROR(__xludf.dummyfunction("lower(GOOGLETRANSLATE(B1162,""es"",""en""))"),"wear")</f>
        <v>wear</v>
      </c>
      <c r="F1162" s="7" t="str">
        <f aca="false">IFERROR(__xludf.dummyfunction("lower(GOOGLETRANSLATE(A1162,""en"",""es""))"),"usar")</f>
        <v>usar</v>
      </c>
      <c r="H1162" s="0" t="str">
        <f aca="false">A1162&amp;"|"&amp;B1162</f>
        <v>to wear|llevar</v>
      </c>
    </row>
    <row r="1163" customFormat="false" ht="15.75" hidden="false" customHeight="false" outlineLevel="0" collapsed="false">
      <c r="A1163" s="4" t="s">
        <v>2300</v>
      </c>
      <c r="B1163" s="5" t="s">
        <v>2301</v>
      </c>
      <c r="C1163" s="5" t="s">
        <v>2090</v>
      </c>
      <c r="D1163" s="6"/>
      <c r="E1163" s="7" t="str">
        <f aca="false">IFERROR(__xludf.dummyfunction("lower(GOOGLETRANSLATE(B1163,""es"",""en""))"),"pay")</f>
        <v>pay</v>
      </c>
      <c r="F1163" s="7" t="str">
        <f aca="false">IFERROR(__xludf.dummyfunction("lower(GOOGLETRANSLATE(A1163,""en"",""es""))"),"pagar")</f>
        <v>pagar</v>
      </c>
      <c r="H1163" s="0" t="str">
        <f aca="false">A1163&amp;"|"&amp;B1163</f>
        <v>to pay|pagar</v>
      </c>
    </row>
    <row r="1164" customFormat="false" ht="15.75" hidden="false" customHeight="false" outlineLevel="0" collapsed="false">
      <c r="A1164" s="4" t="s">
        <v>2302</v>
      </c>
      <c r="B1164" s="5" t="s">
        <v>2303</v>
      </c>
      <c r="C1164" s="5" t="s">
        <v>2090</v>
      </c>
      <c r="D1164" s="6"/>
      <c r="E1164" s="7" t="str">
        <f aca="false">IFERROR(__xludf.dummyfunction("lower(GOOGLETRANSLATE(B1164,""es"",""en""))"),"for me")</f>
        <v>for me</v>
      </c>
      <c r="F1164" s="7" t="str">
        <f aca="false">IFERROR(__xludf.dummyfunction("lower(GOOGLETRANSLATE(A1164,""en"",""es""))"),"para mi")</f>
        <v>para mi</v>
      </c>
      <c r="H1164" s="0" t="str">
        <f aca="false">A1164&amp;"|"&amp;B1164</f>
        <v>for me|para mí</v>
      </c>
    </row>
    <row r="1165" customFormat="false" ht="15.75" hidden="false" customHeight="false" outlineLevel="0" collapsed="false">
      <c r="A1165" s="4" t="s">
        <v>2304</v>
      </c>
      <c r="B1165" s="5" t="s">
        <v>2305</v>
      </c>
      <c r="C1165" s="5" t="s">
        <v>2090</v>
      </c>
      <c r="D1165" s="6"/>
      <c r="E1165" s="7" t="str">
        <f aca="false">IFERROR(__xludf.dummyfunction("lower(GOOGLETRANSLATE(B1165,""es"",""en""))"),"for you")</f>
        <v>for you</v>
      </c>
      <c r="F1165" s="7" t="str">
        <f aca="false">IFERROR(__xludf.dummyfunction("lower(GOOGLETRANSLATE(A1165,""en"",""es""))"),"para ti")</f>
        <v>para ti</v>
      </c>
      <c r="H1165" s="0" t="str">
        <f aca="false">A1165&amp;"|"&amp;B1165</f>
        <v>for you|para ti</v>
      </c>
    </row>
    <row r="1166" customFormat="false" ht="15.75" hidden="false" customHeight="false" outlineLevel="0" collapsed="false">
      <c r="A1166" s="4" t="s">
        <v>2306</v>
      </c>
      <c r="B1166" s="5" t="s">
        <v>2307</v>
      </c>
      <c r="C1166" s="5" t="s">
        <v>2090</v>
      </c>
      <c r="D1166" s="6"/>
      <c r="E1166" s="7" t="str">
        <f aca="false">IFERROR(__xludf.dummyfunction("lower(GOOGLETRANSLATE(B1166,""es"",""en""))"),"for him / her")</f>
        <v>for him / her</v>
      </c>
      <c r="F1166" s="7" t="str">
        <f aca="false">IFERROR(__xludf.dummyfunction("lower(GOOGLETRANSLATE(A1166,""en"",""es""))"),"para él / ella")</f>
        <v>para él / ella</v>
      </c>
      <c r="H1166" s="0" t="str">
        <f aca="false">A1166&amp;"|"&amp;B1166</f>
        <v>for him/her|para él/ella</v>
      </c>
    </row>
    <row r="1167" customFormat="false" ht="15.75" hidden="false" customHeight="false" outlineLevel="0" collapsed="false">
      <c r="A1167" s="4" t="s">
        <v>2308</v>
      </c>
      <c r="B1167" s="5" t="s">
        <v>2309</v>
      </c>
      <c r="C1167" s="5" t="s">
        <v>2090</v>
      </c>
      <c r="D1167" s="6"/>
      <c r="E1167" s="7" t="str">
        <f aca="false">IFERROR(__xludf.dummyfunction("lower(GOOGLETRANSLATE(B1167,""es"",""en""))"),"by")</f>
        <v>by</v>
      </c>
      <c r="F1167" s="7" t="str">
        <f aca="false">IFERROR(__xludf.dummyfunction("lower(GOOGLETRANSLATE(A1167,""en"",""es""))"),"para (a cambio de)")</f>
        <v>para (a cambio de)</v>
      </c>
      <c r="H1167" s="0" t="str">
        <f aca="false">A1167&amp;"|"&amp;B1167</f>
        <v>for (in exchange for)|por</v>
      </c>
    </row>
    <row r="1168" customFormat="false" ht="15.75" hidden="false" customHeight="false" outlineLevel="0" collapsed="false">
      <c r="A1168" s="4" t="s">
        <v>2310</v>
      </c>
      <c r="B1168" s="5" t="s">
        <v>2311</v>
      </c>
      <c r="C1168" s="5" t="s">
        <v>2090</v>
      </c>
      <c r="D1168" s="6"/>
      <c r="E1168" s="7" t="str">
        <f aca="false">IFERROR(__xludf.dummyfunction("lower(GOOGLETRANSLATE(B1168,""es"",""en""))"),"come")</f>
        <v>come</v>
      </c>
      <c r="F1168" s="7" t="str">
        <f aca="false">IFERROR(__xludf.dummyfunction("lower(GOOGLETRANSLATE(A1168,""en"",""es""))"),"venir")</f>
        <v>venir</v>
      </c>
      <c r="H1168" s="0" t="str">
        <f aca="false">A1168&amp;"|"&amp;B1168</f>
        <v>to come|venir</v>
      </c>
    </row>
    <row r="1169" customFormat="false" ht="15.75" hidden="false" customHeight="false" outlineLevel="0" collapsed="false">
      <c r="A1169" s="4" t="s">
        <v>2312</v>
      </c>
      <c r="B1169" s="5" t="s">
        <v>2313</v>
      </c>
      <c r="C1169" s="5" t="s">
        <v>2090</v>
      </c>
      <c r="D1169" s="6"/>
      <c r="E1169" s="7" t="str">
        <f aca="false">IFERROR(__xludf.dummyfunction("lower(GOOGLETRANSLATE(B1169,""es"",""en""))"),"i come")</f>
        <v>i come</v>
      </c>
      <c r="F1169" s="7" t="str">
        <f aca="false">IFERROR(__xludf.dummyfunction("lower(GOOGLETRANSLATE(A1169,""en"",""es""))"),"yo voy")</f>
        <v>yo voy</v>
      </c>
      <c r="H1169" s="0" t="str">
        <f aca="false">A1169&amp;"|"&amp;B1169</f>
        <v>i come|yo vengo</v>
      </c>
    </row>
    <row r="1170" customFormat="false" ht="15.75" hidden="false" customHeight="false" outlineLevel="0" collapsed="false">
      <c r="A1170" s="4" t="s">
        <v>2314</v>
      </c>
      <c r="B1170" s="5" t="s">
        <v>2315</v>
      </c>
      <c r="C1170" s="5" t="s">
        <v>2090</v>
      </c>
      <c r="D1170" s="6"/>
      <c r="E1170" s="7" t="str">
        <f aca="false">IFERROR(__xludf.dummyfunction("lower(GOOGLETRANSLATE(B1170,""es"",""en""))"),"prices")</f>
        <v>prices</v>
      </c>
      <c r="F1170" s="7" t="str">
        <f aca="false">IFERROR(__xludf.dummyfunction("lower(GOOGLETRANSLATE(A1170,""en"",""es""))"),"los precios")</f>
        <v>los precios</v>
      </c>
      <c r="H1170" s="0" t="str">
        <f aca="false">A1170&amp;"|"&amp;B1170</f>
        <v>the prices|los precios</v>
      </c>
    </row>
    <row r="1171" customFormat="false" ht="15.75" hidden="false" customHeight="false" outlineLevel="0" collapsed="false">
      <c r="A1171" s="4" t="s">
        <v>2316</v>
      </c>
      <c r="B1171" s="5" t="s">
        <v>2317</v>
      </c>
      <c r="C1171" s="5" t="s">
        <v>2090</v>
      </c>
      <c r="D1171" s="6"/>
      <c r="E1171" s="7" t="str">
        <f aca="false">IFERROR(__xludf.dummyfunction("lower(GOOGLETRANSLATE(B1171,""es"",""en""))"),"the bargain")</f>
        <v>the bargain</v>
      </c>
      <c r="F1171" s="7" t="str">
        <f aca="false">IFERROR(__xludf.dummyfunction("lower(GOOGLETRANSLATE(A1171,""en"",""es""))"),"la ganga")</f>
        <v>la ganga</v>
      </c>
      <c r="H1171" s="0" t="str">
        <f aca="false">A1171&amp;"|"&amp;B1171</f>
        <v>the bargain|la ganga</v>
      </c>
    </row>
    <row r="1172" customFormat="false" ht="15.75" hidden="false" customHeight="false" outlineLevel="0" collapsed="false">
      <c r="A1172" s="4" t="s">
        <v>2318</v>
      </c>
      <c r="B1172" s="5" t="s">
        <v>2319</v>
      </c>
      <c r="C1172" s="5" t="s">
        <v>2090</v>
      </c>
      <c r="D1172" s="6"/>
      <c r="E1172" s="7" t="str">
        <f aca="false">IFERROR(__xludf.dummyfunction("lower(GOOGLETRANSLATE(B1172,""es"",""en""))"),"!what a deal!")</f>
        <v>!what a deal!</v>
      </c>
      <c r="F1172" s="7" t="str">
        <f aca="false">IFERROR(__xludf.dummyfunction("lower(GOOGLETRANSLATE(A1172,""en"",""es""))"),"lo que es una ganga!")</f>
        <v>lo que es una ganga!</v>
      </c>
      <c r="H1172" s="0" t="str">
        <f aca="false">A1172&amp;"|"&amp;B1172</f>
        <v>what a bargain!|!qué ganga!</v>
      </c>
    </row>
    <row r="1173" customFormat="false" ht="15.75" hidden="false" customHeight="false" outlineLevel="0" collapsed="false">
      <c r="A1173" s="4" t="s">
        <v>2320</v>
      </c>
      <c r="B1173" s="5" t="s">
        <v>2321</v>
      </c>
      <c r="C1173" s="5" t="s">
        <v>2090</v>
      </c>
      <c r="D1173" s="6"/>
      <c r="E1173" s="7" t="str">
        <f aca="false">IFERROR(__xludf.dummyfunction("lower(GOOGLETRANSLATE(B1173,""es"",""en""))"),"barat @")</f>
        <v>barat @</v>
      </c>
      <c r="F1173" s="7" t="str">
        <f aca="false">IFERROR(__xludf.dummyfunction("lower(GOOGLETRANSLATE(A1173,""en"",""es""))"),"barato / barato")</f>
        <v>barato / barato</v>
      </c>
      <c r="H1173" s="0" t="str">
        <f aca="false">A1173&amp;"|"&amp;B1173</f>
        <v>cheap/inexpensive|barat@</v>
      </c>
    </row>
    <row r="1174" customFormat="false" ht="15.75" hidden="false" customHeight="false" outlineLevel="0" collapsed="false">
      <c r="A1174" s="4" t="s">
        <v>2322</v>
      </c>
      <c r="B1174" s="5" t="s">
        <v>2323</v>
      </c>
      <c r="C1174" s="5" t="s">
        <v>2090</v>
      </c>
      <c r="D1174" s="6"/>
      <c r="E1174" s="7" t="str">
        <f aca="false">IFERROR(__xludf.dummyfunction("lower(GOOGLETRANSLATE(B1174,""es"",""en""))"),"car @")</f>
        <v>car @</v>
      </c>
      <c r="F1174" s="7" t="str">
        <f aca="false">IFERROR(__xludf.dummyfunction("lower(GOOGLETRANSLATE(A1174,""en"",""es""))"),"costoso")</f>
        <v>costoso</v>
      </c>
      <c r="H1174" s="0" t="str">
        <f aca="false">A1174&amp;"|"&amp;B1174</f>
        <v>expensive|car@</v>
      </c>
    </row>
    <row r="1175" customFormat="false" ht="15.75" hidden="false" customHeight="false" outlineLevel="0" collapsed="false">
      <c r="A1175" s="4" t="s">
        <v>2324</v>
      </c>
      <c r="B1175" s="5" t="s">
        <v>2325</v>
      </c>
      <c r="C1175" s="5" t="s">
        <v>2090</v>
      </c>
      <c r="D1175" s="6"/>
      <c r="E1175" s="7" t="str">
        <f aca="false">IFERROR(__xludf.dummyfunction("lower(GOOGLETRANSLATE(B1175,""es"",""en""))"),"dependent / the clerk")</f>
        <v>dependent / the clerk</v>
      </c>
      <c r="F1175" s="7" t="str">
        <f aca="false">IFERROR(__xludf.dummyfunction("lower(GOOGLETRANSLATE(A1175,""en"",""es""))"),"el empleado de la tienda")</f>
        <v>el empleado de la tienda</v>
      </c>
      <c r="H1175" s="0" t="str">
        <f aca="false">A1175&amp;"|"&amp;B1175</f>
        <v>the store clerk|el dependiente/la dependienta</v>
      </c>
    </row>
    <row r="1176" customFormat="false" ht="15.75" hidden="false" customHeight="false" outlineLevel="0" collapsed="false">
      <c r="A1176" s="4" t="s">
        <v>2326</v>
      </c>
      <c r="B1176" s="5" t="s">
        <v>2327</v>
      </c>
      <c r="C1176" s="5" t="s">
        <v>2090</v>
      </c>
      <c r="D1176" s="6"/>
      <c r="E1176" s="7" t="str">
        <f aca="false">IFERROR(__xludf.dummyfunction("lower(GOOGLETRANSLATE(B1176,""es"",""en""))"),"the / young youth")</f>
        <v>the / young youth</v>
      </c>
      <c r="F1176" s="7" t="str">
        <f aca="false">IFERROR(__xludf.dummyfunction("lower(GOOGLETRANSLATE(A1176,""en"",""es""))"),"youngster (s)")</f>
        <v>youngster (s)</v>
      </c>
      <c r="H1176" s="0" t="str">
        <f aca="false">A1176&amp;"|"&amp;B1176</f>
        <v>youngster(s)|el/la joven los jóvenes</v>
      </c>
    </row>
    <row r="1177" customFormat="false" ht="15.75" hidden="false" customHeight="false" outlineLevel="0" collapsed="false">
      <c r="A1177" s="4" t="s">
        <v>2328</v>
      </c>
      <c r="B1177" s="5" t="s">
        <v>2329</v>
      </c>
      <c r="C1177" s="5" t="s">
        <v>2090</v>
      </c>
      <c r="D1177" s="6"/>
      <c r="E1177" s="7" t="str">
        <f aca="false">IFERROR(__xludf.dummyfunction("lower(GOOGLETRANSLATE(B1177,""es"",""en""))"),"forgive")</f>
        <v>forgive</v>
      </c>
      <c r="F1177" s="7" t="str">
        <f aca="false">IFERROR(__xludf.dummyfunction("lower(GOOGLETRANSLATE(A1177,""en"",""es""))"),"disculpe")</f>
        <v>disculpe</v>
      </c>
      <c r="H1177" s="0" t="str">
        <f aca="false">A1177&amp;"|"&amp;B1177</f>
        <v>excuse me|perdone</v>
      </c>
    </row>
    <row r="1178" customFormat="false" ht="15.75" hidden="false" customHeight="false" outlineLevel="0" collapsed="false">
      <c r="A1178" s="4" t="s">
        <v>2328</v>
      </c>
      <c r="B1178" s="5" t="s">
        <v>2330</v>
      </c>
      <c r="C1178" s="5" t="s">
        <v>2090</v>
      </c>
      <c r="D1178" s="6"/>
      <c r="E1178" s="7" t="str">
        <f aca="false">IFERROR(__xludf.dummyfunction("lower(GOOGLETRANSLATE(B1178,""es"",""en""))"),"sorry")</f>
        <v>sorry</v>
      </c>
      <c r="F1178" s="7" t="str">
        <f aca="false">IFERROR(__xludf.dummyfunction("lower(GOOGLETRANSLATE(A1178,""en"",""es""))"),"disculpe")</f>
        <v>disculpe</v>
      </c>
      <c r="H1178" s="0" t="str">
        <f aca="false">A1178&amp;"|"&amp;B1178</f>
        <v>excuse me|disculpe</v>
      </c>
    </row>
    <row r="1179" customFormat="false" ht="15.75" hidden="false" customHeight="false" outlineLevel="0" collapsed="false">
      <c r="A1179" s="4" t="s">
        <v>2331</v>
      </c>
      <c r="B1179" s="5" t="s">
        <v>2332</v>
      </c>
      <c r="C1179" s="5" t="s">
        <v>2090</v>
      </c>
      <c r="D1179" s="6"/>
      <c r="E1179" s="7" t="str">
        <f aca="false">IFERROR(__xludf.dummyfunction("lower(GOOGLETRANSLATE(B1179,""es"",""en""))"),"here")</f>
        <v>here</v>
      </c>
      <c r="F1179" s="7" t="str">
        <f aca="false">IFERROR(__xludf.dummyfunction("lower(GOOGLETRANSLATE(A1179,""en"",""es""))"),"de esta manera")</f>
        <v>de esta manera</v>
      </c>
      <c r="H1179" s="0" t="str">
        <f aca="false">A1179&amp;"|"&amp;B1179</f>
        <v>this way|por aquí</v>
      </c>
    </row>
    <row r="1180" customFormat="false" ht="15.75" hidden="false" customHeight="false" outlineLevel="0" collapsed="false">
      <c r="A1180" s="4" t="s">
        <v>2333</v>
      </c>
      <c r="B1180" s="5" t="s">
        <v>2334</v>
      </c>
      <c r="C1180" s="5" t="s">
        <v>2090</v>
      </c>
      <c r="D1180" s="6"/>
      <c r="E1180" s="7" t="str">
        <f aca="false">IFERROR(__xludf.dummyfunction("lower(GOOGLETRANSLATE(B1180,""es"",""en""))"),"over there")</f>
        <v>over there</v>
      </c>
      <c r="F1180" s="7" t="str">
        <f aca="false">IFERROR(__xludf.dummyfunction("lower(GOOGLETRANSLATE(A1180,""en"",""es""))"),"de esa manera")</f>
        <v>de esa manera</v>
      </c>
      <c r="H1180" s="0" t="str">
        <f aca="false">A1180&amp;"|"&amp;B1180</f>
        <v>that way|por allí</v>
      </c>
    </row>
    <row r="1181" customFormat="false" ht="15.75" hidden="false" customHeight="false" outlineLevel="0" collapsed="false">
      <c r="A1181" s="4" t="s">
        <v>2335</v>
      </c>
      <c r="B1181" s="5" t="s">
        <v>2336</v>
      </c>
      <c r="C1181" s="5" t="s">
        <v>2090</v>
      </c>
      <c r="D1181" s="6"/>
      <c r="E1181" s="7" t="str">
        <f aca="false">IFERROR(__xludf.dummyfunction("lower(GOOGLETRANSLATE(B1181,""es"",""en""))"),"! go! ! go!")</f>
        <v>! go! ! go!</v>
      </c>
      <c r="F1181" s="7" t="str">
        <f aca="false">IFERROR(__xludf.dummyfunction("lower(GOOGLETRANSLATE(A1181,""en"",""es""))"),"¡guauu!")</f>
        <v>¡guauu!</v>
      </c>
      <c r="H1181" s="0" t="str">
        <f aca="false">A1181&amp;"|"&amp;B1181</f>
        <v>wow!|!vaya! !anda!</v>
      </c>
    </row>
    <row r="1182" customFormat="false" ht="15.75" hidden="false" customHeight="false" outlineLevel="0" collapsed="false">
      <c r="A1182" s="4" t="s">
        <v>2337</v>
      </c>
      <c r="B1182" s="5" t="s">
        <v>2338</v>
      </c>
      <c r="C1182" s="5" t="s">
        <v>2090</v>
      </c>
      <c r="D1182" s="6"/>
      <c r="E1182" s="7" t="str">
        <f aca="false">IFERROR(__xludf.dummyfunction("lower(GOOGLETRANSLATE(B1182,""es"",""en""))"),"let's see")</f>
        <v>let's see</v>
      </c>
      <c r="F1182" s="7" t="str">
        <f aca="false">IFERROR(__xludf.dummyfunction("lower(GOOGLETRANSLATE(A1182,""en"",""es""))"),"veamos")</f>
        <v>veamos</v>
      </c>
      <c r="H1182" s="0" t="str">
        <f aca="false">A1182&amp;"|"&amp;B1182</f>
        <v>let's see _x0085_|a ver _x0085_</v>
      </c>
    </row>
    <row r="1183" customFormat="false" ht="15.75" hidden="false" customHeight="false" outlineLevel="0" collapsed="false">
      <c r="A1183" s="4" t="s">
        <v>2339</v>
      </c>
      <c r="B1183" s="5" t="s">
        <v>2340</v>
      </c>
      <c r="C1183" s="5" t="s">
        <v>2090</v>
      </c>
      <c r="D1183" s="6"/>
      <c r="E1183" s="7" t="str">
        <f aca="false">IFERROR(__xludf.dummyfunction("lower(GOOGLETRANSLATE(B1183,""es"",""en""))"),"until")</f>
        <v>until</v>
      </c>
      <c r="F1183" s="7" t="str">
        <f aca="false">IFERROR(__xludf.dummyfunction("lower(GOOGLETRANSLATE(A1183,""en"",""es""))"),"hasta")</f>
        <v>hasta</v>
      </c>
      <c r="H1183" s="0" t="str">
        <f aca="false">A1183&amp;"|"&amp;B1183</f>
        <v>until|hasta</v>
      </c>
    </row>
    <row r="1184" customFormat="false" ht="15.75" hidden="false" customHeight="false" outlineLevel="0" collapsed="false">
      <c r="A1184" s="4" t="s">
        <v>2341</v>
      </c>
      <c r="B1184" s="5" t="s">
        <v>2342</v>
      </c>
      <c r="C1184" s="5" t="s">
        <v>2090</v>
      </c>
      <c r="D1184" s="6"/>
      <c r="E1184" s="7" t="str">
        <f aca="false">IFERROR(__xludf.dummyfunction("lower(GOOGLETRANSLATE(B1184,""es"",""en""))"),"half")</f>
        <v>half</v>
      </c>
      <c r="F1184" s="7" t="str">
        <f aca="false">IFERROR(__xludf.dummyfunction("lower(GOOGLETRANSLATE(A1184,""en"",""es""))"),"la mitad")</f>
        <v>la mitad</v>
      </c>
      <c r="H1184" s="0" t="str">
        <f aca="false">A1184&amp;"|"&amp;B1184</f>
        <v>the half|la mitad</v>
      </c>
    </row>
    <row r="1185" customFormat="false" ht="15.75" hidden="false" customHeight="false" outlineLevel="0" collapsed="false">
      <c r="A1185" s="4" t="s">
        <v>2343</v>
      </c>
      <c r="B1185" s="5" t="s">
        <v>2344</v>
      </c>
      <c r="C1185" s="5" t="s">
        <v>2090</v>
      </c>
      <c r="D1185" s="6"/>
      <c r="E1185" s="7" t="str">
        <f aca="false">IFERROR(__xludf.dummyfunction("lower(GOOGLETRANSLATE(B1185,""es"",""en""))"),"one third")</f>
        <v>one third</v>
      </c>
      <c r="F1185" s="7" t="str">
        <f aca="false">IFERROR(__xludf.dummyfunction("lower(GOOGLETRANSLATE(A1185,""en"",""es""))"),"un tercio")</f>
        <v>un tercio</v>
      </c>
      <c r="H1185" s="0" t="str">
        <f aca="false">A1185&amp;"|"&amp;B1185</f>
        <v>one third|un tercio</v>
      </c>
    </row>
    <row r="1186" customFormat="false" ht="15.75" hidden="false" customHeight="false" outlineLevel="0" collapsed="false">
      <c r="A1186" s="4" t="s">
        <v>2345</v>
      </c>
      <c r="B1186" s="5" t="s">
        <v>2346</v>
      </c>
      <c r="C1186" s="5" t="s">
        <v>2090</v>
      </c>
      <c r="D1186" s="6"/>
      <c r="E1186" s="7" t="str">
        <f aca="false">IFERROR(__xludf.dummyfunction("lower(GOOGLETRANSLATE(B1186,""es"",""en""))"),"two thirds")</f>
        <v>two thirds</v>
      </c>
      <c r="F1186" s="7" t="str">
        <f aca="false">IFERROR(__xludf.dummyfunction("lower(GOOGLETRANSLATE(A1186,""en"",""es""))"),"dos tercios")</f>
        <v>dos tercios</v>
      </c>
      <c r="H1186" s="0" t="str">
        <f aca="false">A1186&amp;"|"&amp;B1186</f>
        <v>two thirds|dos tercio</v>
      </c>
    </row>
    <row r="1187" customFormat="false" ht="15.75" hidden="false" customHeight="false" outlineLevel="0" collapsed="false">
      <c r="A1187" s="4" t="s">
        <v>2347</v>
      </c>
      <c r="B1187" s="5" t="s">
        <v>2348</v>
      </c>
      <c r="C1187" s="5" t="s">
        <v>2090</v>
      </c>
      <c r="D1187" s="6"/>
      <c r="E1187" s="7" t="str">
        <f aca="false">IFERROR(__xludf.dummyfunction("lower(GOOGLETRANSLATE(B1187,""es"",""en""))"),"quarter")</f>
        <v>quarter</v>
      </c>
      <c r="F1187" s="7" t="str">
        <f aca="false">IFERROR(__xludf.dummyfunction("lower(GOOGLETRANSLATE(A1187,""en"",""es""))"),"un cuarto")</f>
        <v>un cuarto</v>
      </c>
      <c r="H1187" s="0" t="str">
        <f aca="false">A1187&amp;"|"&amp;B1187</f>
        <v>a quarter|un cuarto</v>
      </c>
    </row>
    <row r="1188" customFormat="false" ht="15.75" hidden="false" customHeight="false" outlineLevel="0" collapsed="false">
      <c r="A1188" s="4" t="s">
        <v>2349</v>
      </c>
      <c r="B1188" s="5" t="s">
        <v>2350</v>
      </c>
      <c r="C1188" s="5" t="s">
        <v>2090</v>
      </c>
      <c r="D1188" s="6"/>
      <c r="E1188" s="7" t="str">
        <f aca="false">IFERROR(__xludf.dummyfunction("lower(GOOGLETRANSLATE(B1188,""es"",""en""))"),"three quarters")</f>
        <v>three quarters</v>
      </c>
      <c r="F1188" s="7" t="str">
        <f aca="false">IFERROR(__xludf.dummyfunction("lower(GOOGLETRANSLATE(A1188,""en"",""es""))"),"tres cuartos")</f>
        <v>tres cuartos</v>
      </c>
      <c r="H1188" s="0" t="str">
        <f aca="false">A1188&amp;"|"&amp;B1188</f>
        <v>three quarters|tres cuartos</v>
      </c>
    </row>
    <row r="1189" customFormat="false" ht="15.75" hidden="false" customHeight="false" outlineLevel="0" collapsed="false">
      <c r="A1189" s="4" t="s">
        <v>2351</v>
      </c>
      <c r="B1189" s="5" t="s">
        <v>2352</v>
      </c>
      <c r="C1189" s="5" t="s">
        <v>2090</v>
      </c>
      <c r="D1189" s="6"/>
      <c r="E1189" s="7" t="str">
        <f aca="false">IFERROR(__xludf.dummyfunction("lower(GOOGLETRANSLATE(B1189,""es"",""en""))"),"a fifth part")</f>
        <v>a fifth part</v>
      </c>
      <c r="F1189" s="7" t="str">
        <f aca="false">IFERROR(__xludf.dummyfunction("lower(GOOGLETRANSLATE(A1189,""en"",""es""))"),"una quinta parte (1/5)")</f>
        <v>una quinta parte (1/5)</v>
      </c>
      <c r="H1189" s="0" t="str">
        <f aca="false">A1189&amp;"|"&amp;B1189</f>
        <v>one fifth (1/5)|una quinta parte</v>
      </c>
    </row>
    <row r="1190" customFormat="false" ht="15.75" hidden="false" customHeight="false" outlineLevel="0" collapsed="false">
      <c r="A1190" s="4" t="s">
        <v>2353</v>
      </c>
      <c r="B1190" s="5" t="s">
        <v>2354</v>
      </c>
      <c r="C1190" s="5" t="s">
        <v>2090</v>
      </c>
      <c r="D1190" s="6"/>
      <c r="E1190" s="7" t="str">
        <f aca="false">IFERROR(__xludf.dummyfunction("lower(GOOGLETRANSLATE(B1190,""es"",""en""))"),"two-fifths")</f>
        <v>two-fifths</v>
      </c>
      <c r="F1190" s="7" t="str">
        <f aca="false">IFERROR(__xludf.dummyfunction("lower(GOOGLETRANSLATE(A1190,""en"",""es""))"),"dos quintos (2/5)")</f>
        <v>dos quintos (2/5)</v>
      </c>
      <c r="H1190" s="0" t="str">
        <f aca="false">A1190&amp;"|"&amp;B1190</f>
        <v>two fifths (2/5)|dos quintas partes</v>
      </c>
    </row>
    <row r="1191" customFormat="false" ht="15.75" hidden="false" customHeight="false" outlineLevel="0" collapsed="false">
      <c r="A1191" s="4" t="s">
        <v>2355</v>
      </c>
      <c r="B1191" s="5" t="s">
        <v>2356</v>
      </c>
      <c r="C1191" s="5" t="s">
        <v>2090</v>
      </c>
      <c r="D1191" s="6"/>
      <c r="E1191" s="7" t="str">
        <f aca="false">IFERROR(__xludf.dummyfunction("lower(GOOGLETRANSLATE(B1191,""es"",""en""))"),"better than")</f>
        <v>better than</v>
      </c>
      <c r="F1191" s="7" t="str">
        <f aca="false">IFERROR(__xludf.dummyfunction("lower(GOOGLETRANSLATE(A1191,""en"",""es""))"),"mejor que")</f>
        <v>mejor que</v>
      </c>
      <c r="H1191" s="0" t="str">
        <f aca="false">A1191&amp;"|"&amp;B1191</f>
        <v>better than|mejor que</v>
      </c>
    </row>
    <row r="1192" customFormat="false" ht="15.75" hidden="false" customHeight="false" outlineLevel="0" collapsed="false">
      <c r="A1192" s="4" t="s">
        <v>2357</v>
      </c>
      <c r="B1192" s="5" t="s">
        <v>2358</v>
      </c>
      <c r="C1192" s="5" t="s">
        <v>2090</v>
      </c>
      <c r="D1192" s="6"/>
      <c r="E1192" s="7" t="str">
        <f aca="false">IFERROR(__xludf.dummyfunction("lower(GOOGLETRANSLATE(B1192,""es"",""en""))"),"worst than")</f>
        <v>worst than</v>
      </c>
      <c r="F1192" s="7" t="str">
        <f aca="false">IFERROR(__xludf.dummyfunction("lower(GOOGLETRANSLATE(A1192,""en"",""es""))"),"peor que")</f>
        <v>peor que</v>
      </c>
      <c r="H1192" s="0" t="str">
        <f aca="false">A1192&amp;"|"&amp;B1192</f>
        <v>worse than|peor que</v>
      </c>
    </row>
    <row r="1193" customFormat="false" ht="15.75" hidden="false" customHeight="false" outlineLevel="0" collapsed="false">
      <c r="A1193" s="4" t="s">
        <v>2359</v>
      </c>
      <c r="B1193" s="5" t="s">
        <v>2360</v>
      </c>
      <c r="C1193" s="5" t="s">
        <v>2090</v>
      </c>
      <c r="D1193" s="6"/>
      <c r="E1193" s="7" t="str">
        <f aca="false">IFERROR(__xludf.dummyfunction("lower(GOOGLETRANSLATE(B1193,""es"",""en""))"),"as adj as")</f>
        <v>as adj as</v>
      </c>
      <c r="F1193" s="7" t="str">
        <f aca="false">IFERROR(__xludf.dummyfunction("lower(GOOGLETRANSLATE(A1193,""en"",""es""))"),"como ya")</f>
        <v>como ya</v>
      </c>
      <c r="H1193" s="0" t="str">
        <f aca="false">A1193&amp;"|"&amp;B1193</f>
        <v>as _x0085_ as|tan adj como</v>
      </c>
    </row>
    <row r="1194" customFormat="false" ht="15.75" hidden="false" customHeight="false" outlineLevel="0" collapsed="false">
      <c r="A1194" s="4" t="s">
        <v>2361</v>
      </c>
      <c r="B1194" s="5" t="s">
        <v>2362</v>
      </c>
      <c r="C1194" s="5" t="s">
        <v>2090</v>
      </c>
      <c r="D1194" s="6"/>
      <c r="E1194" s="7" t="str">
        <f aca="false">IFERROR(__xludf.dummyfunction("lower(GOOGLETRANSLATE(B1194,""es"",""en""))"),"both noun. how")</f>
        <v>both noun. how</v>
      </c>
      <c r="F1194" s="7" t="str">
        <f aca="false">IFERROR(__xludf.dummyfunction("lower(GOOGLETRANSLATE(A1194,""en"",""es""))"),"tanto como")</f>
        <v>tanto como</v>
      </c>
      <c r="H1194" s="0" t="str">
        <f aca="false">A1194&amp;"|"&amp;B1194</f>
        <v>as much _x0085_ as|tanto sust. como</v>
      </c>
    </row>
    <row r="1195" customFormat="false" ht="15.75" hidden="false" customHeight="false" outlineLevel="0" collapsed="false">
      <c r="A1195" s="4" t="s">
        <v>2363</v>
      </c>
      <c r="B1195" s="5" t="s">
        <v>2364</v>
      </c>
      <c r="C1195" s="5" t="s">
        <v>2090</v>
      </c>
      <c r="D1195" s="6"/>
      <c r="E1195" s="7" t="str">
        <f aca="false">IFERROR(__xludf.dummyfunction("lower(GOOGLETRANSLATE(B1195,""es"",""en""))"),"how about?")</f>
        <v>how about?</v>
      </c>
      <c r="F1195" s="7" t="str">
        <f aca="false">IFERROR(__xludf.dummyfunction("lower(GOOGLETRANSLATE(A1195,""en"",""es""))"),"¿qué piensas?")</f>
        <v>¿qué piensas?</v>
      </c>
      <c r="H1195" s="0" t="str">
        <f aca="false">A1195&amp;"|"&amp;B1195</f>
        <v>what do you think?|qué te parece?</v>
      </c>
    </row>
    <row r="1196" customFormat="false" ht="15.75" hidden="false" customHeight="false" outlineLevel="0" collapsed="false">
      <c r="A1196" s="4" t="s">
        <v>2365</v>
      </c>
      <c r="B1196" s="5" t="s">
        <v>2366</v>
      </c>
      <c r="C1196" s="5" t="s">
        <v>2090</v>
      </c>
      <c r="D1196" s="6"/>
      <c r="E1196" s="7" t="str">
        <f aca="false">IFERROR(__xludf.dummyfunction("lower(GOOGLETRANSLATE(B1196,""es"",""en""))"),"seem right")</f>
        <v>seem right</v>
      </c>
      <c r="F1196" s="7" t="str">
        <f aca="false">IFERROR(__xludf.dummyfunction("lower(GOOGLETRANSLATE(A1196,""en"",""es""))"),"parece bueno para mí")</f>
        <v>parece bueno para mí</v>
      </c>
      <c r="H1196" s="0" t="str">
        <f aca="false">A1196&amp;"|"&amp;B1196</f>
        <v>it seems good to me|me parece bien</v>
      </c>
    </row>
    <row r="1197" customFormat="false" ht="15.75" hidden="false" customHeight="false" outlineLevel="0" collapsed="false">
      <c r="A1197" s="4" t="s">
        <v>2367</v>
      </c>
      <c r="B1197" s="5" t="s">
        <v>2368</v>
      </c>
      <c r="C1197" s="5" t="s">
        <v>2090</v>
      </c>
      <c r="D1197" s="6"/>
      <c r="E1197" s="7" t="str">
        <f aca="false">IFERROR(__xludf.dummyfunction("lower(GOOGLETRANSLATE(B1197,""es"",""en""))"),"same")</f>
        <v>same</v>
      </c>
      <c r="F1197" s="7" t="str">
        <f aca="false">IFERROR(__xludf.dummyfunction("lower(GOOGLETRANSLATE(A1197,""en"",""es""))"),"mismo / igual")</f>
        <v>mismo / igual</v>
      </c>
      <c r="H1197" s="0" t="str">
        <f aca="false">A1197&amp;"|"&amp;B1197</f>
        <v>same/equal|igual</v>
      </c>
    </row>
    <row r="1198" customFormat="false" ht="15.75" hidden="false" customHeight="false" outlineLevel="0" collapsed="false">
      <c r="A1198" s="4" t="s">
        <v>2369</v>
      </c>
      <c r="B1198" s="5" t="s">
        <v>2370</v>
      </c>
      <c r="C1198" s="5" t="s">
        <v>850</v>
      </c>
      <c r="D1198" s="6"/>
      <c r="E1198" s="7" t="str">
        <f aca="false">IFERROR(__xludf.dummyfunction("lower(GOOGLETRANSLATE(B1198,""es"",""en""))"),"i know how to write")</f>
        <v>i know how to write</v>
      </c>
      <c r="F1198" s="7" t="str">
        <f aca="false">IFERROR(__xludf.dummyfunction("lower(GOOGLETRANSLATE(A1198,""en"",""es""))"),"sé cómo escribir")</f>
        <v>sé cómo escribir</v>
      </c>
      <c r="H1198" s="0" t="str">
        <f aca="false">A1198&amp;"|"&amp;B1198</f>
        <v>i know how to write|yo conozco cómo escribir</v>
      </c>
    </row>
    <row r="1199" customFormat="false" ht="15.75" hidden="false" customHeight="false" outlineLevel="0" collapsed="false">
      <c r="A1199" s="4" t="s">
        <v>2371</v>
      </c>
      <c r="B1199" s="5" t="s">
        <v>2372</v>
      </c>
      <c r="C1199" s="5" t="s">
        <v>850</v>
      </c>
      <c r="D1199" s="6"/>
      <c r="E1199" s="7" t="str">
        <f aca="false">IFERROR(__xludf.dummyfunction("lower(GOOGLETRANSLATE(B1199,""es"",""en""))"),"i know how to ride a bike")</f>
        <v>i know how to ride a bike</v>
      </c>
      <c r="F1199" s="7" t="str">
        <f aca="false">IFERROR(__xludf.dummyfunction("lower(GOOGLETRANSLATE(A1199,""en"",""es""))"),"sé cómo montar una bicicleta")</f>
        <v>sé cómo montar una bicicleta</v>
      </c>
      <c r="H1199" s="0" t="str">
        <f aca="false">A1199&amp;"|"&amp;B1199</f>
        <v>i know how to ride a bicycle|yo sé cómo montar en bicicleta</v>
      </c>
    </row>
    <row r="1200" customFormat="false" ht="15.75" hidden="false" customHeight="false" outlineLevel="0" collapsed="false">
      <c r="A1200" s="4" t="s">
        <v>2373</v>
      </c>
      <c r="B1200" s="5" t="s">
        <v>2374</v>
      </c>
      <c r="C1200" s="5" t="s">
        <v>850</v>
      </c>
      <c r="D1200" s="6"/>
      <c r="E1200" s="7" t="str">
        <f aca="false">IFERROR(__xludf.dummyfunction("lower(GOOGLETRANSLATE(B1200,""es"",""en""))"),"i like when my friend play guitar")</f>
        <v>i like when my friend play guitar</v>
      </c>
      <c r="F1200" s="7" t="str">
        <f aca="false">IFERROR(__xludf.dummyfunction("lower(GOOGLETRANSLATE(A1200,""en"",""es""))"),"me gusta cuando mi amigo toca la guitarra")</f>
        <v>me gusta cuando mi amigo toca la guitarra</v>
      </c>
      <c r="H1200" s="0" t="str">
        <f aca="false">A1200&amp;"|"&amp;B1200</f>
        <v>i like it when my friend plays the guitar|me gusta cuando mi amigo toco la guitarra</v>
      </c>
    </row>
    <row r="1201" customFormat="false" ht="15.75" hidden="false" customHeight="false" outlineLevel="0" collapsed="false">
      <c r="A1201" s="4" t="s">
        <v>2375</v>
      </c>
      <c r="B1201" s="5" t="s">
        <v>2376</v>
      </c>
      <c r="C1201" s="5" t="s">
        <v>850</v>
      </c>
      <c r="D1201" s="6"/>
      <c r="E1201" s="7" t="str">
        <f aca="false">IFERROR(__xludf.dummyfunction("lower(GOOGLETRANSLATE(B1201,""es"",""en""))"),"i can not study espagñol tonight because i need to paint the house")</f>
        <v>i can not study espagñol tonight because i need to paint the house</v>
      </c>
      <c r="F1201" s="7" t="str">
        <f aca="false">IFERROR(__xludf.dummyfunction("lower(GOOGLETRANSLATE(A1201,""en"",""es""))"),"no puedo estudiar español esta noche porque tengo que pintar la casa")</f>
        <v>no puedo estudiar español esta noche porque tengo que pintar la casa</v>
      </c>
      <c r="H1201" s="0" t="str">
        <f aca="false">A1201&amp;"|"&amp;B1201</f>
        <v>i cannot study spanish tonight because i need to paint the house|no puedo estudiar espagñol esta noche porque necesito pintar la casa</v>
      </c>
    </row>
    <row r="1202" customFormat="false" ht="15.75" hidden="false" customHeight="false" outlineLevel="0" collapsed="false">
      <c r="A1202" s="4" t="s">
        <v>2377</v>
      </c>
      <c r="B1202" s="5" t="s">
        <v>2378</v>
      </c>
      <c r="C1202" s="5" t="s">
        <v>2379</v>
      </c>
      <c r="D1202" s="6"/>
      <c r="E1202" s="7" t="str">
        <f aca="false">IFERROR(__xludf.dummyfunction("lower(GOOGLETRANSLATE(B1202,""es"",""en""))"),"occasionally i like to eat eggs")</f>
        <v>occasionally i like to eat eggs</v>
      </c>
      <c r="F1202" s="7" t="str">
        <f aca="false">IFERROR(__xludf.dummyfunction("lower(GOOGLETRANSLATE(A1202,""en"",""es""))"),"de vez en cuando me gusta comer huevos")</f>
        <v>de vez en cuando me gusta comer huevos</v>
      </c>
      <c r="H1202" s="0" t="str">
        <f aca="false">A1202&amp;"|"&amp;B1202</f>
        <v>from time to time i like to eat eggs|de vez en cuando me gusta comer los huevos</v>
      </c>
    </row>
    <row r="1203" customFormat="false" ht="15.75" hidden="false" customHeight="false" outlineLevel="0" collapsed="false">
      <c r="A1203" s="4" t="s">
        <v>1621</v>
      </c>
      <c r="B1203" s="5" t="s">
        <v>2380</v>
      </c>
      <c r="C1203" s="5" t="s">
        <v>850</v>
      </c>
      <c r="D1203" s="6"/>
      <c r="E1203" s="7" t="str">
        <f aca="false">IFERROR(__xludf.dummyfunction("lower(GOOGLETRANSLATE(B1203,""es"",""en""))"),"he opens the door to his mother")</f>
        <v>he opens the door to his mother</v>
      </c>
      <c r="F1203" s="7" t="str">
        <f aca="false">IFERROR(__xludf.dummyfunction("lower(GOOGLETRANSLATE(A1203,""en"",""es""))"),"abrir")</f>
        <v>abrir</v>
      </c>
      <c r="H1203" s="0" t="str">
        <f aca="false">A1203&amp;"|"&amp;B1203</f>
        <v>to open|el abre la puerta a su madre</v>
      </c>
    </row>
    <row r="1204" customFormat="false" ht="15.75" hidden="false" customHeight="false" outlineLevel="0" collapsed="false">
      <c r="A1204" s="4" t="s">
        <v>2381</v>
      </c>
      <c r="B1204" s="5" t="s">
        <v>2382</v>
      </c>
      <c r="C1204" s="5" t="s">
        <v>2379</v>
      </c>
      <c r="D1204" s="6"/>
      <c r="E1204" s="7" t="str">
        <f aca="false">IFERROR(__xludf.dummyfunction("lower(GOOGLETRANSLATE(B1204,""es"",""en""))"),"i will eat this melon")</f>
        <v>i will eat this melon</v>
      </c>
      <c r="F1204" s="7" t="str">
        <f aca="false">IFERROR(__xludf.dummyfunction("lower(GOOGLETRANSLATE(A1204,""en"",""es""))"),"voy a comer este melón")</f>
        <v>voy a comer este melón</v>
      </c>
      <c r="H1204" s="0" t="str">
        <f aca="false">A1204&amp;"|"&amp;B1204</f>
        <v>i am going to eat this melon|yo voy a comer este melón</v>
      </c>
    </row>
    <row r="1205" customFormat="false" ht="15.75" hidden="false" customHeight="false" outlineLevel="0" collapsed="false">
      <c r="A1205" s="4" t="s">
        <v>1795</v>
      </c>
      <c r="B1205" s="5" t="s">
        <v>2383</v>
      </c>
      <c r="C1205" s="5" t="s">
        <v>2379</v>
      </c>
      <c r="D1205" s="6"/>
      <c r="E1205" s="7" t="str">
        <f aca="false">IFERROR(__xludf.dummyfunction("lower(GOOGLETRANSLATE(B1205,""es"",""en""))"),"the food is in the refrigerator")</f>
        <v>the food is in the refrigerator</v>
      </c>
      <c r="F1205" s="7" t="str">
        <f aca="false">IFERROR(__xludf.dummyfunction("lower(GOOGLETRANSLATE(A1205,""en"",""es""))"),"la comida")</f>
        <v>la comida</v>
      </c>
      <c r="H1205" s="0" t="str">
        <f aca="false">A1205&amp;"|"&amp;B1205</f>
        <v>the food|la comida está en el refrigerador</v>
      </c>
    </row>
    <row r="1206" customFormat="false" ht="15.75" hidden="false" customHeight="false" outlineLevel="0" collapsed="false">
      <c r="A1206" s="4" t="s">
        <v>974</v>
      </c>
      <c r="B1206" s="5" t="s">
        <v>2384</v>
      </c>
      <c r="C1206" s="5" t="s">
        <v>2385</v>
      </c>
      <c r="D1206" s="6"/>
      <c r="E1206" s="7" t="str">
        <f aca="false">IFERROR(__xludf.dummyfunction("lower(GOOGLETRANSLATE(B1206,""es"",""en""))"),"she wants etos cats")</f>
        <v>she wants etos cats</v>
      </c>
      <c r="F1206" s="7" t="str">
        <f aca="false">IFERROR(__xludf.dummyfunction("lower(GOOGLETRANSLATE(A1206,""en"",""es""))"),"ella quiere")</f>
        <v>ella quiere</v>
      </c>
      <c r="H1206" s="0" t="str">
        <f aca="false">A1206&amp;"|"&amp;B1206</f>
        <v>she wants|ella quiere etos gatos</v>
      </c>
    </row>
    <row r="1207" customFormat="false" ht="15.75" hidden="false" customHeight="false" outlineLevel="0" collapsed="false">
      <c r="A1207" s="4" t="s">
        <v>2386</v>
      </c>
      <c r="B1207" s="5" t="s">
        <v>2387</v>
      </c>
      <c r="C1207" s="5" t="s">
        <v>2388</v>
      </c>
      <c r="D1207" s="6"/>
      <c r="E1207" s="7" t="str">
        <f aca="false">IFERROR(__xludf.dummyfunction("lower(GOOGLETRANSLATE(B1207,""es"",""en""))"),"this chile is hotter than the chili")</f>
        <v>this chile is hotter than the chili</v>
      </c>
      <c r="F1207" s="7" t="str">
        <f aca="false">IFERROR(__xludf.dummyfunction("lower(GOOGLETRANSLATE(A1207,""en"",""es""))"),"este chile es más caliente que el chile")</f>
        <v>este chile es más caliente que el chile</v>
      </c>
      <c r="H1207" s="0" t="str">
        <f aca="false">A1207&amp;"|"&amp;B1207</f>
        <v>this chili is hotter than that chili|este chile es más caliente que ese chile</v>
      </c>
    </row>
    <row r="1208" customFormat="false" ht="15.75" hidden="false" customHeight="false" outlineLevel="0" collapsed="false">
      <c r="A1208" s="4" t="s">
        <v>2389</v>
      </c>
      <c r="B1208" s="5" t="s">
        <v>2390</v>
      </c>
      <c r="C1208" s="5" t="s">
        <v>850</v>
      </c>
      <c r="D1208" s="6"/>
      <c r="E1208" s="7" t="str">
        <f aca="false">IFERROR(__xludf.dummyfunction("lower(GOOGLETRANSLATE(B1208,""es"",""en""))"),"we are going to rent this house")</f>
        <v>we are going to rent this house</v>
      </c>
      <c r="F1208" s="7" t="str">
        <f aca="false">IFERROR(__xludf.dummyfunction("lower(GOOGLETRANSLATE(A1208,""en"",""es""))"),"vamos a alquilar esa casa")</f>
        <v>vamos a alquilar esa casa</v>
      </c>
      <c r="H1208" s="0" t="str">
        <f aca="false">A1208&amp;"|"&amp;B1208</f>
        <v>we are going to rent that house|nosotros vamos rentar esa casa</v>
      </c>
    </row>
    <row r="1209" customFormat="false" ht="15.75" hidden="false" customHeight="false" outlineLevel="0" collapsed="false">
      <c r="A1209" s="4" t="s">
        <v>2391</v>
      </c>
      <c r="B1209" s="5" t="s">
        <v>2392</v>
      </c>
      <c r="C1209" s="5" t="s">
        <v>850</v>
      </c>
      <c r="D1209" s="6"/>
      <c r="E1209" s="7" t="str">
        <f aca="false">IFERROR(__xludf.dummyfunction("lower(GOOGLETRANSLATE(B1209,""es"",""en""))"),"these books are very interesting")</f>
        <v>these books are very interesting</v>
      </c>
      <c r="F1209" s="7" t="str">
        <f aca="false">IFERROR(__xludf.dummyfunction("lower(GOOGLETRANSLATE(A1209,""en"",""es""))"),"estos libros son muy interesantes")</f>
        <v>estos libros son muy interesantes</v>
      </c>
      <c r="H1209" s="0" t="str">
        <f aca="false">A1209&amp;"|"&amp;B1209</f>
        <v>these books are very interesting|estos libros son muy interesante</v>
      </c>
    </row>
    <row r="1210" customFormat="false" ht="15.75" hidden="false" customHeight="false" outlineLevel="0" collapsed="false">
      <c r="A1210" s="4" t="s">
        <v>1566</v>
      </c>
      <c r="B1210" s="5" t="s">
        <v>2393</v>
      </c>
      <c r="C1210" s="5" t="s">
        <v>850</v>
      </c>
      <c r="D1210" s="6"/>
      <c r="E1210" s="7" t="str">
        <f aca="false">IFERROR(__xludf.dummyfunction("lower(GOOGLETRANSLATE(B1210,""es"",""en""))"),"i'm tired, it is very difficult to study espagñol")</f>
        <v>i'm tired, it is very difficult to study espagñol</v>
      </c>
      <c r="F1210" s="7" t="str">
        <f aca="false">IFERROR(__xludf.dummyfunction("lower(GOOGLETRANSLATE(A1210,""en"",""es""))"),"i (m) estoy harto")</f>
        <v>i (m) estoy harto</v>
      </c>
      <c r="H1210" s="0" t="str">
        <f aca="false">A1210&amp;"|"&amp;B1210</f>
        <v>i (m) am fed up|estoy harto, estudiar espagñol es muy difícil</v>
      </c>
    </row>
    <row r="1211" customFormat="false" ht="15.75" hidden="false" customHeight="false" outlineLevel="0" collapsed="false">
      <c r="A1211" s="4" t="s">
        <v>2394</v>
      </c>
      <c r="B1211" s="5" t="s">
        <v>2395</v>
      </c>
      <c r="C1211" s="5" t="s">
        <v>850</v>
      </c>
      <c r="D1211" s="6"/>
      <c r="E1211" s="7" t="str">
        <f aca="false">IFERROR(__xludf.dummyfunction("lower(GOOGLETRANSLATE(B1211,""es"",""en""))"),"after studying espagñol i'm tired")</f>
        <v>after studying espagñol i'm tired</v>
      </c>
      <c r="F1211" s="7" t="str">
        <f aca="false">IFERROR(__xludf.dummyfunction("lower(GOOGLETRANSLATE(A1211,""en"",""es""))"),"después de estudiar español estoy cansado")</f>
        <v>después de estudiar español estoy cansado</v>
      </c>
      <c r="H1211" s="0" t="str">
        <f aca="false">A1211&amp;"|"&amp;B1211</f>
        <v>after studying spanish i am tired|después de estudiar espagñol estoy cansado</v>
      </c>
    </row>
    <row r="1212" customFormat="false" ht="15.75" hidden="false" customHeight="false" outlineLevel="0" collapsed="false">
      <c r="A1212" s="4" t="s">
        <v>2396</v>
      </c>
      <c r="B1212" s="5" t="s">
        <v>2397</v>
      </c>
      <c r="C1212" s="5" t="s">
        <v>850</v>
      </c>
      <c r="D1212" s="6"/>
      <c r="E1212" s="7" t="str">
        <f aca="false">IFERROR(__xludf.dummyfunction("lower(GOOGLETRANSLATE(B1212,""es"",""en""))"),"i like to travel, but this year i can not travel much")</f>
        <v>i like to travel, but this year i can not travel much</v>
      </c>
      <c r="F1212" s="7" t="str">
        <f aca="false">IFERROR(__xludf.dummyfunction("lower(GOOGLETRANSLATE(A1212,""en"",""es""))"),"me gusta viajar, pero este año no puedo viajar mucho")</f>
        <v>me gusta viajar, pero este año no puedo viajar mucho</v>
      </c>
      <c r="H1212" s="0" t="str">
        <f aca="false">A1212&amp;"|"&amp;B1212</f>
        <v>i like to travel, but this year i cannot travel much|me gusta viajar, pero este año no puedo viajar mucho</v>
      </c>
    </row>
    <row r="1213" customFormat="false" ht="15.75" hidden="false" customHeight="false" outlineLevel="0" collapsed="false">
      <c r="A1213" s="4" t="s">
        <v>2398</v>
      </c>
      <c r="B1213" s="5" t="s">
        <v>2399</v>
      </c>
      <c r="C1213" s="5" t="s">
        <v>850</v>
      </c>
      <c r="D1213" s="6"/>
      <c r="E1213" s="7" t="str">
        <f aca="false">IFERROR(__xludf.dummyfunction("lower(GOOGLETRANSLATE(B1213,""es"",""en""))"),"i can not eat without cosinar")</f>
        <v>i can not eat without cosinar</v>
      </c>
      <c r="F1213" s="7" t="str">
        <f aca="false">IFERROR(__xludf.dummyfunction("lower(GOOGLETRANSLATE(A1213,""en"",""es""))"),"no podemos comer sin cocinar")</f>
        <v>no podemos comer sin cocinar</v>
      </c>
      <c r="H1213" s="0" t="str">
        <f aca="false">A1213&amp;"|"&amp;B1213</f>
        <v>we can't eat without cooking|no puedo comer sin cosinar</v>
      </c>
    </row>
    <row r="1214" customFormat="false" ht="15.75" hidden="false" customHeight="false" outlineLevel="0" collapsed="false">
      <c r="A1214" s="4" t="s">
        <v>2400</v>
      </c>
      <c r="B1214" s="5" t="s">
        <v>2401</v>
      </c>
      <c r="C1214" s="5" t="s">
        <v>2388</v>
      </c>
      <c r="D1214" s="6"/>
      <c r="E1214" s="7" t="str">
        <f aca="false">IFERROR(__xludf.dummyfunction("lower(GOOGLETRANSLATE(B1214,""es"",""en""))"),"she likes the jitomato")</f>
        <v>she likes the jitomato</v>
      </c>
      <c r="F1214" s="7" t="str">
        <f aca="false">IFERROR(__xludf.dummyfunction("lower(GOOGLETRANSLATE(A1214,""en"",""es""))"),"que le gusta los tomates")</f>
        <v>que le gusta los tomates</v>
      </c>
      <c r="H1214" s="0" t="str">
        <f aca="false">A1214&amp;"|"&amp;B1214</f>
        <v>she likes the tomatoes|a ella, le gusta el jitomato</v>
      </c>
    </row>
    <row r="1215" customFormat="false" ht="15.75" hidden="false" customHeight="false" outlineLevel="0" collapsed="false">
      <c r="A1215" s="4" t="s">
        <v>2402</v>
      </c>
      <c r="B1215" s="5" t="s">
        <v>2403</v>
      </c>
      <c r="C1215" s="5" t="s">
        <v>2404</v>
      </c>
      <c r="D1215" s="6"/>
      <c r="E1215" s="7" t="str">
        <f aca="false">IFERROR(__xludf.dummyfunction("lower(GOOGLETRANSLATE(B1215,""es"",""en""))"),"if quere, you can rent our house")</f>
        <v>if quere, you can rent our house</v>
      </c>
      <c r="F1215" s="7" t="str">
        <f aca="false">IFERROR(__xludf.dummyfunction("lower(GOOGLETRANSLATE(A1215,""en"",""es""))"),"i desea, se puede alquilar nuestra casa")</f>
        <v>i desea, se puede alquilar nuestra casa</v>
      </c>
      <c r="H1215" s="0" t="str">
        <f aca="false">A1215&amp;"|"&amp;B1215</f>
        <v>i you want, you can rent our house|si quere, puede rentar nuestra casa</v>
      </c>
    </row>
    <row r="1216" customFormat="false" ht="15.75" hidden="false" customHeight="false" outlineLevel="0" collapsed="false">
      <c r="A1216" s="4" t="s">
        <v>2405</v>
      </c>
      <c r="B1216" s="5" t="s">
        <v>2406</v>
      </c>
      <c r="C1216" s="5" t="s">
        <v>2379</v>
      </c>
      <c r="D1216" s="6"/>
      <c r="E1216" s="7" t="str">
        <f aca="false">IFERROR(__xludf.dummyfunction("lower(GOOGLETRANSLATE(B1216,""es"",""en""))"),"i like to eat, but do not eat vegetables quero")</f>
        <v>i like to eat, but do not eat vegetables quero</v>
      </c>
      <c r="F1216" s="7" t="str">
        <f aca="false">IFERROR(__xludf.dummyfunction("lower(GOOGLETRANSLATE(A1216,""en"",""es""))"),"me gusta comer, pero yo no quiero comer las verduras")</f>
        <v>me gusta comer, pero yo no quiero comer las verduras</v>
      </c>
      <c r="H1216" s="0" t="str">
        <f aca="false">A1216&amp;"|"&amp;B1216</f>
        <v>i like to eat, but i don't want to eat the vegetables|me gusta comer, pero no quero comer los vegetales</v>
      </c>
    </row>
    <row r="1217" customFormat="false" ht="15.75" hidden="false" customHeight="false" outlineLevel="0" collapsed="false">
      <c r="A1217" s="4" t="s">
        <v>1815</v>
      </c>
      <c r="B1217" s="5" t="s">
        <v>1816</v>
      </c>
      <c r="C1217" s="5" t="s">
        <v>1817</v>
      </c>
      <c r="D1217" s="6"/>
      <c r="E1217" s="7" t="str">
        <f aca="false">IFERROR(__xludf.dummyfunction("lower(GOOGLETRANSLATE(B1217,""es"",""en""))"),"i'm nervous because we have to go to class on saturday espagñol")</f>
        <v>i'm nervous because we have to go to class on saturday espagñol</v>
      </c>
      <c r="F1217" s="7" t="str">
        <f aca="false">IFERROR(__xludf.dummyfunction("lower(GOOGLETRANSLATE(A1217,""en"",""es""))"),"estoy nerviosa, ya que hay que ir a clase en español saterday")</f>
        <v>estoy nerviosa, ya que hay que ir a clase en español saterday</v>
      </c>
      <c r="H1217" s="0" t="str">
        <f aca="false">A1217&amp;"|"&amp;B1217</f>
        <v>i am nervous, because we have to go to spanish class on saterday|estoy nervioso porque tenemos que ir a la clase espagñol en el sabado</v>
      </c>
    </row>
    <row r="1218" customFormat="false" ht="15.75" hidden="false" customHeight="false" outlineLevel="0" collapsed="false">
      <c r="A1218" s="4" t="s">
        <v>2407</v>
      </c>
      <c r="B1218" s="5" t="s">
        <v>2408</v>
      </c>
      <c r="C1218" s="5" t="s">
        <v>2409</v>
      </c>
      <c r="D1218" s="6"/>
      <c r="E1218" s="7" t="str">
        <f aca="false">IFERROR(__xludf.dummyfunction("lower(GOOGLETRANSLATE(B1218,""es"",""en""))"),"be on holiday")</f>
        <v>be on holiday</v>
      </c>
      <c r="F1218" s="7" t="str">
        <f aca="false">IFERROR(__xludf.dummyfunction("lower(GOOGLETRANSLATE(A1218,""en"",""es""))"),"estar de vacaciones")</f>
        <v>estar de vacaciones</v>
      </c>
      <c r="H1218" s="0" t="str">
        <f aca="false">A1218&amp;"|"&amp;B1218</f>
        <v>to be on holiday|estar de vacaciones</v>
      </c>
    </row>
    <row r="1219" customFormat="false" ht="15.75" hidden="false" customHeight="false" outlineLevel="0" collapsed="false">
      <c r="A1219" s="4" t="s">
        <v>2410</v>
      </c>
      <c r="B1219" s="5" t="s">
        <v>2411</v>
      </c>
      <c r="C1219" s="5" t="s">
        <v>2409</v>
      </c>
      <c r="D1219" s="6"/>
      <c r="E1219" s="7" t="str">
        <f aca="false">IFERROR(__xludf.dummyfunction("lower(GOOGLETRANSLATE(B1219,""es"",""en""))"),"go on vacation")</f>
        <v>go on vacation</v>
      </c>
      <c r="F1219" s="7" t="str">
        <f aca="false">IFERROR(__xludf.dummyfunction("lower(GOOGLETRANSLATE(A1219,""en"",""es""))"),"irse de vacaciones")</f>
        <v>irse de vacaciones</v>
      </c>
      <c r="H1219" s="0" t="str">
        <f aca="false">A1219&amp;"|"&amp;B1219</f>
        <v>to go on holiday|ir de vacaciones</v>
      </c>
    </row>
    <row r="1220" customFormat="false" ht="15.75" hidden="false" customHeight="false" outlineLevel="0" collapsed="false">
      <c r="A1220" s="4" t="s">
        <v>2412</v>
      </c>
      <c r="B1220" s="5" t="s">
        <v>2413</v>
      </c>
      <c r="C1220" s="5" t="s">
        <v>2409</v>
      </c>
      <c r="D1220" s="6"/>
      <c r="E1220" s="7" t="str">
        <f aca="false">IFERROR(__xludf.dummyfunction("lower(GOOGLETRANSLATE(B1220,""es"",""en""))"),"the catarat / waterfall")</f>
        <v>the catarat / waterfall</v>
      </c>
      <c r="F1220" s="7" t="str">
        <f aca="false">IFERROR(__xludf.dummyfunction("lower(GOOGLETRANSLATE(A1220,""en"",""es""))"),"cascada")</f>
        <v>cascada</v>
      </c>
      <c r="H1220" s="0" t="str">
        <f aca="false">A1220&amp;"|"&amp;B1220</f>
        <v>waterfall|la catarat / la cascada</v>
      </c>
    </row>
    <row r="1221" customFormat="false" ht="15.75" hidden="false" customHeight="false" outlineLevel="0" collapsed="false">
      <c r="A1221" s="4" t="s">
        <v>2414</v>
      </c>
      <c r="B1221" s="5" t="s">
        <v>2415</v>
      </c>
      <c r="C1221" s="5" t="s">
        <v>2409</v>
      </c>
      <c r="D1221" s="6"/>
      <c r="E1221" s="7" t="str">
        <f aca="false">IFERROR(__xludf.dummyfunction("lower(GOOGLETRANSLATE(B1221,""es"",""en""))"),"cathedral")</f>
        <v>cathedral</v>
      </c>
      <c r="F1221" s="7" t="str">
        <f aca="false">IFERROR(__xludf.dummyfunction("lower(GOOGLETRANSLATE(A1221,""en"",""es""))"),"catedral")</f>
        <v>catedral</v>
      </c>
      <c r="H1221" s="0" t="str">
        <f aca="false">A1221&amp;"|"&amp;B1221</f>
        <v>cathedral|la catedral</v>
      </c>
    </row>
    <row r="1222" customFormat="false" ht="15.75" hidden="false" customHeight="false" outlineLevel="0" collapsed="false">
      <c r="A1222" s="4" t="s">
        <v>2416</v>
      </c>
      <c r="B1222" s="5" t="s">
        <v>2417</v>
      </c>
      <c r="C1222" s="5" t="s">
        <v>2409</v>
      </c>
      <c r="D1222" s="6"/>
      <c r="E1222" s="7" t="str">
        <f aca="false">IFERROR(__xludf.dummyfunction("lower(GOOGLETRANSLATE(B1222,""es"",""en""))"),"the city")</f>
        <v>the city</v>
      </c>
      <c r="F1222" s="7" t="str">
        <f aca="false">IFERROR(__xludf.dummyfunction("lower(GOOGLETRANSLATE(A1222,""en"",""es""))"),"la ciudad")</f>
        <v>la ciudad</v>
      </c>
      <c r="H1222" s="0" t="str">
        <f aca="false">A1222&amp;"|"&amp;B1222</f>
        <v>the city|la ciudad</v>
      </c>
    </row>
    <row r="1223" customFormat="false" ht="15.75" hidden="false" customHeight="false" outlineLevel="0" collapsed="false">
      <c r="A1223" s="4" t="s">
        <v>2418</v>
      </c>
      <c r="B1223" s="5" t="s">
        <v>2419</v>
      </c>
      <c r="C1223" s="5" t="s">
        <v>2409</v>
      </c>
      <c r="D1223" s="6"/>
      <c r="E1223" s="7" t="str">
        <f aca="false">IFERROR(__xludf.dummyfunction("lower(GOOGLETRANSLATE(B1223,""es"",""en""))"),"the lake")</f>
        <v>the lake</v>
      </c>
      <c r="F1223" s="7" t="str">
        <f aca="false">IFERROR(__xludf.dummyfunction("lower(GOOGLETRANSLATE(A1223,""en"",""es""))"),"el lago")</f>
        <v>el lago</v>
      </c>
      <c r="H1223" s="0" t="str">
        <f aca="false">A1223&amp;"|"&amp;B1223</f>
        <v>the lake|el lago</v>
      </c>
    </row>
    <row r="1224" customFormat="false" ht="15.75" hidden="false" customHeight="false" outlineLevel="0" collapsed="false">
      <c r="A1224" s="4" t="s">
        <v>2420</v>
      </c>
      <c r="B1224" s="5" t="s">
        <v>2421</v>
      </c>
      <c r="C1224" s="5" t="s">
        <v>2409</v>
      </c>
      <c r="D1224" s="6"/>
      <c r="E1224" s="7" t="str">
        <f aca="false">IFERROR(__xludf.dummyfunction("lower(GOOGLETRANSLATE(B1224,""es"",""en""))"),"places of interest")</f>
        <v>places of interest</v>
      </c>
      <c r="F1224" s="7" t="str">
        <f aca="false">IFERROR(__xludf.dummyfunction("lower(GOOGLETRANSLATE(A1224,""en"",""es""))"),"lugares de interés")</f>
        <v>lugares de interés</v>
      </c>
      <c r="H1224" s="0" t="str">
        <f aca="false">A1224&amp;"|"&amp;B1224</f>
        <v>places of interest|los lugares de interés</v>
      </c>
    </row>
    <row r="1225" customFormat="false" ht="15.75" hidden="false" customHeight="false" outlineLevel="0" collapsed="false">
      <c r="A1225" s="4" t="s">
        <v>2422</v>
      </c>
      <c r="B1225" s="5" t="s">
        <v>2423</v>
      </c>
      <c r="C1225" s="5" t="s">
        <v>2409</v>
      </c>
      <c r="D1225" s="6"/>
      <c r="E1225" s="7" t="str">
        <f aca="false">IFERROR(__xludf.dummyfunction("lower(GOOGLETRANSLATE(B1225,""es"",""en""))"),"the sea")</f>
        <v>the sea</v>
      </c>
      <c r="F1225" s="7" t="str">
        <f aca="false">IFERROR(__xludf.dummyfunction("lower(GOOGLETRANSLATE(A1225,""en"",""es""))"),"oceano mar")</f>
        <v>oceano mar</v>
      </c>
      <c r="H1225" s="0" t="str">
        <f aca="false">A1225&amp;"|"&amp;B1225</f>
        <v>ocean/sea|el mar</v>
      </c>
    </row>
    <row r="1226" customFormat="false" ht="15.75" hidden="false" customHeight="false" outlineLevel="0" collapsed="false">
      <c r="A1226" s="4" t="s">
        <v>2424</v>
      </c>
      <c r="B1226" s="5" t="s">
        <v>2425</v>
      </c>
      <c r="C1226" s="5" t="s">
        <v>2409</v>
      </c>
      <c r="D1226" s="6"/>
      <c r="E1226" s="7" t="str">
        <f aca="false">IFERROR(__xludf.dummyfunction("lower(GOOGLETRANSLATE(B1226,""es"",""en""))"),"the mountain")</f>
        <v>the mountain</v>
      </c>
      <c r="F1226" s="7" t="str">
        <f aca="false">IFERROR(__xludf.dummyfunction("lower(GOOGLETRANSLATE(A1226,""en"",""es""))"),"la montaña")</f>
        <v>la montaña</v>
      </c>
      <c r="H1226" s="0" t="str">
        <f aca="false">A1226&amp;"|"&amp;B1226</f>
        <v>the mountain|la montaña</v>
      </c>
    </row>
    <row r="1227" customFormat="false" ht="15.75" hidden="false" customHeight="false" outlineLevel="0" collapsed="false">
      <c r="A1227" s="4" t="s">
        <v>2426</v>
      </c>
      <c r="B1227" s="5" t="s">
        <v>2427</v>
      </c>
      <c r="C1227" s="5" t="s">
        <v>2409</v>
      </c>
      <c r="D1227" s="6"/>
      <c r="E1227" s="7" t="str">
        <f aca="false">IFERROR(__xludf.dummyfunction("lower(GOOGLETRANSLATE(B1227,""es"",""en""))"),"the museum")</f>
        <v>the museum</v>
      </c>
      <c r="F1227" s="7" t="str">
        <f aca="false">IFERROR(__xludf.dummyfunction("lower(GOOGLETRANSLATE(A1227,""en"",""es""))"),"el museo")</f>
        <v>el museo</v>
      </c>
      <c r="H1227" s="0" t="str">
        <f aca="false">A1227&amp;"|"&amp;B1227</f>
        <v>the museum|el museo</v>
      </c>
    </row>
    <row r="1228" customFormat="false" ht="15.75" hidden="false" customHeight="false" outlineLevel="0" collapsed="false">
      <c r="A1228" s="4" t="s">
        <v>2428</v>
      </c>
      <c r="B1228" s="5" t="s">
        <v>2429</v>
      </c>
      <c r="C1228" s="5" t="s">
        <v>2409</v>
      </c>
      <c r="D1228" s="6"/>
      <c r="E1228" s="7" t="str">
        <f aca="false">IFERROR(__xludf.dummyfunction("lower(GOOGLETRANSLATE(B1228,""es"",""en""))"),"the country")</f>
        <v>the country</v>
      </c>
      <c r="F1228" s="7" t="str">
        <f aca="false">IFERROR(__xludf.dummyfunction("lower(GOOGLETRANSLATE(A1228,""en"",""es""))"),"el país")</f>
        <v>el país</v>
      </c>
      <c r="H1228" s="0" t="str">
        <f aca="false">A1228&amp;"|"&amp;B1228</f>
        <v>the country|el país</v>
      </c>
    </row>
    <row r="1229" customFormat="false" ht="15.75" hidden="false" customHeight="false" outlineLevel="0" collapsed="false">
      <c r="A1229" s="4" t="s">
        <v>2430</v>
      </c>
      <c r="B1229" s="5" t="s">
        <v>2431</v>
      </c>
      <c r="C1229" s="5" t="s">
        <v>2409</v>
      </c>
      <c r="D1229" s="6"/>
      <c r="E1229" s="7" t="str">
        <f aca="false">IFERROR(__xludf.dummyfunction("lower(GOOGLETRANSLATE(B1229,""es"",""en""))"),"the piramid")</f>
        <v>the piramid</v>
      </c>
      <c r="F1229" s="7" t="str">
        <f aca="false">IFERROR(__xludf.dummyfunction("lower(GOOGLETRANSLATE(A1229,""en"",""es""))"),"la pirámide")</f>
        <v>la pirámide</v>
      </c>
      <c r="H1229" s="0" t="str">
        <f aca="false">A1229&amp;"|"&amp;B1229</f>
        <v>the pyramid|la pirámide</v>
      </c>
    </row>
    <row r="1230" customFormat="false" ht="15.75" hidden="false" customHeight="false" outlineLevel="0" collapsed="false">
      <c r="A1230" s="4" t="s">
        <v>2432</v>
      </c>
      <c r="B1230" s="5" t="s">
        <v>2433</v>
      </c>
      <c r="C1230" s="5" t="s">
        <v>2409</v>
      </c>
      <c r="D1230" s="6"/>
      <c r="E1230" s="7" t="str">
        <f aca="false">IFERROR(__xludf.dummyfunction("lower(GOOGLETRANSLATE(B1230,""es"",""en""))"),"the ruins")</f>
        <v>the ruins</v>
      </c>
      <c r="F1230" s="7" t="str">
        <f aca="false">IFERROR(__xludf.dummyfunction("lower(GOOGLETRANSLATE(A1230,""en"",""es""))"),"las ruinas")</f>
        <v>las ruinas</v>
      </c>
      <c r="H1230" s="0" t="str">
        <f aca="false">A1230&amp;"|"&amp;B1230</f>
        <v>the ruins|las ruinas</v>
      </c>
    </row>
    <row r="1231" customFormat="false" ht="15.75" hidden="false" customHeight="false" outlineLevel="0" collapsed="false">
      <c r="A1231" s="4" t="s">
        <v>2434</v>
      </c>
      <c r="B1231" s="5" t="s">
        <v>2435</v>
      </c>
      <c r="C1231" s="5" t="s">
        <v>2409</v>
      </c>
      <c r="D1231" s="6"/>
      <c r="E1231" s="7" t="str">
        <f aca="false">IFERROR(__xludf.dummyfunction("lower(GOOGLETRANSLATE(B1231,""es"",""en""))"),"the river")</f>
        <v>the river</v>
      </c>
      <c r="F1231" s="7" t="str">
        <f aca="false">IFERROR(__xludf.dummyfunction("lower(GOOGLETRANSLATE(A1231,""en"",""es""))"),"el río")</f>
        <v>el río</v>
      </c>
      <c r="H1231" s="0" t="str">
        <f aca="false">A1231&amp;"|"&amp;B1231</f>
        <v>the river|el río</v>
      </c>
    </row>
    <row r="1232" customFormat="false" ht="15.75" hidden="false" customHeight="false" outlineLevel="0" collapsed="false">
      <c r="A1232" s="4" t="s">
        <v>2436</v>
      </c>
      <c r="B1232" s="5" t="s">
        <v>2437</v>
      </c>
      <c r="C1232" s="5" t="s">
        <v>2409</v>
      </c>
      <c r="D1232" s="6"/>
      <c r="E1232" s="7" t="str">
        <f aca="false">IFERROR(__xludf.dummyfunction("lower(GOOGLETRANSLATE(B1232,""es"",""en""))"),"the tropical rainforest")</f>
        <v>the tropical rainforest</v>
      </c>
      <c r="F1232" s="7" t="str">
        <f aca="false">IFERROR(__xludf.dummyfunction("lower(GOOGLETRANSLATE(A1232,""en"",""es""))"),"la selva")</f>
        <v>la selva</v>
      </c>
      <c r="H1232" s="0" t="str">
        <f aca="false">A1232&amp;"|"&amp;B1232</f>
        <v>the rain forest|la selva tropical</v>
      </c>
    </row>
    <row r="1233" customFormat="false" ht="15.75" hidden="false" customHeight="false" outlineLevel="0" collapsed="false">
      <c r="A1233" s="4" t="s">
        <v>2438</v>
      </c>
      <c r="B1233" s="5" t="s">
        <v>2439</v>
      </c>
      <c r="C1233" s="5" t="s">
        <v>2409</v>
      </c>
      <c r="D1233" s="6"/>
      <c r="E1233" s="7" t="str">
        <f aca="false">IFERROR(__xludf.dummyfunction("lower(GOOGLETRANSLATE(B1233,""es"",""en""))"),"buccear")</f>
        <v>buccear</v>
      </c>
      <c r="F1233" s="7" t="str">
        <f aca="false">IFERROR(__xludf.dummyfunction("lower(GOOGLETRANSLATE(A1233,""en"",""es""))"),"a bucear")</f>
        <v>a bucear</v>
      </c>
      <c r="H1233" s="0" t="str">
        <f aca="false">A1233&amp;"|"&amp;B1233</f>
        <v>to scuba dive|buccear</v>
      </c>
    </row>
    <row r="1234" customFormat="false" ht="15.75" hidden="false" customHeight="false" outlineLevel="0" collapsed="false">
      <c r="A1234" s="4" t="s">
        <v>2440</v>
      </c>
      <c r="B1234" s="5" t="s">
        <v>2441</v>
      </c>
      <c r="C1234" s="5" t="s">
        <v>2409</v>
      </c>
      <c r="D1234" s="6"/>
      <c r="E1234" s="7" t="str">
        <f aca="false">IFERROR(__xludf.dummyfunction("lower(GOOGLETRANSLATE(B1234,""es"",""en""))"),"go down")</f>
        <v>go down</v>
      </c>
      <c r="F1234" s="7" t="str">
        <f aca="false">IFERROR(__xludf.dummyfunction("lower(GOOGLETRANSLATE(A1234,""en"",""es""))"),"bajar")</f>
        <v>bajar</v>
      </c>
      <c r="H1234" s="0" t="str">
        <f aca="false">A1234&amp;"|"&amp;B1234</f>
        <v>to go down|bajar</v>
      </c>
    </row>
    <row r="1235" customFormat="false" ht="15.75" hidden="false" customHeight="false" outlineLevel="0" collapsed="false">
      <c r="A1235" s="4" t="s">
        <v>2442</v>
      </c>
      <c r="B1235" s="5" t="s">
        <v>2443</v>
      </c>
      <c r="C1235" s="5" t="s">
        <v>2409</v>
      </c>
      <c r="D1235" s="6"/>
      <c r="E1235" s="7" t="str">
        <f aca="false">IFERROR(__xludf.dummyfunction("lower(GOOGLETRANSLATE(B1235,""es"",""en""))"),"memories")</f>
        <v>memories</v>
      </c>
      <c r="F1235" s="7" t="str">
        <f aca="false">IFERROR(__xludf.dummyfunction("lower(GOOGLETRANSLATE(A1235,""en"",""es""))"),"los souvinirs")</f>
        <v>los souvinirs</v>
      </c>
      <c r="H1235" s="0" t="str">
        <f aca="false">A1235&amp;"|"&amp;B1235</f>
        <v>the souvinirs|los recuerdos</v>
      </c>
    </row>
    <row r="1236" customFormat="false" ht="15.75" hidden="false" customHeight="false" outlineLevel="0" collapsed="false">
      <c r="A1236" s="4" t="s">
        <v>2444</v>
      </c>
      <c r="B1236" s="5" t="s">
        <v>2445</v>
      </c>
      <c r="C1236" s="5" t="s">
        <v>2409</v>
      </c>
      <c r="D1236" s="6"/>
      <c r="E1236" s="7" t="str">
        <f aca="false">IFERROR(__xludf.dummyfunction("lower(GOOGLETRANSLATE(B1236,""es"",""en""))"),"rest")</f>
        <v>rest</v>
      </c>
      <c r="F1236" s="7" t="str">
        <f aca="false">IFERROR(__xludf.dummyfunction("lower(GOOGLETRANSLATE(A1236,""en"",""es""))"),"descansar")</f>
        <v>descansar</v>
      </c>
      <c r="H1236" s="0" t="str">
        <f aca="false">A1236&amp;"|"&amp;B1236</f>
        <v>to rest|descansar</v>
      </c>
    </row>
    <row r="1237" customFormat="false" ht="15.75" hidden="false" customHeight="false" outlineLevel="0" collapsed="false">
      <c r="A1237" s="4" t="s">
        <v>1596</v>
      </c>
      <c r="B1237" s="5" t="s">
        <v>1597</v>
      </c>
      <c r="C1237" s="5" t="s">
        <v>2409</v>
      </c>
      <c r="D1237" s="6"/>
      <c r="E1237" s="7" t="str">
        <f aca="false">IFERROR(__xludf.dummyfunction("lower(GOOGLETRANSLATE(B1237,""es"",""en""))"),"ski")</f>
        <v>ski</v>
      </c>
      <c r="F1237" s="7" t="str">
        <f aca="false">IFERROR(__xludf.dummyfunction("lower(GOOGLETRANSLATE(A1237,""en"",""es""))"),"esquiar")</f>
        <v>esquiar</v>
      </c>
      <c r="H1237" s="0" t="str">
        <f aca="false">A1237&amp;"|"&amp;B1237</f>
        <v>to ski|esquiar</v>
      </c>
    </row>
    <row r="1238" customFormat="false" ht="15.75" hidden="false" customHeight="false" outlineLevel="0" collapsed="false">
      <c r="A1238" s="4" t="s">
        <v>2446</v>
      </c>
      <c r="B1238" s="5" t="s">
        <v>2447</v>
      </c>
      <c r="C1238" s="5" t="s">
        <v>2409</v>
      </c>
      <c r="D1238" s="6"/>
      <c r="E1238" s="7" t="str">
        <f aca="false">IFERROR(__xludf.dummyfunction("lower(GOOGLETRANSLATE(B1238,""es"",""en""))"),"to explore")</f>
        <v>to explore</v>
      </c>
      <c r="F1238" s="7" t="str">
        <f aca="false">IFERROR(__xludf.dummyfunction("lower(GOOGLETRANSLATE(A1238,""en"",""es""))"),"para explorar")</f>
        <v>para explorar</v>
      </c>
      <c r="H1238" s="0" t="str">
        <f aca="false">A1238&amp;"|"&amp;B1238</f>
        <v>to explore|explorar</v>
      </c>
    </row>
    <row r="1239" customFormat="false" ht="15.75" hidden="false" customHeight="false" outlineLevel="0" collapsed="false">
      <c r="A1239" s="4" t="s">
        <v>2448</v>
      </c>
      <c r="B1239" s="5" t="s">
        <v>2299</v>
      </c>
      <c r="C1239" s="5" t="s">
        <v>2409</v>
      </c>
      <c r="D1239" s="6"/>
      <c r="E1239" s="7" t="str">
        <f aca="false">IFERROR(__xludf.dummyfunction("lower(GOOGLETRANSLATE(B1239,""es"",""en""))"),"wear")</f>
        <v>wear</v>
      </c>
      <c r="F1239" s="7" t="str">
        <f aca="false">IFERROR(__xludf.dummyfunction("lower(GOOGLETRANSLATE(A1239,""en"",""es""))"),"para llevar / a desgaste")</f>
        <v>para llevar / a desgaste</v>
      </c>
      <c r="H1239" s="0" t="str">
        <f aca="false">A1239&amp;"|"&amp;B1239</f>
        <v>to carry / to wear|llevar</v>
      </c>
    </row>
    <row r="1240" customFormat="false" ht="15.75" hidden="false" customHeight="false" outlineLevel="0" collapsed="false">
      <c r="A1240" s="4" t="s">
        <v>2449</v>
      </c>
      <c r="B1240" s="5" t="s">
        <v>2450</v>
      </c>
      <c r="C1240" s="5" t="s">
        <v>2409</v>
      </c>
      <c r="D1240" s="6"/>
      <c r="E1240" s="7" t="str">
        <f aca="false">IFERROR(__xludf.dummyfunction("lower(GOOGLETRANSLATE(B1240,""es"",""en""))"),"walk (by boat)")</f>
        <v>walk (by boat)</v>
      </c>
      <c r="F1240" s="7" t="str">
        <f aca="false">IFERROR(__xludf.dummyfunction("lower(GOOGLETRANSLATE(A1240,""en"",""es""))"),"para dar la vuelta (en barco)")</f>
        <v>para dar la vuelta (en barco)</v>
      </c>
      <c r="H1240" s="0" t="str">
        <f aca="false">A1240&amp;"|"&amp;B1240</f>
        <v>to go around (by boat)|pasear (en bote)</v>
      </c>
    </row>
    <row r="1241" customFormat="false" ht="15.75" hidden="false" customHeight="false" outlineLevel="0" collapsed="false">
      <c r="A1241" s="4" t="s">
        <v>2451</v>
      </c>
      <c r="B1241" s="5" t="s">
        <v>2452</v>
      </c>
      <c r="C1241" s="5" t="s">
        <v>2409</v>
      </c>
      <c r="D1241" s="6"/>
      <c r="E1241" s="7" t="str">
        <f aca="false">IFERROR(__xludf.dummyfunction("lower(GOOGLETRANSLATE(B1241,""es"",""en""))"),"take pictures")</f>
        <v>take pictures</v>
      </c>
      <c r="F1241" s="7" t="str">
        <f aca="false">IFERROR(__xludf.dummyfunction("lower(GOOGLETRANSLATE(A1241,""en"",""es""))"),"tomar fotos")</f>
        <v>tomar fotos</v>
      </c>
      <c r="H1241" s="0" t="str">
        <f aca="false">A1241&amp;"|"&amp;B1241</f>
        <v>to take photos|sacar fotos</v>
      </c>
    </row>
    <row r="1242" customFormat="false" ht="15.75" hidden="false" customHeight="false" outlineLevel="0" collapsed="false">
      <c r="A1242" s="4" t="s">
        <v>2453</v>
      </c>
      <c r="B1242" s="5" t="s">
        <v>2454</v>
      </c>
      <c r="C1242" s="5" t="s">
        <v>2409</v>
      </c>
      <c r="D1242" s="6"/>
      <c r="E1242" s="7" t="str">
        <f aca="false">IFERROR(__xludf.dummyfunction("lower(GOOGLETRANSLATE(B1242,""es"",""en""))"),"the photograph)")</f>
        <v>the photograph)</v>
      </c>
      <c r="F1242" s="7" t="str">
        <f aca="false">IFERROR(__xludf.dummyfunction("lower(GOOGLETRANSLATE(A1242,""en"",""es""))"),"la phote (gráfico)")</f>
        <v>la phote (gráfico)</v>
      </c>
      <c r="H1242" s="0" t="str">
        <f aca="false">A1242&amp;"|"&amp;B1242</f>
        <v>the phote(graph)|la foto(grafia)</v>
      </c>
    </row>
    <row r="1243" customFormat="false" ht="15.75" hidden="false" customHeight="false" outlineLevel="0" collapsed="false">
      <c r="A1243" s="4" t="s">
        <v>2455</v>
      </c>
      <c r="B1243" s="5" t="s">
        <v>2456</v>
      </c>
      <c r="C1243" s="5" t="s">
        <v>2409</v>
      </c>
      <c r="D1243" s="6"/>
      <c r="E1243" s="7" t="str">
        <f aca="false">IFERROR(__xludf.dummyfunction("lower(GOOGLETRANSLATE(B1243,""es"",""en""))"),"rise")</f>
        <v>rise</v>
      </c>
      <c r="F1243" s="7" t="str">
        <f aca="false">IFERROR(__xludf.dummyfunction("lower(GOOGLETRANSLATE(A1243,""en"",""es""))"),"subir")</f>
        <v>subir</v>
      </c>
      <c r="H1243" s="0" t="str">
        <f aca="false">A1243&amp;"|"&amp;B1243</f>
        <v>to go up|subir</v>
      </c>
    </row>
    <row r="1244" customFormat="false" ht="15.75" hidden="false" customHeight="false" outlineLevel="0" collapsed="false">
      <c r="A1244" s="4" t="s">
        <v>2457</v>
      </c>
      <c r="B1244" s="5" t="s">
        <v>2458</v>
      </c>
      <c r="C1244" s="5" t="s">
        <v>2409</v>
      </c>
      <c r="D1244" s="6"/>
      <c r="E1244" s="7" t="str">
        <f aca="false">IFERROR(__xludf.dummyfunction("lower(GOOGLETRANSLATE(B1244,""es"",""en""))"),"sunbathe")</f>
        <v>sunbathe</v>
      </c>
      <c r="F1244" s="7" t="str">
        <f aca="false">IFERROR(__xludf.dummyfunction("lower(GOOGLETRANSLATE(A1244,""en"",""es""))"),"tomar el sol")</f>
        <v>tomar el sol</v>
      </c>
      <c r="H1244" s="0" t="str">
        <f aca="false">A1244&amp;"|"&amp;B1244</f>
        <v>to sunbathe|tomar el sol</v>
      </c>
    </row>
    <row r="1245" customFormat="false" ht="15.75" hidden="false" customHeight="false" outlineLevel="0" collapsed="false">
      <c r="A1245" s="4" t="s">
        <v>2459</v>
      </c>
      <c r="B1245" s="5" t="s">
        <v>2460</v>
      </c>
      <c r="C1245" s="5" t="s">
        <v>2409</v>
      </c>
      <c r="D1245" s="6"/>
      <c r="E1245" s="7" t="str">
        <f aca="false">IFERROR(__xludf.dummyfunction("lower(GOOGLETRANSLATE(B1245,""es"",""en""))"),"to visit")</f>
        <v>to visit</v>
      </c>
      <c r="F1245" s="7" t="str">
        <f aca="false">IFERROR(__xludf.dummyfunction("lower(GOOGLETRANSLATE(A1245,""en"",""es""))"),"visitar")</f>
        <v>visitar</v>
      </c>
      <c r="H1245" s="0" t="str">
        <f aca="false">A1245&amp;"|"&amp;B1245</f>
        <v>to visit|visitar</v>
      </c>
    </row>
    <row r="1246" customFormat="false" ht="15.75" hidden="false" customHeight="false" outlineLevel="0" collapsed="false">
      <c r="A1246" s="4" t="s">
        <v>2461</v>
      </c>
      <c r="B1246" s="5" t="s">
        <v>2462</v>
      </c>
      <c r="C1246" s="5" t="s">
        <v>2409</v>
      </c>
      <c r="D1246" s="6"/>
      <c r="E1246" s="7" t="str">
        <f aca="false">IFERROR(__xludf.dummyfunction("lower(GOOGLETRANSLATE(B1246,""es"",""en""))"),"center")</f>
        <v>center</v>
      </c>
      <c r="F1246" s="7" t="str">
        <f aca="false">IFERROR(__xludf.dummyfunction("lower(GOOGLETRANSLATE(A1246,""en"",""es""))"),"el centro")</f>
        <v>el centro</v>
      </c>
      <c r="H1246" s="0" t="str">
        <f aca="false">A1246&amp;"|"&amp;B1246</f>
        <v>the center|el centro</v>
      </c>
    </row>
    <row r="1247" customFormat="false" ht="15.75" hidden="false" customHeight="false" outlineLevel="0" collapsed="false">
      <c r="A1247" s="4" t="s">
        <v>2463</v>
      </c>
      <c r="B1247" s="5" t="s">
        <v>2464</v>
      </c>
      <c r="C1247" s="5" t="s">
        <v>2409</v>
      </c>
      <c r="D1247" s="6"/>
      <c r="E1247" s="7" t="str">
        <f aca="false">IFERROR(__xludf.dummyfunction("lower(GOOGLETRANSLATE(B1247,""es"",""en""))"),"think (e &gt;&gt; ie) + inf.")</f>
        <v>think (e &gt;&gt; ie) + inf.</v>
      </c>
      <c r="F1247" s="7" t="str">
        <f aca="false">IFERROR(__xludf.dummyfunction("lower(GOOGLETRANSLATE(A1247,""en"",""es""))"),"planear?")</f>
        <v>planear?</v>
      </c>
      <c r="H1247" s="0" t="str">
        <f aca="false">A1247&amp;"|"&amp;B1247</f>
        <v>to plan to ?|pensar (e &gt;&gt; ie) + inf.</v>
      </c>
    </row>
    <row r="1248" customFormat="false" ht="15.75" hidden="false" customHeight="false" outlineLevel="0" collapsed="false">
      <c r="A1248" s="4" t="s">
        <v>2465</v>
      </c>
      <c r="B1248" s="5" t="s">
        <v>2466</v>
      </c>
      <c r="C1248" s="5" t="s">
        <v>2409</v>
      </c>
      <c r="D1248" s="6"/>
      <c r="E1248" s="7" t="str">
        <f aca="false">IFERROR(__xludf.dummyfunction("lower(GOOGLETRANSLATE(B1248,""es"",""en""))"),"to return")</f>
        <v>to return</v>
      </c>
      <c r="F1248" s="7" t="str">
        <f aca="false">IFERROR(__xludf.dummyfunction("lower(GOOGLETRANSLATE(A1248,""en"",""es""))"),"al retorno / volver")</f>
        <v>al retorno / volver</v>
      </c>
      <c r="H1248" s="0" t="str">
        <f aca="false">A1248&amp;"|"&amp;B1248</f>
        <v>to return / to go back|regresar</v>
      </c>
    </row>
    <row r="1249" customFormat="false" ht="15.75" hidden="false" customHeight="false" outlineLevel="0" collapsed="false">
      <c r="A1249" s="4" t="s">
        <v>2467</v>
      </c>
      <c r="B1249" s="5" t="s">
        <v>2468</v>
      </c>
      <c r="C1249" s="5" t="s">
        <v>2409</v>
      </c>
      <c r="D1249" s="6"/>
      <c r="E1249" s="7" t="str">
        <f aca="false">IFERROR(__xludf.dummyfunction("lower(GOOGLETRANSLATE(B1249,""es"",""en""))"),"walk into)")</f>
        <v>walk into)</v>
      </c>
      <c r="F1249" s="7" t="str">
        <f aca="false">IFERROR(__xludf.dummyfunction("lower(GOOGLETRANSLATE(A1249,""en"",""es""))"),"para entrar en)")</f>
        <v>para entrar en)</v>
      </c>
      <c r="H1249" s="0" t="str">
        <f aca="false">A1249&amp;"|"&amp;B1249</f>
        <v>to enter (into)|entrar (en)</v>
      </c>
    </row>
    <row r="1250" customFormat="false" ht="15.75" hidden="false" customHeight="false" outlineLevel="0" collapsed="false">
      <c r="A1250" s="4" t="s">
        <v>2469</v>
      </c>
      <c r="B1250" s="5" t="s">
        <v>2470</v>
      </c>
      <c r="C1250" s="5" t="s">
        <v>2409</v>
      </c>
      <c r="D1250" s="6"/>
      <c r="E1250" s="7" t="str">
        <f aca="false">IFERROR(__xludf.dummyfunction("lower(GOOGLETRANSLATE(B1250,""es"",""en""))"),"get out of)")</f>
        <v>get out of)</v>
      </c>
      <c r="F1250" s="7" t="str">
        <f aca="false">IFERROR(__xludf.dummyfunction("lower(GOOGLETRANSLATE(A1250,""en"",""es""))"),"a la licencia (de)")</f>
        <v>a la licencia (de)</v>
      </c>
      <c r="H1250" s="0" t="str">
        <f aca="false">A1250&amp;"|"&amp;B1250</f>
        <v>to leave (from)|salir (de)</v>
      </c>
    </row>
    <row r="1251" customFormat="false" ht="15.75" hidden="false" customHeight="false" outlineLevel="0" collapsed="false">
      <c r="A1251" s="4" t="s">
        <v>2471</v>
      </c>
      <c r="B1251" s="5" t="s">
        <v>2472</v>
      </c>
      <c r="C1251" s="5" t="s">
        <v>2409</v>
      </c>
      <c r="D1251" s="6"/>
      <c r="E1251" s="7" t="str">
        <f aca="false">IFERROR(__xludf.dummyfunction("lower(GOOGLETRANSLATE(B1251,""es"",""en""))"),"i go")</f>
        <v>i go</v>
      </c>
      <c r="F1251" s="7" t="str">
        <f aca="false">IFERROR(__xludf.dummyfunction("lower(GOOGLETRANSLATE(A1251,""en"",""es""))"),"dejo")</f>
        <v>dejo</v>
      </c>
      <c r="H1251" s="0" t="str">
        <f aca="false">A1251&amp;"|"&amp;B1251</f>
        <v>i leave|yo salgo</v>
      </c>
    </row>
    <row r="1252" customFormat="false" ht="15.75" hidden="false" customHeight="false" outlineLevel="0" collapsed="false">
      <c r="A1252" s="4" t="s">
        <v>2473</v>
      </c>
      <c r="B1252" s="5" t="s">
        <v>2474</v>
      </c>
      <c r="C1252" s="5" t="s">
        <v>2409</v>
      </c>
      <c r="D1252" s="6"/>
      <c r="E1252" s="7" t="str">
        <f aca="false">IFERROR(__xludf.dummyfunction("lower(GOOGLETRANSLATE(B1252,""es"",""en""))"),"want to (e &gt;&gt; ie) + inf.")</f>
        <v>want to (e &gt;&gt; ie) + inf.</v>
      </c>
      <c r="F1252" s="7" t="str">
        <f aca="false">IFERROR(__xludf.dummyfunction("lower(GOOGLETRANSLATE(A1252,""en"",""es""))"),"querer ?")</f>
        <v>querer ?</v>
      </c>
      <c r="H1252" s="0" t="str">
        <f aca="false">A1252&amp;"|"&amp;B1252</f>
        <v>to want to ?|querer (e &gt;&gt; ie) + inf.</v>
      </c>
    </row>
    <row r="1253" customFormat="false" ht="15.75" hidden="false" customHeight="false" outlineLevel="0" collapsed="false">
      <c r="A1253" s="4" t="s">
        <v>2475</v>
      </c>
      <c r="B1253" s="5" t="s">
        <v>2476</v>
      </c>
      <c r="C1253" s="5" t="s">
        <v>2409</v>
      </c>
      <c r="D1253" s="6"/>
      <c r="E1253" s="7" t="str">
        <f aca="false">IFERROR(__xludf.dummyfunction("lower(GOOGLETRANSLATE(B1253,""es"",""en""))"),"power (or &gt;&gt; ue) + inf.")</f>
        <v>power (or &gt;&gt; ue) + inf.</v>
      </c>
      <c r="F1253" s="7" t="str">
        <f aca="false">IFERROR(__xludf.dummyfunction("lower(GOOGLETRANSLATE(A1253,""en"",""es""))"),"ser capaz de ?")</f>
        <v>ser capaz de ?</v>
      </c>
      <c r="H1253" s="0" t="str">
        <f aca="false">A1253&amp;"|"&amp;B1253</f>
        <v>to be able to ?|poder (o &gt;&gt; ue) + inf.</v>
      </c>
    </row>
    <row r="1254" customFormat="false" ht="15.75" hidden="false" customHeight="false" outlineLevel="0" collapsed="false">
      <c r="A1254" s="4" t="s">
        <v>2477</v>
      </c>
      <c r="B1254" s="5" t="s">
        <v>2478</v>
      </c>
      <c r="C1254" s="5" t="s">
        <v>2409</v>
      </c>
      <c r="D1254" s="6"/>
      <c r="E1254" s="7" t="str">
        <f aca="false">IFERROR(__xludf.dummyfunction("lower(GOOGLETRANSLATE(B1254,""es"",""en""))"),"ir + a + inf.")</f>
        <v>ir + a + inf.</v>
      </c>
      <c r="F1254" s="7" t="str">
        <f aca="false">IFERROR(__xludf.dummyfunction("lower(GOOGLETRANSLATE(A1254,""en"",""es""))"),"ir a ?")</f>
        <v>ir a ?</v>
      </c>
      <c r="H1254" s="0" t="str">
        <f aca="false">A1254&amp;"|"&amp;B1254</f>
        <v>to be going to ?|ir + a + inf.</v>
      </c>
    </row>
    <row r="1255" customFormat="false" ht="15.75" hidden="false" customHeight="false" outlineLevel="0" collapsed="false">
      <c r="A1255" s="4" t="s">
        <v>573</v>
      </c>
      <c r="B1255" s="5" t="s">
        <v>574</v>
      </c>
      <c r="C1255" s="5" t="s">
        <v>2409</v>
      </c>
      <c r="D1255" s="6"/>
      <c r="E1255" s="7" t="str">
        <f aca="false">IFERROR(__xludf.dummyfunction("lower(GOOGLETRANSLATE(B1255,""es"",""en""))"),"need")</f>
        <v>need</v>
      </c>
      <c r="F1255" s="7" t="str">
        <f aca="false">IFERROR(__xludf.dummyfunction("lower(GOOGLETRANSLATE(A1255,""en"",""es""))"),"necesitar")</f>
        <v>necesitar</v>
      </c>
      <c r="H1255" s="0" t="str">
        <f aca="false">A1255&amp;"|"&amp;B1255</f>
        <v>to need|necesitar</v>
      </c>
    </row>
    <row r="1256" customFormat="false" ht="15.75" hidden="false" customHeight="false" outlineLevel="0" collapsed="false">
      <c r="A1256" s="4" t="s">
        <v>2479</v>
      </c>
      <c r="B1256" s="5" t="s">
        <v>2480</v>
      </c>
      <c r="C1256" s="5" t="s">
        <v>2409</v>
      </c>
      <c r="D1256" s="6"/>
      <c r="E1256" s="7" t="str">
        <f aca="false">IFERROR(__xludf.dummyfunction("lower(GOOGLETRANSLATE(B1256,""es"",""en""))"),"bring")</f>
        <v>bring</v>
      </c>
      <c r="F1256" s="7" t="str">
        <f aca="false">IFERROR(__xludf.dummyfunction("lower(GOOGLETRANSLATE(A1256,""en"",""es""))"),"traer")</f>
        <v>traer</v>
      </c>
      <c r="H1256" s="0" t="str">
        <f aca="false">A1256&amp;"|"&amp;B1256</f>
        <v>to bring|traer</v>
      </c>
    </row>
    <row r="1257" customFormat="false" ht="15.75" hidden="false" customHeight="false" outlineLevel="0" collapsed="false">
      <c r="A1257" s="4" t="s">
        <v>2481</v>
      </c>
      <c r="B1257" s="5" t="s">
        <v>2482</v>
      </c>
      <c r="C1257" s="5" t="s">
        <v>2409</v>
      </c>
      <c r="D1257" s="6"/>
      <c r="E1257" s="7" t="str">
        <f aca="false">IFERROR(__xludf.dummyfunction("lower(GOOGLETRANSLATE(B1257,""es"",""en""))"),"i triago")</f>
        <v>i triago</v>
      </c>
      <c r="F1257" s="7" t="str">
        <f aca="false">IFERROR(__xludf.dummyfunction("lower(GOOGLETRANSLATE(A1257,""en"",""es""))"),"yo traigo")</f>
        <v>yo traigo</v>
      </c>
      <c r="H1257" s="0" t="str">
        <f aca="false">A1257&amp;"|"&amp;B1257</f>
        <v>i bring|yo triago</v>
      </c>
    </row>
    <row r="1258" customFormat="false" ht="15.75" hidden="false" customHeight="false" outlineLevel="0" collapsed="false">
      <c r="A1258" s="4" t="s">
        <v>2483</v>
      </c>
      <c r="B1258" s="5" t="s">
        <v>2484</v>
      </c>
      <c r="C1258" s="5" t="s">
        <v>2409</v>
      </c>
      <c r="D1258" s="6"/>
      <c r="E1258" s="7" t="str">
        <f aca="false">IFERROR(__xludf.dummyfunction("lower(GOOGLETRANSLATE(B1258,""es"",""en""))"),"repeat (e &gt;&gt; i)")</f>
        <v>repeat (e &gt;&gt; i)</v>
      </c>
      <c r="F1258" s="7" t="str">
        <f aca="false">IFERROR(__xludf.dummyfunction("lower(GOOGLETRANSLATE(A1258,""en"",""es""))"),"repetir")</f>
        <v>repetir</v>
      </c>
      <c r="H1258" s="0" t="str">
        <f aca="false">A1258&amp;"|"&amp;B1258</f>
        <v>to repeat|repetir (e &gt;&gt; i)</v>
      </c>
    </row>
    <row r="1259" customFormat="false" ht="15.75" hidden="false" customHeight="false" outlineLevel="0" collapsed="false">
      <c r="A1259" s="4" t="s">
        <v>2485</v>
      </c>
      <c r="B1259" s="5" t="s">
        <v>2486</v>
      </c>
      <c r="C1259" s="5" t="s">
        <v>2409</v>
      </c>
      <c r="D1259" s="6"/>
      <c r="E1259" s="7" t="str">
        <f aca="false">IFERROR(__xludf.dummyfunction("lower(GOOGLETRANSLATE(B1259,""es"",""en""))"),"the coat")</f>
        <v>the coat</v>
      </c>
      <c r="F1259" s="7" t="str">
        <f aca="false">IFERROR(__xludf.dummyfunction("lower(GOOGLETRANSLATE(A1259,""en"",""es""))"),"el abrigo")</f>
        <v>el abrigo</v>
      </c>
      <c r="H1259" s="0" t="str">
        <f aca="false">A1259&amp;"|"&amp;B1259</f>
        <v>the coat|el abrigo</v>
      </c>
    </row>
    <row r="1260" customFormat="false" ht="15.75" hidden="false" customHeight="false" outlineLevel="0" collapsed="false">
      <c r="A1260" s="4" t="s">
        <v>2487</v>
      </c>
      <c r="B1260" s="5" t="s">
        <v>2488</v>
      </c>
      <c r="C1260" s="5" t="s">
        <v>2409</v>
      </c>
      <c r="D1260" s="6"/>
      <c r="E1260" s="7" t="str">
        <f aca="false">IFERROR(__xludf.dummyfunction("lower(GOOGLETRANSLATE(B1260,""es"",""en""))"),"sunglasses")</f>
        <v>sunglasses</v>
      </c>
      <c r="F1260" s="7" t="str">
        <f aca="false">IFERROR(__xludf.dummyfunction("lower(GOOGLETRANSLATE(A1260,""en"",""es""))"),"gafas de sol")</f>
        <v>gafas de sol</v>
      </c>
      <c r="H1260" s="0" t="str">
        <f aca="false">A1260&amp;"|"&amp;B1260</f>
        <v>sunglasses|las gafas de sol</v>
      </c>
    </row>
    <row r="1261" customFormat="false" ht="15.75" hidden="false" customHeight="false" outlineLevel="0" collapsed="false">
      <c r="A1261" s="4" t="s">
        <v>118</v>
      </c>
      <c r="B1261" s="5" t="s">
        <v>119</v>
      </c>
      <c r="C1261" s="9"/>
      <c r="D1261" s="6"/>
      <c r="E1261" s="7" t="str">
        <f aca="false">IFERROR(__xludf.dummyfunction("lower(GOOGLETRANSLATE(B1261,""es"",""en""))"),"year")</f>
        <v>year</v>
      </c>
      <c r="F1261" s="7" t="str">
        <f aca="false">IFERROR(__xludf.dummyfunction("lower(GOOGLETRANSLATE(A1261,""en"",""es""))"),"el año")</f>
        <v>el año</v>
      </c>
      <c r="H1261" s="0" t="str">
        <f aca="false">A1261&amp;"|"&amp;B1261</f>
        <v>the year|el año</v>
      </c>
    </row>
    <row r="1262" customFormat="false" ht="15.75" hidden="false" customHeight="false" outlineLevel="0" collapsed="false">
      <c r="A1262" s="4" t="s">
        <v>2489</v>
      </c>
      <c r="B1262" s="5" t="s">
        <v>2490</v>
      </c>
      <c r="C1262" s="9"/>
      <c r="D1262" s="6"/>
      <c r="E1262" s="7" t="str">
        <f aca="false">IFERROR(__xludf.dummyfunction("lower(GOOGLETRANSLATE(B1262,""es"",""en""))"),"joke")</f>
        <v>joke</v>
      </c>
      <c r="F1262" s="7" t="str">
        <f aca="false">IFERROR(__xludf.dummyfunction("lower(GOOGLETRANSLATE(A1262,""en"",""es""))"),"broma")</f>
        <v>broma</v>
      </c>
      <c r="H1262" s="0" t="str">
        <f aca="false">A1262&amp;"|"&amp;B1262</f>
        <v>joke|chiste</v>
      </c>
    </row>
    <row r="1263" customFormat="false" ht="15.75" hidden="false" customHeight="false" outlineLevel="0" collapsed="false">
      <c r="A1263" s="4" t="s">
        <v>2491</v>
      </c>
      <c r="B1263" s="5" t="s">
        <v>2492</v>
      </c>
      <c r="C1263" s="10" t="s">
        <v>2493</v>
      </c>
      <c r="D1263" s="6"/>
      <c r="E1263" s="7" t="str">
        <f aca="false">IFERROR(__xludf.dummyfunction("lower(GOOGLETRANSLATE(B1263,""es"",""en""))"),"laughter")</f>
        <v>laughter</v>
      </c>
      <c r="F1263" s="7" t="str">
        <f aca="false">IFERROR(__xludf.dummyfunction("lower(GOOGLETRANSLATE(A1263,""en"",""es""))"),"la risa")</f>
        <v>la risa</v>
      </c>
      <c r="H1263" s="0" t="str">
        <f aca="false">A1263&amp;"|"&amp;B1263</f>
        <v>the laugh|la risa</v>
      </c>
    </row>
    <row r="1264" customFormat="false" ht="15.75" hidden="false" customHeight="false" outlineLevel="0" collapsed="false">
      <c r="A1264" s="4" t="s">
        <v>2494</v>
      </c>
      <c r="B1264" s="5" t="s">
        <v>2495</v>
      </c>
      <c r="C1264" s="10" t="s">
        <v>2496</v>
      </c>
      <c r="D1264" s="6"/>
      <c r="E1264" s="7" t="str">
        <f aca="false">IFERROR(__xludf.dummyfunction("lower(GOOGLETRANSLATE(B1264,""es"",""en""))"),"bill")</f>
        <v>bill</v>
      </c>
      <c r="F1264" s="7" t="str">
        <f aca="false">IFERROR(__xludf.dummyfunction("lower(GOOGLETRANSLATE(A1264,""en"",""es""))"),"la factura")</f>
        <v>la factura</v>
      </c>
      <c r="H1264" s="0" t="str">
        <f aca="false">A1264&amp;"|"&amp;B1264</f>
        <v>the bill|la cuenta</v>
      </c>
    </row>
    <row r="1265" customFormat="false" ht="15.75" hidden="false" customHeight="false" outlineLevel="0" collapsed="false">
      <c r="A1265" s="4" t="s">
        <v>2497</v>
      </c>
      <c r="B1265" s="5" t="s">
        <v>2498</v>
      </c>
      <c r="C1265" s="9"/>
      <c r="D1265" s="6"/>
      <c r="E1265" s="7" t="str">
        <f aca="false">IFERROR(__xludf.dummyfunction("lower(GOOGLETRANSLATE(B1265,""es"",""en""))"),"i went")</f>
        <v>i went</v>
      </c>
      <c r="F1265" s="7" t="str">
        <f aca="false">IFERROR(__xludf.dummyfunction("lower(GOOGLETRANSLATE(A1265,""en"",""es""))"),"yo era")</f>
        <v>yo era</v>
      </c>
      <c r="H1265" s="0" t="str">
        <f aca="false">A1265&amp;"|"&amp;B1265</f>
        <v>i was|yo fui</v>
      </c>
    </row>
    <row r="1266" customFormat="false" ht="15.75" hidden="false" customHeight="false" outlineLevel="0" collapsed="false">
      <c r="A1266" s="4" t="s">
        <v>2499</v>
      </c>
      <c r="B1266" s="5" t="s">
        <v>2500</v>
      </c>
      <c r="C1266" s="9"/>
      <c r="D1266" s="6"/>
      <c r="E1266" s="7" t="str">
        <f aca="false">IFERROR(__xludf.dummyfunction("lower(GOOGLETRANSLATE(B1266,""es"",""en""))"),"ghost")</f>
        <v>ghost</v>
      </c>
      <c r="F1266" s="7" t="str">
        <f aca="false">IFERROR(__xludf.dummyfunction("lower(GOOGLETRANSLATE(A1266,""en"",""es""))"),"el fantasma")</f>
        <v>el fantasma</v>
      </c>
      <c r="H1266" s="0" t="str">
        <f aca="false">A1266&amp;"|"&amp;B1266</f>
        <v>the ghost|el fantasma</v>
      </c>
    </row>
    <row r="1267" customFormat="false" ht="15.75" hidden="false" customHeight="false" outlineLevel="0" collapsed="false">
      <c r="A1267" s="4" t="s">
        <v>2501</v>
      </c>
      <c r="B1267" s="5" t="s">
        <v>2502</v>
      </c>
      <c r="C1267" s="10" t="s">
        <v>2503</v>
      </c>
      <c r="D1267" s="6"/>
      <c r="E1267" s="7" t="str">
        <f aca="false">IFERROR(__xludf.dummyfunction("lower(GOOGLETRANSLATE(B1267,""es"",""en""))"),"the office")</f>
        <v>the office</v>
      </c>
      <c r="F1267" s="7" t="str">
        <f aca="false">IFERROR(__xludf.dummyfunction("lower(GOOGLETRANSLATE(A1267,""en"",""es""))"),"la oficina")</f>
        <v>la oficina</v>
      </c>
      <c r="H1267" s="0" t="str">
        <f aca="false">A1267&amp;"|"&amp;B1267</f>
        <v>the office|la oficina</v>
      </c>
    </row>
    <row r="1268" customFormat="false" ht="15.75" hidden="false" customHeight="false" outlineLevel="0" collapsed="false">
      <c r="A1268" s="4" t="s">
        <v>2504</v>
      </c>
      <c r="B1268" s="5" t="s">
        <v>2505</v>
      </c>
      <c r="C1268" s="10" t="s">
        <v>2506</v>
      </c>
      <c r="D1268" s="6"/>
      <c r="E1268" s="7" t="str">
        <f aca="false">IFERROR(__xludf.dummyfunction("lower(GOOGLETRANSLATE(B1268,""es"",""en""))"),"one day")</f>
        <v>one day</v>
      </c>
      <c r="F1268" s="7" t="str">
        <f aca="false">IFERROR(__xludf.dummyfunction("lower(GOOGLETRANSLATE(A1268,""en"",""es""))"),"un día")</f>
        <v>un día</v>
      </c>
      <c r="H1268" s="0" t="str">
        <f aca="false">A1268&amp;"|"&amp;B1268</f>
        <v>a day|un día</v>
      </c>
    </row>
    <row r="1269" customFormat="false" ht="15.75" hidden="false" customHeight="false" outlineLevel="0" collapsed="false">
      <c r="A1269" s="4" t="s">
        <v>2507</v>
      </c>
      <c r="B1269" s="5" t="s">
        <v>28</v>
      </c>
      <c r="C1269" s="9"/>
      <c r="D1269" s="6"/>
      <c r="E1269" s="7" t="str">
        <f aca="false">IFERROR(__xludf.dummyfunction("lower(GOOGLETRANSLATE(B1269,""es"",""en""))"),"evil")</f>
        <v>evil</v>
      </c>
      <c r="F1269" s="7" t="str">
        <f aca="false">IFERROR(__xludf.dummyfunction("lower(GOOGLETRANSLATE(A1269,""en"",""es""))"),"malo")</f>
        <v>malo</v>
      </c>
      <c r="H1269" s="0" t="str">
        <f aca="false">A1269&amp;"|"&amp;B1269</f>
        <v>bad|mal</v>
      </c>
    </row>
    <row r="1270" customFormat="false" ht="15.75" hidden="false" customHeight="false" outlineLevel="0" collapsed="false">
      <c r="A1270" s="4" t="s">
        <v>1332</v>
      </c>
      <c r="B1270" s="5" t="s">
        <v>1333</v>
      </c>
      <c r="C1270" s="9"/>
      <c r="D1270" s="6"/>
      <c r="E1270" s="7" t="str">
        <f aca="false">IFERROR(__xludf.dummyfunction("lower(GOOGLETRANSLATE(B1270,""es"",""en""))"),"never")</f>
        <v>never</v>
      </c>
      <c r="F1270" s="7" t="str">
        <f aca="false">IFERROR(__xludf.dummyfunction("lower(GOOGLETRANSLATE(A1270,""en"",""es""))"),"nunca")</f>
        <v>nunca</v>
      </c>
      <c r="H1270" s="0" t="str">
        <f aca="false">A1270&amp;"|"&amp;B1270</f>
        <v>never|nunca</v>
      </c>
    </row>
    <row r="1271" customFormat="false" ht="15.75" hidden="false" customHeight="false" outlineLevel="0" collapsed="false">
      <c r="A1271" s="4" t="s">
        <v>2508</v>
      </c>
      <c r="B1271" s="5" t="s">
        <v>2509</v>
      </c>
      <c r="C1271" s="10" t="s">
        <v>2510</v>
      </c>
      <c r="D1271" s="6"/>
      <c r="E1271" s="7" t="str">
        <f aca="false">IFERROR(__xludf.dummyfunction("lower(GOOGLETRANSLATE(B1271,""es"",""en""))"),"the light")</f>
        <v>the light</v>
      </c>
      <c r="F1271" s="7" t="str">
        <f aca="false">IFERROR(__xludf.dummyfunction("lower(GOOGLETRANSLATE(A1271,""en"",""es""))"),"la luz")</f>
        <v>la luz</v>
      </c>
      <c r="H1271" s="0" t="str">
        <f aca="false">A1271&amp;"|"&amp;B1271</f>
        <v>the light|la luz</v>
      </c>
    </row>
    <row r="1272" customFormat="false" ht="15.75" hidden="false" customHeight="false" outlineLevel="0" collapsed="false">
      <c r="A1272" s="4" t="s">
        <v>2260</v>
      </c>
      <c r="B1272" s="5" t="s">
        <v>2511</v>
      </c>
      <c r="C1272" s="9"/>
      <c r="D1272" s="6"/>
      <c r="E1272" s="7" t="str">
        <f aca="false">IFERROR(__xludf.dummyfunction("lower(GOOGLETRANSLATE(B1272,""es"",""en""))"),"new")</f>
        <v>new</v>
      </c>
      <c r="F1272" s="7" t="str">
        <f aca="false">IFERROR(__xludf.dummyfunction("lower(GOOGLETRANSLATE(A1272,""en"",""es""))"),"nuevo")</f>
        <v>nuevo</v>
      </c>
      <c r="H1272" s="0" t="str">
        <f aca="false">A1272&amp;"|"&amp;B1272</f>
        <v>new|nuevo</v>
      </c>
    </row>
    <row r="1273" customFormat="false" ht="15.75" hidden="false" customHeight="false" outlineLevel="0" collapsed="false">
      <c r="A1273" s="4" t="s">
        <v>2512</v>
      </c>
      <c r="B1273" s="5" t="s">
        <v>2513</v>
      </c>
      <c r="C1273" s="10" t="s">
        <v>2514</v>
      </c>
      <c r="D1273" s="6"/>
      <c r="E1273" s="7" t="str">
        <f aca="false">IFERROR(__xludf.dummyfunction("lower(GOOGLETRANSLATE(B1273,""es"",""en""))"),"the world")</f>
        <v>the world</v>
      </c>
      <c r="F1273" s="7" t="str">
        <f aca="false">IFERROR(__xludf.dummyfunction("lower(GOOGLETRANSLATE(A1273,""en"",""es""))"),"el mundo")</f>
        <v>el mundo</v>
      </c>
      <c r="H1273" s="0" t="str">
        <f aca="false">A1273&amp;"|"&amp;B1273</f>
        <v>the world|el mundo</v>
      </c>
    </row>
    <row r="1274" customFormat="false" ht="15.75" hidden="false" customHeight="false" outlineLevel="0" collapsed="false">
      <c r="A1274" s="4" t="s">
        <v>2515</v>
      </c>
      <c r="B1274" s="5" t="s">
        <v>2516</v>
      </c>
      <c r="C1274" s="9"/>
      <c r="D1274" s="6"/>
      <c r="E1274" s="7" t="str">
        <f aca="false">IFERROR(__xludf.dummyfunction("lower(GOOGLETRANSLATE(B1274,""es"",""en""))"),"enjoy")</f>
        <v>enjoy</v>
      </c>
      <c r="F1274" s="7" t="str">
        <f aca="false">IFERROR(__xludf.dummyfunction("lower(GOOGLETRANSLATE(A1274,""en"",""es""))"),"disfrutar")</f>
        <v>disfrutar</v>
      </c>
      <c r="H1274" s="0" t="str">
        <f aca="false">A1274&amp;"|"&amp;B1274</f>
        <v>to enjoy|disfrutar</v>
      </c>
    </row>
    <row r="1275" customFormat="false" ht="15.75" hidden="false" customHeight="false" outlineLevel="0" collapsed="false">
      <c r="A1275" s="4" t="s">
        <v>2517</v>
      </c>
      <c r="B1275" s="5" t="s">
        <v>2154</v>
      </c>
      <c r="C1275" s="10" t="s">
        <v>2518</v>
      </c>
      <c r="D1275" s="6"/>
      <c r="E1275" s="7" t="str">
        <f aca="false">IFERROR(__xludf.dummyfunction("lower(GOOGLETRANSLATE(B1275,""es"",""en""))"),"people")</f>
        <v>people</v>
      </c>
      <c r="F1275" s="7" t="str">
        <f aca="false">IFERROR(__xludf.dummyfunction("lower(GOOGLETRANSLATE(A1275,""en"",""es""))"),"la gente")</f>
        <v>la gente</v>
      </c>
      <c r="H1275" s="0" t="str">
        <f aca="false">A1275&amp;"|"&amp;B1275</f>
        <v>the people|la gente</v>
      </c>
    </row>
    <row r="1276" customFormat="false" ht="15.75" hidden="false" customHeight="false" outlineLevel="0" collapsed="false">
      <c r="A1276" s="4" t="s">
        <v>1644</v>
      </c>
      <c r="B1276" s="5" t="s">
        <v>1645</v>
      </c>
      <c r="C1276" s="9"/>
      <c r="D1276" s="6"/>
      <c r="E1276" s="7" t="str">
        <f aca="false">IFERROR(__xludf.dummyfunction("lower(GOOGLETRANSLATE(B1276,""es"",""en""))"),"think")</f>
        <v>think</v>
      </c>
      <c r="F1276" s="7" t="str">
        <f aca="false">IFERROR(__xludf.dummyfunction("lower(GOOGLETRANSLATE(A1276,""en"",""es""))"),"pensar")</f>
        <v>pensar</v>
      </c>
      <c r="H1276" s="0" t="str">
        <f aca="false">A1276&amp;"|"&amp;B1276</f>
        <v>to think|pensar</v>
      </c>
    </row>
    <row r="1277" customFormat="false" ht="15.75" hidden="false" customHeight="false" outlineLevel="0" collapsed="false">
      <c r="A1277" s="4" t="s">
        <v>2519</v>
      </c>
      <c r="B1277" s="5" t="s">
        <v>2520</v>
      </c>
      <c r="C1277" s="9"/>
      <c r="D1277" s="6"/>
      <c r="E1277" s="7" t="str">
        <f aca="false">IFERROR(__xludf.dummyfunction("lower(GOOGLETRANSLATE(B1277,""es"",""en""))"),"there is")</f>
        <v>there is</v>
      </c>
      <c r="F1277" s="7" t="str">
        <f aca="false">IFERROR(__xludf.dummyfunction("lower(GOOGLETRANSLATE(A1277,""en"",""es""))"),"existen")</f>
        <v>existen</v>
      </c>
      <c r="H1277" s="0" t="str">
        <f aca="false">A1277&amp;"|"&amp;B1277</f>
        <v>there are|hay</v>
      </c>
    </row>
    <row r="1278" customFormat="false" ht="15.75" hidden="false" customHeight="false" outlineLevel="0" collapsed="false">
      <c r="A1278" s="4" t="s">
        <v>2521</v>
      </c>
      <c r="B1278" s="5" t="s">
        <v>2197</v>
      </c>
      <c r="C1278" s="9"/>
      <c r="D1278" s="6"/>
      <c r="E1278" s="7" t="str">
        <f aca="false">IFERROR(__xludf.dummyfunction("lower(GOOGLETRANSLATE(B1278,""es"",""en""))"),"nobody")</f>
        <v>nobody</v>
      </c>
      <c r="F1278" s="7" t="str">
        <f aca="false">IFERROR(__xludf.dummyfunction("lower(GOOGLETRANSLATE(A1278,""en"",""es""))"),"nadie")</f>
        <v>nadie</v>
      </c>
      <c r="H1278" s="0" t="str">
        <f aca="false">A1278&amp;"|"&amp;B1278</f>
        <v>nobody|nadie</v>
      </c>
    </row>
    <row r="1279" customFormat="false" ht="15.75" hidden="false" customHeight="false" outlineLevel="0" collapsed="false">
      <c r="A1279" s="4" t="s">
        <v>2522</v>
      </c>
      <c r="B1279" s="5" t="s">
        <v>2523</v>
      </c>
      <c r="C1279" s="9"/>
      <c r="D1279" s="6"/>
      <c r="E1279" s="7" t="str">
        <f aca="false">IFERROR(__xludf.dummyfunction("lower(GOOGLETRANSLATE(B1279,""es"",""en""))"),"second")</f>
        <v>second</v>
      </c>
      <c r="F1279" s="7" t="str">
        <f aca="false">IFERROR(__xludf.dummyfunction("lower(GOOGLETRANSLATE(A1279,""en"",""es""))"),"segundo")</f>
        <v>segundo</v>
      </c>
      <c r="H1279" s="0" t="str">
        <f aca="false">A1279&amp;"|"&amp;B1279</f>
        <v>second|segundo</v>
      </c>
    </row>
    <row r="1280" customFormat="false" ht="15.75" hidden="false" customHeight="false" outlineLevel="0" collapsed="false">
      <c r="A1280" s="4" t="s">
        <v>2524</v>
      </c>
      <c r="B1280" s="5" t="s">
        <v>2525</v>
      </c>
      <c r="C1280" s="10" t="s">
        <v>2526</v>
      </c>
      <c r="D1280" s="6"/>
      <c r="E1280" s="7" t="str">
        <f aca="false">IFERROR(__xludf.dummyfunction("lower(GOOGLETRANSLATE(B1280,""es"",""en""))"),"sun")</f>
        <v>sun</v>
      </c>
      <c r="F1280" s="7" t="str">
        <f aca="false">IFERROR(__xludf.dummyfunction("lower(GOOGLETRANSLATE(A1280,""en"",""es""))"),"el sol")</f>
        <v>el sol</v>
      </c>
      <c r="H1280" s="0" t="str">
        <f aca="false">A1280&amp;"|"&amp;B1280</f>
        <v>the sun|el sol</v>
      </c>
    </row>
    <row r="1281" customFormat="false" ht="15.75" hidden="false" customHeight="false" outlineLevel="0" collapsed="false">
      <c r="A1281" s="4" t="s">
        <v>2527</v>
      </c>
      <c r="B1281" s="5" t="s">
        <v>2287</v>
      </c>
      <c r="C1281" s="9"/>
      <c r="D1281" s="6"/>
      <c r="E1281" s="7" t="str">
        <f aca="false">IFERROR(__xludf.dummyfunction("lower(GOOGLETRANSLATE(B1281,""es"",""en""))"),"to buy")</f>
        <v>to buy</v>
      </c>
      <c r="F1281" s="7" t="str">
        <f aca="false">IFERROR(__xludf.dummyfunction("lower(GOOGLETRANSLATE(A1281,""en"",""es""))"),"comprar")</f>
        <v>comprar</v>
      </c>
      <c r="H1281" s="0" t="str">
        <f aca="false">A1281&amp;"|"&amp;B1281</f>
        <v>to buy|comprar</v>
      </c>
    </row>
    <row r="1282" customFormat="false" ht="15.75" hidden="false" customHeight="false" outlineLevel="0" collapsed="false">
      <c r="A1282" s="4" t="s">
        <v>2528</v>
      </c>
      <c r="B1282" s="5" t="s">
        <v>2529</v>
      </c>
      <c r="C1282" s="9"/>
      <c r="D1282" s="6"/>
      <c r="E1282" s="7" t="str">
        <f aca="false">IFERROR(__xludf.dummyfunction("lower(GOOGLETRANSLATE(B1282,""es"",""en""))"),"the pain")</f>
        <v>the pain</v>
      </c>
      <c r="F1282" s="7" t="str">
        <f aca="false">IFERROR(__xludf.dummyfunction("lower(GOOGLETRANSLATE(A1282,""en"",""es""))"),"el dolor")</f>
        <v>el dolor</v>
      </c>
      <c r="H1282" s="0" t="str">
        <f aca="false">A1282&amp;"|"&amp;B1282</f>
        <v>the pain|el dolor</v>
      </c>
    </row>
    <row r="1283" customFormat="false" ht="15.75" hidden="false" customHeight="false" outlineLevel="0" collapsed="false">
      <c r="A1283" s="4" t="s">
        <v>2530</v>
      </c>
      <c r="B1283" s="5" t="s">
        <v>2531</v>
      </c>
      <c r="C1283" s="9"/>
      <c r="D1283" s="6"/>
      <c r="E1283" s="7" t="str">
        <f aca="false">IFERROR(__xludf.dummyfunction("lower(GOOGLETRANSLATE(B1283,""es"",""en""))"),"useful")</f>
        <v>useful</v>
      </c>
      <c r="F1283" s="7" t="str">
        <f aca="false">IFERROR(__xludf.dummyfunction("lower(GOOGLETRANSLATE(A1283,""en"",""es""))"),"útil")</f>
        <v>útil</v>
      </c>
      <c r="H1283" s="0" t="str">
        <f aca="false">A1283&amp;"|"&amp;B1283</f>
        <v>useful|util</v>
      </c>
    </row>
    <row r="1284" customFormat="false" ht="15.75" hidden="false" customHeight="false" outlineLevel="0" collapsed="false">
      <c r="A1284" s="4" t="s">
        <v>113</v>
      </c>
      <c r="B1284" s="5" t="s">
        <v>114</v>
      </c>
      <c r="C1284" s="10" t="s">
        <v>2506</v>
      </c>
      <c r="D1284" s="6"/>
      <c r="E1284" s="7" t="str">
        <f aca="false">IFERROR(__xludf.dummyfunction("lower(GOOGLETRANSLATE(B1284,""es"",""en""))"),"week")</f>
        <v>week</v>
      </c>
      <c r="F1284" s="7" t="str">
        <f aca="false">IFERROR(__xludf.dummyfunction("lower(GOOGLETRANSLATE(A1284,""en"",""es""))"),"la semana")</f>
        <v>la semana</v>
      </c>
      <c r="H1284" s="0" t="str">
        <f aca="false">A1284&amp;"|"&amp;B1284</f>
        <v>the week|la semana</v>
      </c>
    </row>
    <row r="1285" customFormat="false" ht="15.75" hidden="false" customHeight="false" outlineLevel="0" collapsed="false">
      <c r="A1285" s="4" t="s">
        <v>2532</v>
      </c>
      <c r="B1285" s="5" t="s">
        <v>1707</v>
      </c>
      <c r="C1285" s="10" t="s">
        <v>2518</v>
      </c>
      <c r="D1285" s="6"/>
      <c r="E1285" s="7" t="str">
        <f aca="false">IFERROR(__xludf.dummyfunction("lower(GOOGLETRANSLATE(B1285,""es"",""en""))"),"friend")</f>
        <v>friend</v>
      </c>
      <c r="F1285" s="7" t="str">
        <f aca="false">IFERROR(__xludf.dummyfunction("lower(GOOGLETRANSLATE(A1285,""en"",""es""))"),"el amigo")</f>
        <v>el amigo</v>
      </c>
      <c r="H1285" s="0" t="str">
        <f aca="false">A1285&amp;"|"&amp;B1285</f>
        <v>the friend|el amigo</v>
      </c>
    </row>
    <row r="1286" customFormat="false" ht="15.75" hidden="false" customHeight="false" outlineLevel="0" collapsed="false">
      <c r="A1286" s="4" t="s">
        <v>2533</v>
      </c>
      <c r="B1286" s="5" t="s">
        <v>2534</v>
      </c>
      <c r="C1286" s="10" t="s">
        <v>2535</v>
      </c>
      <c r="D1286" s="6"/>
      <c r="E1286" s="7" t="str">
        <f aca="false">IFERROR(__xludf.dummyfunction("lower(GOOGLETRANSLATE(B1286,""es"",""en""))"),"the word")</f>
        <v>the word</v>
      </c>
      <c r="F1286" s="7" t="str">
        <f aca="false">IFERROR(__xludf.dummyfunction("lower(GOOGLETRANSLATE(A1286,""en"",""es""))"),"la palabra")</f>
        <v>la palabra</v>
      </c>
      <c r="H1286" s="0" t="str">
        <f aca="false">A1286&amp;"|"&amp;B1286</f>
        <v>the word|la palabra</v>
      </c>
    </row>
    <row r="1287" customFormat="false" ht="15.75" hidden="false" customHeight="false" outlineLevel="0" collapsed="false">
      <c r="A1287" s="4" t="s">
        <v>2536</v>
      </c>
      <c r="B1287" s="5" t="s">
        <v>2537</v>
      </c>
      <c r="C1287" s="9"/>
      <c r="D1287" s="6"/>
      <c r="E1287" s="7" t="str">
        <f aca="false">IFERROR(__xludf.dummyfunction("lower(GOOGLETRANSLATE(B1287,""es"",""en""))"),"without")</f>
        <v>without</v>
      </c>
      <c r="F1287" s="7" t="str">
        <f aca="false">IFERROR(__xludf.dummyfunction("lower(GOOGLETRANSLATE(A1287,""en"",""es""))"),"sin")</f>
        <v>sin</v>
      </c>
      <c r="H1287" s="0" t="str">
        <f aca="false">A1287&amp;"|"&amp;B1287</f>
        <v>without|sin</v>
      </c>
    </row>
    <row r="1288" customFormat="false" ht="15.75" hidden="false" customHeight="false" outlineLevel="0" collapsed="false">
      <c r="A1288" s="4" t="s">
        <v>2538</v>
      </c>
      <c r="B1288" s="5" t="s">
        <v>2539</v>
      </c>
      <c r="C1288" s="9"/>
      <c r="D1288" s="6"/>
      <c r="E1288" s="7" t="str">
        <f aca="false">IFERROR(__xludf.dummyfunction("lower(GOOGLETRANSLATE(B1288,""es"",""en""))"),"with")</f>
        <v>with</v>
      </c>
      <c r="F1288" s="7" t="str">
        <f aca="false">IFERROR(__xludf.dummyfunction("lower(GOOGLETRANSLATE(A1288,""en"",""es""))"),"con")</f>
        <v>con</v>
      </c>
      <c r="H1288" s="0" t="str">
        <f aca="false">A1288&amp;"|"&amp;B1288</f>
        <v>with|con</v>
      </c>
    </row>
    <row r="1289" customFormat="false" ht="15.75" hidden="false" customHeight="false" outlineLevel="0" collapsed="false">
      <c r="A1289" s="4" t="s">
        <v>2540</v>
      </c>
      <c r="B1289" s="5" t="s">
        <v>2541</v>
      </c>
      <c r="C1289" s="9"/>
      <c r="D1289" s="6"/>
      <c r="E1289" s="7" t="str">
        <f aca="false">IFERROR(__xludf.dummyfunction("lower(GOOGLETRANSLATE(B1289,""es"",""en""))"),"the fear")</f>
        <v>the fear</v>
      </c>
      <c r="F1289" s="7" t="str">
        <f aca="false">IFERROR(__xludf.dummyfunction("lower(GOOGLETRANSLATE(A1289,""en"",""es""))"),"el miedo")</f>
        <v>el miedo</v>
      </c>
      <c r="H1289" s="0" t="str">
        <f aca="false">A1289&amp;"|"&amp;B1289</f>
        <v>the fear|el miedo</v>
      </c>
    </row>
    <row r="1290" customFormat="false" ht="15.75" hidden="false" customHeight="false" outlineLevel="0" collapsed="false">
      <c r="A1290" s="4" t="s">
        <v>2542</v>
      </c>
      <c r="B1290" s="5" t="s">
        <v>2106</v>
      </c>
      <c r="C1290" s="9"/>
      <c r="D1290" s="6"/>
      <c r="E1290" s="7" t="str">
        <f aca="false">IFERROR(__xludf.dummyfunction("lower(GOOGLETRANSLATE(B1290,""es"",""en""))"),"big")</f>
        <v>big</v>
      </c>
      <c r="F1290" s="7" t="str">
        <f aca="false">IFERROR(__xludf.dummyfunction("lower(GOOGLETRANSLATE(A1290,""en"",""es""))"),"grande")</f>
        <v>grande</v>
      </c>
      <c r="H1290" s="0" t="str">
        <f aca="false">A1290&amp;"|"&amp;B1290</f>
        <v>big|grande</v>
      </c>
    </row>
    <row r="1291" customFormat="false" ht="15.75" hidden="false" customHeight="false" outlineLevel="0" collapsed="false">
      <c r="A1291" s="4" t="s">
        <v>2543</v>
      </c>
      <c r="B1291" s="5" t="s">
        <v>2544</v>
      </c>
      <c r="C1291" s="10" t="s">
        <v>2510</v>
      </c>
      <c r="D1291" s="6"/>
      <c r="E1291" s="7" t="str">
        <f aca="false">IFERROR(__xludf.dummyfunction("lower(GOOGLETRANSLATE(B1291,""es"",""en""))"),"the kitchen")</f>
        <v>the kitchen</v>
      </c>
      <c r="F1291" s="7" t="str">
        <f aca="false">IFERROR(__xludf.dummyfunction("lower(GOOGLETRANSLATE(A1291,""en"",""es""))"),"la cocina")</f>
        <v>la cocina</v>
      </c>
      <c r="H1291" s="0" t="str">
        <f aca="false">A1291&amp;"|"&amp;B1291</f>
        <v>the kitchen|la cosina</v>
      </c>
    </row>
    <row r="1292" customFormat="false" ht="15.75" hidden="false" customHeight="false" outlineLevel="0" collapsed="false">
      <c r="A1292" s="4" t="s">
        <v>2545</v>
      </c>
      <c r="B1292" s="5" t="s">
        <v>2546</v>
      </c>
      <c r="C1292" s="10" t="s">
        <v>2510</v>
      </c>
      <c r="D1292" s="6"/>
      <c r="E1292" s="7" t="str">
        <f aca="false">IFERROR(__xludf.dummyfunction("lower(GOOGLETRANSLATE(B1292,""es"",""en""))"),"bed")</f>
        <v>bed</v>
      </c>
      <c r="F1292" s="7" t="str">
        <f aca="false">IFERROR(__xludf.dummyfunction("lower(GOOGLETRANSLATE(A1292,""en"",""es""))"),"la cama")</f>
        <v>la cama</v>
      </c>
      <c r="H1292" s="0" t="str">
        <f aca="false">A1292&amp;"|"&amp;B1292</f>
        <v>the bed|la cama</v>
      </c>
    </row>
    <row r="1293" customFormat="false" ht="15.75" hidden="false" customHeight="false" outlineLevel="0" collapsed="false">
      <c r="A1293" s="4" t="s">
        <v>2547</v>
      </c>
      <c r="B1293" s="5" t="s">
        <v>2548</v>
      </c>
      <c r="C1293" s="10" t="s">
        <v>2510</v>
      </c>
      <c r="D1293" s="6"/>
      <c r="E1293" s="7" t="str">
        <f aca="false">IFERROR(__xludf.dummyfunction("lower(GOOGLETRANSLATE(B1293,""es"",""en""))"),"bathroom")</f>
        <v>bathroom</v>
      </c>
      <c r="F1293" s="7" t="str">
        <f aca="false">IFERROR(__xludf.dummyfunction("lower(GOOGLETRANSLATE(A1293,""en"",""es""))"),"el cuarto de baño")</f>
        <v>el cuarto de baño</v>
      </c>
      <c r="H1293" s="0" t="str">
        <f aca="false">A1293&amp;"|"&amp;B1293</f>
        <v>the bathroom|el baño</v>
      </c>
    </row>
    <row r="1294" customFormat="false" ht="15.75" hidden="false" customHeight="false" outlineLevel="0" collapsed="false">
      <c r="A1294" s="4" t="s">
        <v>2549</v>
      </c>
      <c r="B1294" s="5" t="s">
        <v>2550</v>
      </c>
      <c r="C1294" s="10" t="s">
        <v>2510</v>
      </c>
      <c r="D1294" s="6"/>
      <c r="E1294" s="7" t="str">
        <f aca="false">IFERROR(__xludf.dummyfunction("lower(GOOGLETRANSLATE(B1294,""es"",""en""))"),"the bedroom")</f>
        <v>the bedroom</v>
      </c>
      <c r="F1294" s="7" t="str">
        <f aca="false">IFERROR(__xludf.dummyfunction("lower(GOOGLETRANSLATE(A1294,""en"",""es""))"),"el dormitorio")</f>
        <v>el dormitorio</v>
      </c>
      <c r="H1294" s="0" t="str">
        <f aca="false">A1294&amp;"|"&amp;B1294</f>
        <v>the bedroom|el dormitorio</v>
      </c>
    </row>
    <row r="1295" customFormat="false" ht="15.75" hidden="false" customHeight="false" outlineLevel="0" collapsed="false">
      <c r="A1295" s="4" t="s">
        <v>2551</v>
      </c>
      <c r="B1295" s="5" t="s">
        <v>2552</v>
      </c>
      <c r="C1295" s="10" t="s">
        <v>2510</v>
      </c>
      <c r="D1295" s="6"/>
      <c r="E1295" s="7" t="str">
        <f aca="false">IFERROR(__xludf.dummyfunction("lower(GOOGLETRANSLATE(B1295,""es"",""en""))"),"home")</f>
        <v>home</v>
      </c>
      <c r="F1295" s="7" t="str">
        <f aca="false">IFERROR(__xludf.dummyfunction("lower(GOOGLETRANSLATE(A1295,""en"",""es""))"),"la casa")</f>
        <v>la casa</v>
      </c>
      <c r="H1295" s="0" t="str">
        <f aca="false">A1295&amp;"|"&amp;B1295</f>
        <v>the house|la casa</v>
      </c>
    </row>
    <row r="1296" customFormat="false" ht="15.75" hidden="false" customHeight="false" outlineLevel="0" collapsed="false">
      <c r="A1296" s="4" t="s">
        <v>2553</v>
      </c>
      <c r="B1296" s="5" t="s">
        <v>2554</v>
      </c>
      <c r="C1296" s="10" t="s">
        <v>2510</v>
      </c>
      <c r="D1296" s="6"/>
      <c r="E1296" s="7" t="str">
        <f aca="false">IFERROR(__xludf.dummyfunction("lower(GOOGLETRANSLATE(B1296,""es"",""en""))"),"wall")</f>
        <v>wall</v>
      </c>
      <c r="F1296" s="7" t="str">
        <f aca="false">IFERROR(__xludf.dummyfunction("lower(GOOGLETRANSLATE(A1296,""en"",""es""))"),"la pared")</f>
        <v>la pared</v>
      </c>
      <c r="H1296" s="0" t="str">
        <f aca="false">A1296&amp;"|"&amp;B1296</f>
        <v>the wall|la pared</v>
      </c>
    </row>
    <row r="1297" customFormat="false" ht="15.75" hidden="false" customHeight="false" outlineLevel="0" collapsed="false">
      <c r="A1297" s="4" t="s">
        <v>2555</v>
      </c>
      <c r="B1297" s="5" t="s">
        <v>2556</v>
      </c>
      <c r="C1297" s="10" t="s">
        <v>2510</v>
      </c>
      <c r="D1297" s="6"/>
      <c r="E1297" s="7" t="str">
        <f aca="false">IFERROR(__xludf.dummyfunction("lower(GOOGLETRANSLATE(B1297,""es"",""en""))"),"window")</f>
        <v>window</v>
      </c>
      <c r="F1297" s="7" t="str">
        <f aca="false">IFERROR(__xludf.dummyfunction("lower(GOOGLETRANSLATE(A1297,""en"",""es""))"),"la ventana")</f>
        <v>la ventana</v>
      </c>
      <c r="H1297" s="0" t="str">
        <f aca="false">A1297&amp;"|"&amp;B1297</f>
        <v>the window|la ventana</v>
      </c>
    </row>
    <row r="1298" customFormat="false" ht="15.75" hidden="false" customHeight="false" outlineLevel="0" collapsed="false">
      <c r="A1298" s="4" t="s">
        <v>2557</v>
      </c>
      <c r="B1298" s="5" t="s">
        <v>2223</v>
      </c>
      <c r="C1298" s="10" t="s">
        <v>2558</v>
      </c>
      <c r="D1298" s="6"/>
      <c r="E1298" s="7" t="str">
        <f aca="false">IFERROR(__xludf.dummyfunction("lower(GOOGLETRANSLATE(B1298,""es"",""en""))"),"clothes")</f>
        <v>clothes</v>
      </c>
      <c r="F1298" s="7" t="str">
        <f aca="false">IFERROR(__xludf.dummyfunction("lower(GOOGLETRANSLATE(A1298,""en"",""es""))"),"la ropa")</f>
        <v>la ropa</v>
      </c>
      <c r="H1298" s="0" t="str">
        <f aca="false">A1298&amp;"|"&amp;B1298</f>
        <v>the clothes|la ropa</v>
      </c>
    </row>
    <row r="1299" customFormat="false" ht="15.75" hidden="false" customHeight="false" outlineLevel="0" collapsed="false">
      <c r="A1299" s="4" t="s">
        <v>2234</v>
      </c>
      <c r="B1299" s="5" t="s">
        <v>2235</v>
      </c>
      <c r="C1299" s="10" t="s">
        <v>2558</v>
      </c>
      <c r="D1299" s="6"/>
      <c r="E1299" s="7" t="str">
        <f aca="false">IFERROR(__xludf.dummyfunction("lower(GOOGLETRANSLATE(B1299,""es"",""en""))"),"the shoes")</f>
        <v>the shoes</v>
      </c>
      <c r="F1299" s="7" t="str">
        <f aca="false">IFERROR(__xludf.dummyfunction("lower(GOOGLETRANSLATE(A1299,""en"",""es""))"),"los zapatos")</f>
        <v>los zapatos</v>
      </c>
      <c r="H1299" s="0" t="str">
        <f aca="false">A1299&amp;"|"&amp;B1299</f>
        <v>the shoes|los zapatos</v>
      </c>
    </row>
    <row r="1300" customFormat="false" ht="15.75" hidden="false" customHeight="false" outlineLevel="0" collapsed="false">
      <c r="A1300" s="4" t="s">
        <v>2212</v>
      </c>
      <c r="B1300" s="5" t="s">
        <v>2213</v>
      </c>
      <c r="C1300" s="10" t="s">
        <v>2558</v>
      </c>
      <c r="D1300" s="6"/>
      <c r="E1300" s="7" t="str">
        <f aca="false">IFERROR(__xludf.dummyfunction("lower(GOOGLETRANSLATE(B1300,""es"",""en""))"),"t-shirt")</f>
        <v>t-shirt</v>
      </c>
      <c r="F1300" s="7" t="str">
        <f aca="false">IFERROR(__xludf.dummyfunction("lower(GOOGLETRANSLATE(A1300,""en"",""es""))"),"la remera")</f>
        <v>la remera</v>
      </c>
      <c r="H1300" s="0" t="str">
        <f aca="false">A1300&amp;"|"&amp;B1300</f>
        <v>the t-shirt|la camiseta</v>
      </c>
    </row>
    <row r="1301" customFormat="false" ht="15.75" hidden="false" customHeight="false" outlineLevel="0" collapsed="false">
      <c r="A1301" s="4" t="s">
        <v>2216</v>
      </c>
      <c r="B1301" s="5" t="s">
        <v>2217</v>
      </c>
      <c r="C1301" s="10" t="s">
        <v>2558</v>
      </c>
      <c r="D1301" s="6"/>
      <c r="E1301" s="7" t="str">
        <f aca="false">IFERROR(__xludf.dummyfunction("lower(GOOGLETRANSLATE(B1301,""es"",""en""))"),"skirt")</f>
        <v>skirt</v>
      </c>
      <c r="F1301" s="7" t="str">
        <f aca="false">IFERROR(__xludf.dummyfunction("lower(GOOGLETRANSLATE(A1301,""en"",""es""))"),"la falda")</f>
        <v>la falda</v>
      </c>
      <c r="H1301" s="0" t="str">
        <f aca="false">A1301&amp;"|"&amp;B1301</f>
        <v>the skirt|la falda</v>
      </c>
    </row>
    <row r="1302" customFormat="false" ht="15.75" hidden="false" customHeight="false" outlineLevel="0" collapsed="false">
      <c r="A1302" s="4" t="s">
        <v>2232</v>
      </c>
      <c r="B1302" s="5" t="s">
        <v>2233</v>
      </c>
      <c r="C1302" s="10" t="s">
        <v>2558</v>
      </c>
      <c r="D1302" s="6"/>
      <c r="E1302" s="7" t="str">
        <f aca="false">IFERROR(__xludf.dummyfunction("lower(GOOGLETRANSLATE(B1302,""es"",""en""))"),"dress")</f>
        <v>dress</v>
      </c>
      <c r="F1302" s="7" t="str">
        <f aca="false">IFERROR(__xludf.dummyfunction("lower(GOOGLETRANSLATE(A1302,""en"",""es""))"),"el vestido")</f>
        <v>el vestido</v>
      </c>
      <c r="H1302" s="0" t="str">
        <f aca="false">A1302&amp;"|"&amp;B1302</f>
        <v>the dress|el vestido</v>
      </c>
    </row>
    <row r="1303" customFormat="false" ht="15.75" hidden="false" customHeight="false" outlineLevel="0" collapsed="false">
      <c r="A1303" s="4" t="s">
        <v>2428</v>
      </c>
      <c r="B1303" s="5" t="s">
        <v>2429</v>
      </c>
      <c r="C1303" s="10" t="s">
        <v>2559</v>
      </c>
      <c r="D1303" s="6"/>
      <c r="E1303" s="7" t="str">
        <f aca="false">IFERROR(__xludf.dummyfunction("lower(GOOGLETRANSLATE(B1303,""es"",""en""))"),"the country")</f>
        <v>the country</v>
      </c>
      <c r="F1303" s="7" t="str">
        <f aca="false">IFERROR(__xludf.dummyfunction("lower(GOOGLETRANSLATE(A1303,""en"",""es""))"),"el país")</f>
        <v>el país</v>
      </c>
      <c r="H1303" s="0" t="str">
        <f aca="false">A1303&amp;"|"&amp;B1303</f>
        <v>the country|el país</v>
      </c>
    </row>
    <row r="1304" customFormat="false" ht="15.75" hidden="false" customHeight="false" outlineLevel="0" collapsed="false">
      <c r="A1304" s="4" t="s">
        <v>2560</v>
      </c>
      <c r="B1304" s="5" t="s">
        <v>2561</v>
      </c>
      <c r="C1304" s="10" t="s">
        <v>2510</v>
      </c>
      <c r="D1304" s="6"/>
      <c r="E1304" s="7" t="str">
        <f aca="false">IFERROR(__xludf.dummyfunction("lower(GOOGLETRANSLATE(B1304,""es"",""en""))"),"the piano")</f>
        <v>the piano</v>
      </c>
      <c r="F1304" s="7" t="str">
        <f aca="false">IFERROR(__xludf.dummyfunction("lower(GOOGLETRANSLATE(A1304,""en"",""es""))"),"el piano")</f>
        <v>el piano</v>
      </c>
      <c r="H1304" s="0" t="str">
        <f aca="false">A1304&amp;"|"&amp;B1304</f>
        <v>the piano|el piano</v>
      </c>
    </row>
    <row r="1305" customFormat="false" ht="15.75" hidden="false" customHeight="false" outlineLevel="0" collapsed="false">
      <c r="A1305" s="4" t="s">
        <v>2562</v>
      </c>
      <c r="B1305" s="5" t="s">
        <v>2563</v>
      </c>
      <c r="C1305" s="10" t="s">
        <v>2510</v>
      </c>
      <c r="D1305" s="6"/>
      <c r="E1305" s="7" t="str">
        <f aca="false">IFERROR(__xludf.dummyfunction("lower(GOOGLETRANSLATE(B1305,""es"",""en""))"),"guitar")</f>
        <v>guitar</v>
      </c>
      <c r="F1305" s="7" t="str">
        <f aca="false">IFERROR(__xludf.dummyfunction("lower(GOOGLETRANSLATE(A1305,""en"",""es""))"),"la guitarra")</f>
        <v>la guitarra</v>
      </c>
      <c r="H1305" s="0" t="str">
        <f aca="false">A1305&amp;"|"&amp;B1305</f>
        <v>the guitar|la guitarra</v>
      </c>
    </row>
    <row r="1306" customFormat="false" ht="15.75" hidden="false" customHeight="false" outlineLevel="0" collapsed="false">
      <c r="A1306" s="4" t="s">
        <v>2191</v>
      </c>
      <c r="B1306" s="5" t="s">
        <v>2192</v>
      </c>
      <c r="C1306" s="10" t="s">
        <v>2564</v>
      </c>
      <c r="D1306" s="6"/>
      <c r="E1306" s="7" t="str">
        <f aca="false">IFERROR(__xludf.dummyfunction("lower(GOOGLETRANSLATE(B1306,""es"",""en""))"),"the dog")</f>
        <v>the dog</v>
      </c>
      <c r="F1306" s="7" t="str">
        <f aca="false">IFERROR(__xludf.dummyfunction("lower(GOOGLETRANSLATE(A1306,""en"",""es""))"),"el perro")</f>
        <v>el perro</v>
      </c>
      <c r="H1306" s="0" t="str">
        <f aca="false">A1306&amp;"|"&amp;B1306</f>
        <v>the dog|el perro</v>
      </c>
    </row>
    <row r="1307" customFormat="false" ht="15.75" hidden="false" customHeight="false" outlineLevel="0" collapsed="false">
      <c r="A1307" s="4" t="s">
        <v>2188</v>
      </c>
      <c r="B1307" s="5" t="s">
        <v>2189</v>
      </c>
      <c r="C1307" s="10" t="s">
        <v>2565</v>
      </c>
      <c r="D1307" s="6"/>
      <c r="E1307" s="7" t="str">
        <f aca="false">IFERROR(__xludf.dummyfunction("lower(GOOGLETRANSLATE(B1307,""es"",""en""))"),"the cat")</f>
        <v>the cat</v>
      </c>
      <c r="F1307" s="7" t="str">
        <f aca="false">IFERROR(__xludf.dummyfunction("lower(GOOGLETRANSLATE(A1307,""en"",""es""))"),"el gato")</f>
        <v>el gato</v>
      </c>
      <c r="H1307" s="0" t="str">
        <f aca="false">A1307&amp;"|"&amp;B1307</f>
        <v>the cat|el gato</v>
      </c>
    </row>
    <row r="1308" customFormat="false" ht="15.75" hidden="false" customHeight="false" outlineLevel="0" collapsed="false">
      <c r="A1308" s="4" t="s">
        <v>1915</v>
      </c>
      <c r="B1308" s="5" t="s">
        <v>1916</v>
      </c>
      <c r="C1308" s="10" t="s">
        <v>2565</v>
      </c>
      <c r="D1308" s="6"/>
      <c r="E1308" s="7" t="str">
        <f aca="false">IFERROR(__xludf.dummyfunction("lower(GOOGLETRANSLATE(B1308,""es"",""en""))"),"the chicken")</f>
        <v>the chicken</v>
      </c>
      <c r="F1308" s="7" t="str">
        <f aca="false">IFERROR(__xludf.dummyfunction("lower(GOOGLETRANSLATE(A1308,""en"",""es""))"),"el pollo")</f>
        <v>el pollo</v>
      </c>
      <c r="H1308" s="0" t="str">
        <f aca="false">A1308&amp;"|"&amp;B1308</f>
        <v>the chicken|el pollo</v>
      </c>
    </row>
    <row r="1309" customFormat="false" ht="15.75" hidden="false" customHeight="false" outlineLevel="0" collapsed="false">
      <c r="A1309" s="4" t="s">
        <v>2566</v>
      </c>
      <c r="B1309" s="5" t="s">
        <v>2567</v>
      </c>
      <c r="C1309" s="10" t="s">
        <v>2565</v>
      </c>
      <c r="D1309" s="6"/>
      <c r="E1309" s="7" t="str">
        <f aca="false">IFERROR(__xludf.dummyfunction("lower(GOOGLETRANSLATE(B1309,""es"",""en""))"),"bear")</f>
        <v>bear</v>
      </c>
      <c r="F1309" s="7" t="str">
        <f aca="false">IFERROR(__xludf.dummyfunction("lower(GOOGLETRANSLATE(A1309,""en"",""es""))"),"el oso")</f>
        <v>el oso</v>
      </c>
      <c r="H1309" s="0" t="str">
        <f aca="false">A1309&amp;"|"&amp;B1309</f>
        <v>the bear|el oso</v>
      </c>
    </row>
    <row r="1310" customFormat="false" ht="15.75" hidden="false" customHeight="false" outlineLevel="0" collapsed="false">
      <c r="A1310" s="4" t="s">
        <v>2568</v>
      </c>
      <c r="B1310" s="5" t="s">
        <v>2569</v>
      </c>
      <c r="C1310" s="10" t="s">
        <v>2565</v>
      </c>
      <c r="D1310" s="6"/>
      <c r="E1310" s="7" t="str">
        <f aca="false">IFERROR(__xludf.dummyfunction("lower(GOOGLETRANSLATE(B1310,""es"",""en""))"),"monkey")</f>
        <v>monkey</v>
      </c>
      <c r="F1310" s="7" t="str">
        <f aca="false">IFERROR(__xludf.dummyfunction("lower(GOOGLETRANSLATE(A1310,""en"",""es""))"),"el mono")</f>
        <v>el mono</v>
      </c>
      <c r="H1310" s="0" t="str">
        <f aca="false">A1310&amp;"|"&amp;B1310</f>
        <v>the monkey|el mono</v>
      </c>
    </row>
    <row r="1311" customFormat="false" ht="15.75" hidden="false" customHeight="false" outlineLevel="0" collapsed="false">
      <c r="A1311" s="4" t="s">
        <v>2570</v>
      </c>
      <c r="B1311" s="5" t="s">
        <v>2571</v>
      </c>
      <c r="C1311" s="10" t="s">
        <v>2565</v>
      </c>
      <c r="D1311" s="6"/>
      <c r="E1311" s="7" t="str">
        <f aca="false">IFERROR(__xludf.dummyfunction("lower(GOOGLETRANSLATE(B1311,""es"",""en""))"),"horse")</f>
        <v>horse</v>
      </c>
      <c r="F1311" s="7" t="str">
        <f aca="false">IFERROR(__xludf.dummyfunction("lower(GOOGLETRANSLATE(A1311,""en"",""es""))"),"el caballo")</f>
        <v>el caballo</v>
      </c>
      <c r="H1311" s="0" t="str">
        <f aca="false">A1311&amp;"|"&amp;B1311</f>
        <v>the horse|el caballo</v>
      </c>
    </row>
    <row r="1312" customFormat="false" ht="15.75" hidden="false" customHeight="false" outlineLevel="0" collapsed="false">
      <c r="A1312" s="4" t="s">
        <v>2572</v>
      </c>
      <c r="B1312" s="5" t="s">
        <v>2573</v>
      </c>
      <c r="C1312" s="10" t="s">
        <v>2565</v>
      </c>
      <c r="D1312" s="6"/>
      <c r="E1312" s="7" t="str">
        <f aca="false">IFERROR(__xludf.dummyfunction("lower(GOOGLETRANSLATE(B1312,""es"",""en""))"),"the duck")</f>
        <v>the duck</v>
      </c>
      <c r="F1312" s="7" t="str">
        <f aca="false">IFERROR(__xludf.dummyfunction("lower(GOOGLETRANSLATE(A1312,""en"",""es""))"),"el pato")</f>
        <v>el pato</v>
      </c>
      <c r="H1312" s="0" t="str">
        <f aca="false">A1312&amp;"|"&amp;B1312</f>
        <v>the duck|el pato</v>
      </c>
    </row>
    <row r="1313" customFormat="false" ht="15.75" hidden="false" customHeight="false" outlineLevel="0" collapsed="false">
      <c r="A1313" s="4" t="s">
        <v>2574</v>
      </c>
      <c r="B1313" s="5" t="s">
        <v>2575</v>
      </c>
      <c r="C1313" s="10" t="s">
        <v>2565</v>
      </c>
      <c r="D1313" s="6"/>
      <c r="E1313" s="7" t="str">
        <f aca="false">IFERROR(__xludf.dummyfunction("lower(GOOGLETRANSLATE(B1313,""es"",""en""))"),"the pinqüino")</f>
        <v>the pinqüino</v>
      </c>
      <c r="F1313" s="7" t="str">
        <f aca="false">IFERROR(__xludf.dummyfunction("lower(GOOGLETRANSLATE(A1313,""en"",""es""))"),"el pingüino")</f>
        <v>el pingüino</v>
      </c>
      <c r="H1313" s="0" t="str">
        <f aca="false">A1313&amp;"|"&amp;B1313</f>
        <v>the penguin |el pinqüino</v>
      </c>
    </row>
    <row r="1314" customFormat="false" ht="15.75" hidden="false" customHeight="false" outlineLevel="0" collapsed="false">
      <c r="A1314" s="4" t="s">
        <v>2576</v>
      </c>
      <c r="B1314" s="5" t="s">
        <v>2577</v>
      </c>
      <c r="C1314" s="10" t="s">
        <v>2578</v>
      </c>
      <c r="D1314" s="6"/>
      <c r="E1314" s="7" t="str">
        <f aca="false">IFERROR(__xludf.dummyfunction("lower(GOOGLETRANSLATE(B1314,""es"",""en""))"),"the place")</f>
        <v>the place</v>
      </c>
      <c r="F1314" s="7" t="str">
        <f aca="false">IFERROR(__xludf.dummyfunction("lower(GOOGLETRANSLATE(A1314,""en"",""es""))"),"el lugar")</f>
        <v>el lugar</v>
      </c>
      <c r="H1314" s="0" t="str">
        <f aca="false">A1314&amp;"|"&amp;B1314</f>
        <v>the place|el lugar</v>
      </c>
    </row>
    <row r="1315" customFormat="false" ht="15.75" hidden="false" customHeight="false" outlineLevel="0" collapsed="false">
      <c r="A1315" s="4" t="s">
        <v>2160</v>
      </c>
      <c r="B1315" s="5" t="s">
        <v>2161</v>
      </c>
      <c r="C1315" s="10" t="s">
        <v>2518</v>
      </c>
      <c r="D1315" s="6"/>
      <c r="E1315" s="7" t="str">
        <f aca="false">IFERROR(__xludf.dummyfunction("lower(GOOGLETRANSLATE(B1315,""es"",""en""))"),"the man")</f>
        <v>the man</v>
      </c>
      <c r="F1315" s="7" t="str">
        <f aca="false">IFERROR(__xludf.dummyfunction("lower(GOOGLETRANSLATE(A1315,""en"",""es""))"),"el hombre")</f>
        <v>el hombre</v>
      </c>
      <c r="H1315" s="0" t="str">
        <f aca="false">A1315&amp;"|"&amp;B1315</f>
        <v>the man|el hombre</v>
      </c>
    </row>
    <row r="1316" customFormat="false" ht="15.75" hidden="false" customHeight="false" outlineLevel="0" collapsed="false">
      <c r="A1316" s="4" t="s">
        <v>2162</v>
      </c>
      <c r="B1316" s="5" t="s">
        <v>2163</v>
      </c>
      <c r="C1316" s="10" t="s">
        <v>2518</v>
      </c>
      <c r="D1316" s="6"/>
      <c r="E1316" s="7" t="str">
        <f aca="false">IFERROR(__xludf.dummyfunction("lower(GOOGLETRANSLATE(B1316,""es"",""en""))"),"the woman")</f>
        <v>the woman</v>
      </c>
      <c r="F1316" s="7" t="str">
        <f aca="false">IFERROR(__xludf.dummyfunction("lower(GOOGLETRANSLATE(A1316,""en"",""es""))"),"la mujer")</f>
        <v>la mujer</v>
      </c>
      <c r="H1316" s="0" t="str">
        <f aca="false">A1316&amp;"|"&amp;B1316</f>
        <v>the woman|la mujer</v>
      </c>
    </row>
    <row r="1317" customFormat="false" ht="15.75" hidden="false" customHeight="false" outlineLevel="0" collapsed="false">
      <c r="A1317" s="4" t="s">
        <v>2579</v>
      </c>
      <c r="B1317" s="5" t="s">
        <v>2580</v>
      </c>
      <c r="C1317" s="10" t="s">
        <v>2510</v>
      </c>
      <c r="D1317" s="6"/>
      <c r="E1317" s="7" t="str">
        <f aca="false">IFERROR(__xludf.dummyfunction("lower(GOOGLETRANSLATE(B1317,""es"",""en""))"),"the mansion")</f>
        <v>the mansion</v>
      </c>
      <c r="F1317" s="7" t="str">
        <f aca="false">IFERROR(__xludf.dummyfunction("lower(GOOGLETRANSLATE(A1317,""en"",""es""))"),"la mansion")</f>
        <v>la mansion</v>
      </c>
      <c r="H1317" s="0" t="str">
        <f aca="false">A1317&amp;"|"&amp;B1317</f>
        <v>the mansion|la mansión</v>
      </c>
    </row>
    <row r="1318" customFormat="false" ht="15.75" hidden="false" customHeight="false" outlineLevel="0" collapsed="false">
      <c r="A1318" s="4" t="s">
        <v>2581</v>
      </c>
      <c r="B1318" s="5" t="s">
        <v>142</v>
      </c>
      <c r="C1318" s="10" t="s">
        <v>2506</v>
      </c>
      <c r="D1318" s="6"/>
      <c r="E1318" s="7" t="str">
        <f aca="false">IFERROR(__xludf.dummyfunction("lower(GOOGLETRANSLATE(B1318,""es"",""en""))"),"the night")</f>
        <v>the night</v>
      </c>
      <c r="F1318" s="7" t="str">
        <f aca="false">IFERROR(__xludf.dummyfunction("lower(GOOGLETRANSLATE(A1318,""en"",""es""))"),"la noche")</f>
        <v>la noche</v>
      </c>
      <c r="H1318" s="0" t="str">
        <f aca="false">A1318&amp;"|"&amp;B1318</f>
        <v>the evening|la noche</v>
      </c>
    </row>
    <row r="1319" customFormat="false" ht="15.75" hidden="false" customHeight="false" outlineLevel="0" collapsed="false">
      <c r="A1319" s="4" t="s">
        <v>2082</v>
      </c>
      <c r="B1319" s="5" t="s">
        <v>2083</v>
      </c>
      <c r="C1319" s="10" t="s">
        <v>2582</v>
      </c>
      <c r="D1319" s="6"/>
      <c r="E1319" s="7" t="str">
        <f aca="false">IFERROR(__xludf.dummyfunction("lower(GOOGLETRANSLATE(B1319,""es"",""en""))"),"the aunt")</f>
        <v>the aunt</v>
      </c>
      <c r="F1319" s="7" t="str">
        <f aca="false">IFERROR(__xludf.dummyfunction("lower(GOOGLETRANSLATE(A1319,""en"",""es""))"),"la tía")</f>
        <v>la tía</v>
      </c>
      <c r="H1319" s="0" t="str">
        <f aca="false">A1319&amp;"|"&amp;B1319</f>
        <v>the aunt|la tía</v>
      </c>
    </row>
    <row r="1320" customFormat="false" ht="15.75" hidden="false" customHeight="false" outlineLevel="0" collapsed="false">
      <c r="A1320" s="4" t="s">
        <v>2583</v>
      </c>
      <c r="B1320" s="5" t="s">
        <v>2584</v>
      </c>
      <c r="C1320" s="9"/>
      <c r="D1320" s="6"/>
      <c r="E1320" s="7" t="str">
        <f aca="false">IFERROR(__xludf.dummyfunction("lower(GOOGLETRANSLATE(B1320,""es"",""en""))"),"the crisis")</f>
        <v>the crisis</v>
      </c>
      <c r="F1320" s="7" t="str">
        <f aca="false">IFERROR(__xludf.dummyfunction("lower(GOOGLETRANSLATE(A1320,""en"",""es""))"),"la crisis")</f>
        <v>la crisis</v>
      </c>
      <c r="H1320" s="0" t="str">
        <f aca="false">A1320&amp;"|"&amp;B1320</f>
        <v>the crisis|la crisis</v>
      </c>
    </row>
    <row r="1321" customFormat="false" ht="15.75" hidden="false" customHeight="false" outlineLevel="0" collapsed="false">
      <c r="A1321" s="4" t="s">
        <v>2585</v>
      </c>
      <c r="B1321" s="5" t="s">
        <v>2586</v>
      </c>
      <c r="C1321" s="10" t="s">
        <v>2510</v>
      </c>
      <c r="D1321" s="6"/>
      <c r="E1321" s="7" t="str">
        <f aca="false">IFERROR(__xludf.dummyfunction("lower(GOOGLETRANSLATE(B1321,""es"",""en""))"),"car")</f>
        <v>car</v>
      </c>
      <c r="F1321" s="7" t="str">
        <f aca="false">IFERROR(__xludf.dummyfunction("lower(GOOGLETRANSLATE(A1321,""en"",""es""))"),"el coche")</f>
        <v>el coche</v>
      </c>
      <c r="H1321" s="0" t="str">
        <f aca="false">A1321&amp;"|"&amp;B1321</f>
        <v>the car|el coche</v>
      </c>
    </row>
    <row r="1322" customFormat="false" ht="15.75" hidden="false" customHeight="false" outlineLevel="0" collapsed="false">
      <c r="A1322" s="4" t="s">
        <v>2587</v>
      </c>
      <c r="B1322" s="5" t="s">
        <v>2588</v>
      </c>
      <c r="C1322" s="9"/>
      <c r="D1322" s="6"/>
      <c r="E1322" s="7" t="str">
        <f aca="false">IFERROR(__xludf.dummyfunction("lower(GOOGLETRANSLATE(B1322,""es"",""en""))"),"noise")</f>
        <v>noise</v>
      </c>
      <c r="F1322" s="7" t="str">
        <f aca="false">IFERROR(__xludf.dummyfunction("lower(GOOGLETRANSLATE(A1322,""en"",""es""))"),"el ruido")</f>
        <v>el ruido</v>
      </c>
      <c r="H1322" s="0" t="str">
        <f aca="false">A1322&amp;"|"&amp;B1322</f>
        <v>the noise|el ruido</v>
      </c>
    </row>
    <row r="1323" customFormat="false" ht="15.75" hidden="false" customHeight="false" outlineLevel="0" collapsed="false">
      <c r="A1323" s="4" t="s">
        <v>2589</v>
      </c>
      <c r="B1323" s="5" t="s">
        <v>2590</v>
      </c>
      <c r="C1323" s="9"/>
      <c r="D1323" s="6"/>
      <c r="E1323" s="7" t="str">
        <f aca="false">IFERROR(__xludf.dummyfunction("lower(GOOGLETRANSLATE(B1323,""es"",""en""))"),"pheasant")</f>
        <v>pheasant</v>
      </c>
      <c r="F1323" s="7" t="str">
        <f aca="false">IFERROR(__xludf.dummyfunction("lower(GOOGLETRANSLATE(A1323,""en"",""es""))"),"el faisán")</f>
        <v>el faisán</v>
      </c>
      <c r="H1323" s="0" t="str">
        <f aca="false">A1323&amp;"|"&amp;B1323</f>
        <v>the pheasant |el faisán</v>
      </c>
    </row>
    <row r="1324" customFormat="false" ht="15.75" hidden="false" customHeight="false" outlineLevel="0" collapsed="false">
      <c r="A1324" s="4" t="s">
        <v>2591</v>
      </c>
      <c r="B1324" s="5" t="s">
        <v>2592</v>
      </c>
      <c r="C1324" s="9"/>
      <c r="D1324" s="6"/>
      <c r="E1324" s="7" t="str">
        <f aca="false">IFERROR(__xludf.dummyfunction("lower(GOOGLETRANSLATE(B1324,""es"",""en""))"),"the phone")</f>
        <v>the phone</v>
      </c>
      <c r="F1324" s="7" t="str">
        <f aca="false">IFERROR(__xludf.dummyfunction("lower(GOOGLETRANSLATE(A1324,""en"",""es""))"),"el telefono")</f>
        <v>el telefono</v>
      </c>
      <c r="H1324" s="0" t="str">
        <f aca="false">A1324&amp;"|"&amp;B1324</f>
        <v>the telephone|el teléfono</v>
      </c>
    </row>
    <row r="1325" customFormat="false" ht="15.75" hidden="false" customHeight="false" outlineLevel="0" collapsed="false">
      <c r="A1325" s="4" t="s">
        <v>2593</v>
      </c>
      <c r="B1325" s="5" t="s">
        <v>2594</v>
      </c>
      <c r="C1325" s="9"/>
      <c r="D1325" s="6"/>
      <c r="E1325" s="7" t="str">
        <f aca="false">IFERROR(__xludf.dummyfunction("lower(GOOGLETRANSLATE(B1325,""es"",""en""))"),"the shepherd")</f>
        <v>the shepherd</v>
      </c>
      <c r="F1325" s="7" t="str">
        <f aca="false">IFERROR(__xludf.dummyfunction("lower(GOOGLETRANSLATE(A1325,""en"",""es""))"),"el pastor")</f>
        <v>el pastor</v>
      </c>
      <c r="H1325" s="0" t="str">
        <f aca="false">A1325&amp;"|"&amp;B1325</f>
        <v>the pastor|el pastor</v>
      </c>
    </row>
    <row r="1326" customFormat="false" ht="15.75" hidden="false" customHeight="false" outlineLevel="0" collapsed="false">
      <c r="A1326" s="4" t="s">
        <v>2595</v>
      </c>
      <c r="B1326" s="5" t="s">
        <v>2596</v>
      </c>
      <c r="C1326" s="9"/>
      <c r="D1326" s="6"/>
      <c r="E1326" s="7" t="str">
        <f aca="false">IFERROR(__xludf.dummyfunction("lower(GOOGLETRANSLATE(B1326,""es"",""en""))"),"the room")</f>
        <v>the room</v>
      </c>
      <c r="F1326" s="7" t="str">
        <f aca="false">IFERROR(__xludf.dummyfunction("lower(GOOGLETRANSLATE(A1326,""en"",""es""))"),"el cuarto")</f>
        <v>el cuarto</v>
      </c>
      <c r="H1326" s="0" t="str">
        <f aca="false">A1326&amp;"|"&amp;B1326</f>
        <v>the room|la habitación</v>
      </c>
    </row>
    <row r="1327" customFormat="false" ht="15.75" hidden="false" customHeight="false" outlineLevel="0" collapsed="false">
      <c r="A1327" s="4" t="s">
        <v>118</v>
      </c>
      <c r="B1327" s="5" t="s">
        <v>119</v>
      </c>
      <c r="C1327" s="9"/>
      <c r="D1327" s="6"/>
      <c r="E1327" s="7" t="str">
        <f aca="false">IFERROR(__xludf.dummyfunction("lower(GOOGLETRANSLATE(B1327,""es"",""en""))"),"year")</f>
        <v>year</v>
      </c>
      <c r="F1327" s="7" t="str">
        <f aca="false">IFERROR(__xludf.dummyfunction("lower(GOOGLETRANSLATE(A1327,""en"",""es""))"),"el año")</f>
        <v>el año</v>
      </c>
      <c r="H1327" s="0" t="str">
        <f aca="false">A1327&amp;"|"&amp;B1327</f>
        <v>the year|el año</v>
      </c>
    </row>
    <row r="1328" customFormat="false" ht="15.75" hidden="false" customHeight="false" outlineLevel="0" collapsed="false">
      <c r="A1328" s="4" t="s">
        <v>2597</v>
      </c>
      <c r="B1328" s="5" t="s">
        <v>2598</v>
      </c>
      <c r="C1328" s="9"/>
      <c r="D1328" s="6"/>
      <c r="E1328" s="7" t="str">
        <f aca="false">IFERROR(__xludf.dummyfunction("lower(GOOGLETRANSLATE(B1328,""es"",""en""))"),"the stain")</f>
        <v>the stain</v>
      </c>
      <c r="F1328" s="7" t="str">
        <f aca="false">IFERROR(__xludf.dummyfunction("lower(GOOGLETRANSLATE(A1328,""en"",""es""))"),"la mancha")</f>
        <v>la mancha</v>
      </c>
      <c r="H1328" s="0" t="str">
        <f aca="false">A1328&amp;"|"&amp;B1328</f>
        <v>the stain|la mancha</v>
      </c>
    </row>
    <row r="1329" customFormat="false" ht="15.75" hidden="false" customHeight="false" outlineLevel="0" collapsed="false">
      <c r="A1329" s="4" t="s">
        <v>2599</v>
      </c>
      <c r="B1329" s="5" t="s">
        <v>2600</v>
      </c>
      <c r="C1329" s="10" t="s">
        <v>2510</v>
      </c>
      <c r="D1329" s="6"/>
      <c r="E1329" s="7" t="str">
        <f aca="false">IFERROR(__xludf.dummyfunction("lower(GOOGLETRANSLATE(B1329,""es"",""en""))"),"floor")</f>
        <v>floor</v>
      </c>
      <c r="F1329" s="7" t="str">
        <f aca="false">IFERROR(__xludf.dummyfunction("lower(GOOGLETRANSLATE(A1329,""en"",""es""))"),"el piso")</f>
        <v>el piso</v>
      </c>
      <c r="H1329" s="0" t="str">
        <f aca="false">A1329&amp;"|"&amp;B1329</f>
        <v>the floor|el piso</v>
      </c>
    </row>
    <row r="1330" customFormat="false" ht="15.75" hidden="false" customHeight="false" outlineLevel="0" collapsed="false">
      <c r="A1330" s="4" t="s">
        <v>2601</v>
      </c>
      <c r="B1330" s="5" t="s">
        <v>2602</v>
      </c>
      <c r="C1330" s="10" t="s">
        <v>2510</v>
      </c>
      <c r="D1330" s="6"/>
      <c r="E1330" s="7" t="str">
        <f aca="false">IFERROR(__xludf.dummyfunction("lower(GOOGLETRANSLATE(B1330,""es"",""en""))"),"the door")</f>
        <v>the door</v>
      </c>
      <c r="F1330" s="7" t="str">
        <f aca="false">IFERROR(__xludf.dummyfunction("lower(GOOGLETRANSLATE(A1330,""en"",""es""))"),"la puerta")</f>
        <v>la puerta</v>
      </c>
      <c r="H1330" s="0" t="str">
        <f aca="false">A1330&amp;"|"&amp;B1330</f>
        <v>the door|la puerta</v>
      </c>
    </row>
    <row r="1331" customFormat="false" ht="15.75" hidden="false" customHeight="false" outlineLevel="0" collapsed="false">
      <c r="A1331" s="4" t="s">
        <v>1913</v>
      </c>
      <c r="B1331" s="5" t="s">
        <v>2603</v>
      </c>
      <c r="C1331" s="9"/>
      <c r="D1331" s="6"/>
      <c r="E1331" s="7" t="str">
        <f aca="false">IFERROR(__xludf.dummyfunction("lower(GOOGLETRANSLATE(B1331,""es"",""en""))"),"the fish")</f>
        <v>the fish</v>
      </c>
      <c r="F1331" s="7" t="str">
        <f aca="false">IFERROR(__xludf.dummyfunction("lower(GOOGLETRANSLATE(A1331,""en"",""es""))"),"el pescado")</f>
        <v>el pescado</v>
      </c>
      <c r="H1331" s="0" t="str">
        <f aca="false">A1331&amp;"|"&amp;B1331</f>
        <v>the fish|el pez</v>
      </c>
    </row>
    <row r="1332" customFormat="false" ht="15.75" hidden="false" customHeight="false" outlineLevel="0" collapsed="false">
      <c r="A1332" s="4" t="s">
        <v>2604</v>
      </c>
      <c r="B1332" s="5" t="s">
        <v>2605</v>
      </c>
      <c r="C1332" s="9"/>
      <c r="D1332" s="6"/>
      <c r="E1332" s="7" t="str">
        <f aca="false">IFERROR(__xludf.dummyfunction("lower(GOOGLETRANSLATE(B1332,""es"",""en""))"),"the blood")</f>
        <v>the blood</v>
      </c>
      <c r="F1332" s="7" t="str">
        <f aca="false">IFERROR(__xludf.dummyfunction("lower(GOOGLETRANSLATE(A1332,""en"",""es""))"),"la sangre")</f>
        <v>la sangre</v>
      </c>
      <c r="H1332" s="0" t="str">
        <f aca="false">A1332&amp;"|"&amp;B1332</f>
        <v>the blood|el sangre</v>
      </c>
    </row>
    <row r="1333" customFormat="false" ht="15.75" hidden="false" customHeight="false" outlineLevel="0" collapsed="false">
      <c r="A1333" s="4" t="s">
        <v>2606</v>
      </c>
      <c r="B1333" s="5" t="s">
        <v>2607</v>
      </c>
      <c r="C1333" s="10" t="s">
        <v>2510</v>
      </c>
      <c r="D1333" s="6"/>
      <c r="E1333" s="7" t="str">
        <f aca="false">IFERROR(__xludf.dummyfunction("lower(GOOGLETRANSLATE(B1333,""es"",""en""))"),"the lobby")</f>
        <v>the lobby</v>
      </c>
      <c r="F1333" s="7" t="str">
        <f aca="false">IFERROR(__xludf.dummyfunction("lower(GOOGLETRANSLATE(A1333,""en"",""es""))"),"el pasillo")</f>
        <v>el pasillo</v>
      </c>
      <c r="H1333" s="0" t="str">
        <f aca="false">A1333&amp;"|"&amp;B1333</f>
        <v>the hallway |la vestíbulo</v>
      </c>
    </row>
    <row r="1334" customFormat="false" ht="15.75" hidden="false" customHeight="false" outlineLevel="0" collapsed="false">
      <c r="A1334" s="4" t="s">
        <v>2608</v>
      </c>
      <c r="B1334" s="5" t="s">
        <v>2609</v>
      </c>
      <c r="C1334" s="10" t="s">
        <v>2510</v>
      </c>
      <c r="D1334" s="6"/>
      <c r="E1334" s="7" t="str">
        <f aca="false">IFERROR(__xludf.dummyfunction("lower(GOOGLETRANSLATE(B1334,""es"",""en""))"),"library")</f>
        <v>library</v>
      </c>
      <c r="F1334" s="7" t="str">
        <f aca="false">IFERROR(__xludf.dummyfunction("lower(GOOGLETRANSLATE(A1334,""en"",""es""))"),"la biblioteca")</f>
        <v>la biblioteca</v>
      </c>
      <c r="H1334" s="0" t="str">
        <f aca="false">A1334&amp;"|"&amp;B1334</f>
        <v>the library|la biblioteca</v>
      </c>
    </row>
    <row r="1335" customFormat="false" ht="15.75" hidden="false" customHeight="false" outlineLevel="0" collapsed="false">
      <c r="A1335" s="4" t="s">
        <v>2610</v>
      </c>
      <c r="B1335" s="5" t="s">
        <v>2611</v>
      </c>
      <c r="C1335" s="10" t="s">
        <v>2510</v>
      </c>
      <c r="D1335" s="6"/>
      <c r="E1335" s="7" t="str">
        <f aca="false">IFERROR(__xludf.dummyfunction("lower(GOOGLETRANSLATE(B1335,""es"",""en""))"),"the lounge")</f>
        <v>the lounge</v>
      </c>
      <c r="F1335" s="7" t="str">
        <f aca="false">IFERROR(__xludf.dummyfunction("lower(GOOGLETRANSLATE(A1335,""en"",""es""))"),"el salón")</f>
        <v>el salón</v>
      </c>
      <c r="H1335" s="0" t="str">
        <f aca="false">A1335&amp;"|"&amp;B1335</f>
        <v>the lounge|el salón</v>
      </c>
    </row>
    <row r="1336" customFormat="false" ht="15.75" hidden="false" customHeight="false" outlineLevel="0" collapsed="false">
      <c r="A1336" s="4" t="s">
        <v>2612</v>
      </c>
      <c r="B1336" s="5" t="s">
        <v>2613</v>
      </c>
      <c r="C1336" s="9"/>
      <c r="D1336" s="6"/>
      <c r="E1336" s="7" t="str">
        <f aca="false">IFERROR(__xludf.dummyfunction("lower(GOOGLETRANSLATE(B1336,""es"",""en""))"),"the hand")</f>
        <v>the hand</v>
      </c>
      <c r="F1336" s="7" t="str">
        <f aca="false">IFERROR(__xludf.dummyfunction("lower(GOOGLETRANSLATE(A1336,""en"",""es""))"),"la mano")</f>
        <v>la mano</v>
      </c>
      <c r="H1336" s="0" t="str">
        <f aca="false">A1336&amp;"|"&amp;B1336</f>
        <v>the hand|el mano</v>
      </c>
    </row>
    <row r="1337" customFormat="false" ht="15.75" hidden="false" customHeight="false" outlineLevel="0" collapsed="false">
      <c r="A1337" s="4" t="s">
        <v>2614</v>
      </c>
      <c r="B1337" s="5" t="s">
        <v>2615</v>
      </c>
      <c r="C1337" s="9"/>
      <c r="D1337" s="6"/>
      <c r="E1337" s="7" t="str">
        <f aca="false">IFERROR(__xludf.dummyfunction("lower(GOOGLETRANSLATE(B1337,""es"",""en""))"),"the foot")</f>
        <v>the foot</v>
      </c>
      <c r="F1337" s="7" t="str">
        <f aca="false">IFERROR(__xludf.dummyfunction("lower(GOOGLETRANSLATE(A1337,""en"",""es""))"),"el pie")</f>
        <v>el pie</v>
      </c>
      <c r="H1337" s="0" t="str">
        <f aca="false">A1337&amp;"|"&amp;B1337</f>
        <v>the foot|el pie</v>
      </c>
    </row>
    <row r="1338" customFormat="false" ht="15.75" hidden="false" customHeight="false" outlineLevel="0" collapsed="false">
      <c r="A1338" s="4" t="s">
        <v>2616</v>
      </c>
      <c r="B1338" s="5" t="s">
        <v>2617</v>
      </c>
      <c r="C1338" s="9"/>
      <c r="D1338" s="6"/>
      <c r="E1338" s="7" t="str">
        <f aca="false">IFERROR(__xludf.dummyfunction("lower(GOOGLETRANSLATE(B1338,""es"",""en""))"),"head")</f>
        <v>head</v>
      </c>
      <c r="F1338" s="7" t="str">
        <f aca="false">IFERROR(__xludf.dummyfunction("lower(GOOGLETRANSLATE(A1338,""en"",""es""))"),"la cabeza")</f>
        <v>la cabeza</v>
      </c>
      <c r="H1338" s="0" t="str">
        <f aca="false">A1338&amp;"|"&amp;B1338</f>
        <v>the head|la cabeza</v>
      </c>
    </row>
    <row r="1339" customFormat="false" ht="15.75" hidden="false" customHeight="false" outlineLevel="0" collapsed="false">
      <c r="A1339" s="4" t="s">
        <v>2123</v>
      </c>
      <c r="B1339" s="5" t="s">
        <v>2124</v>
      </c>
      <c r="C1339" s="9"/>
      <c r="D1339" s="6"/>
      <c r="E1339" s="7" t="str">
        <f aca="false">IFERROR(__xludf.dummyfunction("lower(GOOGLETRANSLATE(B1339,""es"",""en""))"),"hair")</f>
        <v>hair</v>
      </c>
      <c r="F1339" s="7" t="str">
        <f aca="false">IFERROR(__xludf.dummyfunction("lower(GOOGLETRANSLATE(A1339,""en"",""es""))"),"el pelo")</f>
        <v>el pelo</v>
      </c>
      <c r="H1339" s="0" t="str">
        <f aca="false">A1339&amp;"|"&amp;B1339</f>
        <v>the hair|el pelo</v>
      </c>
    </row>
    <row r="1340" customFormat="false" ht="15.75" hidden="false" customHeight="false" outlineLevel="0" collapsed="false">
      <c r="A1340" s="4" t="s">
        <v>2145</v>
      </c>
      <c r="B1340" s="5" t="s">
        <v>2146</v>
      </c>
      <c r="C1340" s="9"/>
      <c r="D1340" s="6"/>
      <c r="E1340" s="7" t="str">
        <f aca="false">IFERROR(__xludf.dummyfunction("lower(GOOGLETRANSLATE(B1340,""es"",""en""))"),"the eyes")</f>
        <v>the eyes</v>
      </c>
      <c r="F1340" s="7" t="str">
        <f aca="false">IFERROR(__xludf.dummyfunction("lower(GOOGLETRANSLATE(A1340,""en"",""es""))"),"los ojos")</f>
        <v>los ojos</v>
      </c>
      <c r="H1340" s="0" t="str">
        <f aca="false">A1340&amp;"|"&amp;B1340</f>
        <v>the eyes|los ojos</v>
      </c>
    </row>
    <row r="1341" customFormat="false" ht="15.75" hidden="false" customHeight="false" outlineLevel="0" collapsed="false">
      <c r="A1341" s="4" t="s">
        <v>2618</v>
      </c>
      <c r="B1341" s="5" t="s">
        <v>2619</v>
      </c>
      <c r="C1341" s="9"/>
      <c r="D1341" s="6"/>
      <c r="E1341" s="7" t="str">
        <f aca="false">IFERROR(__xludf.dummyfunction("lower(GOOGLETRANSLATE(B1341,""es"",""en""))"),"the change")</f>
        <v>the change</v>
      </c>
      <c r="F1341" s="7" t="str">
        <f aca="false">IFERROR(__xludf.dummyfunction("lower(GOOGLETRANSLATE(A1341,""en"",""es""))"),"el cambio")</f>
        <v>el cambio</v>
      </c>
      <c r="H1341" s="0" t="str">
        <f aca="false">A1341&amp;"|"&amp;B1341</f>
        <v>the change|el cambio</v>
      </c>
    </row>
    <row r="1342" customFormat="false" ht="15.75" hidden="false" customHeight="false" outlineLevel="0" collapsed="false">
      <c r="A1342" s="4" t="s">
        <v>2620</v>
      </c>
      <c r="B1342" s="5" t="s">
        <v>2621</v>
      </c>
      <c r="C1342" s="10" t="s">
        <v>2496</v>
      </c>
      <c r="D1342" s="6"/>
      <c r="E1342" s="7" t="str">
        <f aca="false">IFERROR(__xludf.dummyfunction("lower(GOOGLETRANSLATE(B1342,""es"",""en""))"),"the restaurant")</f>
        <v>the restaurant</v>
      </c>
      <c r="F1342" s="7" t="str">
        <f aca="false">IFERROR(__xludf.dummyfunction("lower(GOOGLETRANSLATE(A1342,""en"",""es""))"),"el restaurante")</f>
        <v>el restaurante</v>
      </c>
      <c r="H1342" s="0" t="str">
        <f aca="false">A1342&amp;"|"&amp;B1342</f>
        <v>the restaurant|el restaurante</v>
      </c>
    </row>
    <row r="1343" customFormat="false" ht="15.75" hidden="false" customHeight="false" outlineLevel="0" collapsed="false">
      <c r="A1343" s="4" t="s">
        <v>2622</v>
      </c>
      <c r="B1343" s="5" t="s">
        <v>2623</v>
      </c>
      <c r="C1343" s="9"/>
      <c r="D1343" s="6"/>
      <c r="E1343" s="7" t="str">
        <f aca="false">IFERROR(__xludf.dummyfunction("lower(GOOGLETRANSLATE(B1343,""es"",""en""))"),"the hotel")</f>
        <v>the hotel</v>
      </c>
      <c r="F1343" s="7" t="str">
        <f aca="false">IFERROR(__xludf.dummyfunction("lower(GOOGLETRANSLATE(A1343,""en"",""es""))"),"el hotel")</f>
        <v>el hotel</v>
      </c>
      <c r="H1343" s="0" t="str">
        <f aca="false">A1343&amp;"|"&amp;B1343</f>
        <v>the hotel|el hotel</v>
      </c>
    </row>
    <row r="1344" customFormat="false" ht="15.75" hidden="false" customHeight="false" outlineLevel="0" collapsed="false">
      <c r="A1344" s="4" t="s">
        <v>2624</v>
      </c>
      <c r="B1344" s="5" t="s">
        <v>2625</v>
      </c>
      <c r="C1344" s="9"/>
      <c r="D1344" s="6"/>
      <c r="E1344" s="7" t="str">
        <f aca="false">IFERROR(__xludf.dummyfunction("lower(GOOGLETRANSLATE(B1344,""es"",""en""))"),"the stamp")</f>
        <v>the stamp</v>
      </c>
      <c r="F1344" s="7" t="str">
        <f aca="false">IFERROR(__xludf.dummyfunction("lower(GOOGLETRANSLATE(A1344,""en"",""es""))"),"el sello")</f>
        <v>el sello</v>
      </c>
      <c r="H1344" s="0" t="str">
        <f aca="false">A1344&amp;"|"&amp;B1344</f>
        <v>the stamp|el sello</v>
      </c>
    </row>
    <row r="1345" customFormat="false" ht="15.75" hidden="false" customHeight="false" outlineLevel="0" collapsed="false">
      <c r="A1345" s="4" t="s">
        <v>510</v>
      </c>
      <c r="B1345" s="5" t="s">
        <v>511</v>
      </c>
      <c r="C1345" s="9"/>
      <c r="D1345" s="6"/>
      <c r="E1345" s="7" t="str">
        <f aca="false">IFERROR(__xludf.dummyfunction("lower(GOOGLETRANSLATE(B1345,""es"",""en""))"),"the book")</f>
        <v>the book</v>
      </c>
      <c r="F1345" s="7" t="str">
        <f aca="false">IFERROR(__xludf.dummyfunction("lower(GOOGLETRANSLATE(A1345,""en"",""es""))"),"el libro")</f>
        <v>el libro</v>
      </c>
      <c r="H1345" s="0" t="str">
        <f aca="false">A1345&amp;"|"&amp;B1345</f>
        <v>the book|el libro</v>
      </c>
    </row>
    <row r="1346" customFormat="false" ht="15.75" hidden="false" customHeight="false" outlineLevel="0" collapsed="false">
      <c r="A1346" s="4" t="s">
        <v>2626</v>
      </c>
      <c r="B1346" s="5" t="s">
        <v>528</v>
      </c>
      <c r="C1346" s="9"/>
      <c r="D1346" s="6"/>
      <c r="E1346" s="7" t="str">
        <f aca="false">IFERROR(__xludf.dummyfunction("lower(GOOGLETRANSLATE(B1346,""es"",""en""))"),"the pen")</f>
        <v>the pen</v>
      </c>
      <c r="F1346" s="7" t="str">
        <f aca="false">IFERROR(__xludf.dummyfunction("lower(GOOGLETRANSLATE(A1346,""en"",""es""))"),"el bolígrafo")</f>
        <v>el bolígrafo</v>
      </c>
      <c r="H1346" s="0" t="str">
        <f aca="false">A1346&amp;"|"&amp;B1346</f>
        <v>the pen|la pluma</v>
      </c>
    </row>
    <row r="1347" customFormat="false" ht="15.75" hidden="false" customHeight="false" outlineLevel="0" collapsed="false">
      <c r="A1347" s="4" t="s">
        <v>2627</v>
      </c>
      <c r="B1347" s="5" t="s">
        <v>2628</v>
      </c>
      <c r="C1347" s="9"/>
      <c r="D1347" s="6"/>
      <c r="E1347" s="7" t="str">
        <f aca="false">IFERROR(__xludf.dummyfunction("lower(GOOGLETRANSLATE(B1347,""es"",""en""))"),"the squirrel")</f>
        <v>the squirrel</v>
      </c>
      <c r="F1347" s="7" t="str">
        <f aca="false">IFERROR(__xludf.dummyfunction("lower(GOOGLETRANSLATE(A1347,""en"",""es""))"),"el squirel")</f>
        <v>el squirel</v>
      </c>
      <c r="H1347" s="0" t="str">
        <f aca="false">A1347&amp;"|"&amp;B1347</f>
        <v>the squirel|la ardilla</v>
      </c>
    </row>
    <row r="1348" customFormat="false" ht="15.75" hidden="false" customHeight="false" outlineLevel="0" collapsed="false">
      <c r="A1348" s="4" t="s">
        <v>2629</v>
      </c>
      <c r="B1348" s="5" t="s">
        <v>2630</v>
      </c>
      <c r="C1348" s="9"/>
      <c r="D1348" s="6"/>
      <c r="E1348" s="7" t="str">
        <f aca="false">IFERROR(__xludf.dummyfunction("lower(GOOGLETRANSLATE(B1348,""es"",""en""))"),"the question")</f>
        <v>the question</v>
      </c>
      <c r="F1348" s="7" t="str">
        <f aca="false">IFERROR(__xludf.dummyfunction("lower(GOOGLETRANSLATE(A1348,""en"",""es""))"),"la pregunta")</f>
        <v>la pregunta</v>
      </c>
      <c r="H1348" s="0" t="str">
        <f aca="false">A1348&amp;"|"&amp;B1348</f>
        <v>the question|la pregunta</v>
      </c>
    </row>
    <row r="1349" customFormat="false" ht="15.75" hidden="false" customHeight="false" outlineLevel="0" collapsed="false">
      <c r="A1349" s="4" t="s">
        <v>2631</v>
      </c>
      <c r="B1349" s="5" t="s">
        <v>2632</v>
      </c>
      <c r="C1349" s="9"/>
      <c r="D1349" s="6"/>
      <c r="E1349" s="7" t="str">
        <f aca="false">IFERROR(__xludf.dummyfunction("lower(GOOGLETRANSLATE(B1349,""es"",""en""))"),"the answer")</f>
        <v>the answer</v>
      </c>
      <c r="F1349" s="7" t="str">
        <f aca="false">IFERROR(__xludf.dummyfunction("lower(GOOGLETRANSLATE(A1349,""en"",""es""))"),"la respuesta")</f>
        <v>la respuesta</v>
      </c>
      <c r="H1349" s="0" t="str">
        <f aca="false">A1349&amp;"|"&amp;B1349</f>
        <v>the answer|el contesto</v>
      </c>
    </row>
    <row r="1350" customFormat="false" ht="15.75" hidden="false" customHeight="false" outlineLevel="0" collapsed="false">
      <c r="A1350" s="4" t="s">
        <v>2633</v>
      </c>
      <c r="B1350" s="5" t="s">
        <v>2634</v>
      </c>
      <c r="C1350" s="9"/>
      <c r="D1350" s="6"/>
      <c r="E1350" s="7" t="str">
        <f aca="false">IFERROR(__xludf.dummyfunction("lower(GOOGLETRANSLATE(B1350,""es"",""en""))"),"the presentation")</f>
        <v>the presentation</v>
      </c>
      <c r="F1350" s="7" t="str">
        <f aca="false">IFERROR(__xludf.dummyfunction("lower(GOOGLETRANSLATE(A1350,""en"",""es""))"),"la presentación")</f>
        <v>la presentación</v>
      </c>
      <c r="H1350" s="0" t="str">
        <f aca="false">A1350&amp;"|"&amp;B1350</f>
        <v>the presentation|la presentación</v>
      </c>
    </row>
    <row r="1351" customFormat="false" ht="15.75" hidden="false" customHeight="false" outlineLevel="0" collapsed="false">
      <c r="A1351" s="4" t="s">
        <v>2635</v>
      </c>
      <c r="B1351" s="5" t="s">
        <v>2636</v>
      </c>
      <c r="C1351" s="9"/>
      <c r="D1351" s="6"/>
      <c r="E1351" s="7" t="str">
        <f aca="false">IFERROR(__xludf.dummyfunction("lower(GOOGLETRANSLATE(B1351,""es"",""en""))"),"the conversation")</f>
        <v>the conversation</v>
      </c>
      <c r="F1351" s="7" t="str">
        <f aca="false">IFERROR(__xludf.dummyfunction("lower(GOOGLETRANSLATE(A1351,""en"",""es""))"),"la conversación")</f>
        <v>la conversación</v>
      </c>
      <c r="H1351" s="0" t="str">
        <f aca="false">A1351&amp;"|"&amp;B1351</f>
        <v>the conversation|la conversación</v>
      </c>
    </row>
    <row r="1352" customFormat="false" ht="15.75" hidden="false" customHeight="false" outlineLevel="0" collapsed="false">
      <c r="A1352" s="4" t="s">
        <v>2637</v>
      </c>
      <c r="B1352" s="5" t="s">
        <v>2638</v>
      </c>
      <c r="C1352" s="9"/>
      <c r="D1352" s="6"/>
      <c r="E1352" s="7" t="str">
        <f aca="false">IFERROR(__xludf.dummyfunction("lower(GOOGLETRANSLATE(B1352,""es"",""en""))"),"the problem")</f>
        <v>the problem</v>
      </c>
      <c r="F1352" s="7" t="str">
        <f aca="false">IFERROR(__xludf.dummyfunction("lower(GOOGLETRANSLATE(A1352,""en"",""es""))"),"el problema")</f>
        <v>el problema</v>
      </c>
      <c r="H1352" s="0" t="str">
        <f aca="false">A1352&amp;"|"&amp;B1352</f>
        <v>the problem|el problema</v>
      </c>
    </row>
    <row r="1353" customFormat="false" ht="15.75" hidden="false" customHeight="false" outlineLevel="0" collapsed="false">
      <c r="A1353" s="4" t="s">
        <v>1986</v>
      </c>
      <c r="B1353" s="5" t="s">
        <v>1987</v>
      </c>
      <c r="C1353" s="9"/>
      <c r="D1353" s="6"/>
      <c r="E1353" s="7" t="str">
        <f aca="false">IFERROR(__xludf.dummyfunction("lower(GOOGLETRANSLATE(B1353,""es"",""en""))"),"the water")</f>
        <v>the water</v>
      </c>
      <c r="F1353" s="7" t="str">
        <f aca="false">IFERROR(__xludf.dummyfunction("lower(GOOGLETRANSLATE(A1353,""en"",""es""))"),"el agua")</f>
        <v>el agua</v>
      </c>
      <c r="H1353" s="0" t="str">
        <f aca="false">A1353&amp;"|"&amp;B1353</f>
        <v>the water|el aqua</v>
      </c>
    </row>
    <row r="1354" customFormat="false" ht="15.75" hidden="false" customHeight="false" outlineLevel="0" collapsed="false">
      <c r="A1354" s="4" t="s">
        <v>2639</v>
      </c>
      <c r="B1354" s="5" t="s">
        <v>2640</v>
      </c>
      <c r="C1354" s="9"/>
      <c r="D1354" s="6"/>
      <c r="E1354" s="7" t="str">
        <f aca="false">IFERROR(__xludf.dummyfunction("lower(GOOGLETRANSLATE(B1354,""es"",""en""))"),"the place")</f>
        <v>the place</v>
      </c>
      <c r="F1354" s="7" t="str">
        <f aca="false">IFERROR(__xludf.dummyfunction("lower(GOOGLETRANSLATE(A1354,""en"",""es""))"),"el sitio")</f>
        <v>el sitio</v>
      </c>
      <c r="H1354" s="0" t="str">
        <f aca="false">A1354&amp;"|"&amp;B1354</f>
        <v>the site|el sitio</v>
      </c>
    </row>
    <row r="1355" customFormat="false" ht="15.75" hidden="false" customHeight="false" outlineLevel="0" collapsed="false">
      <c r="A1355" s="4" t="s">
        <v>523</v>
      </c>
      <c r="B1355" s="5" t="s">
        <v>2641</v>
      </c>
      <c r="C1355" s="9"/>
      <c r="D1355" s="6"/>
      <c r="E1355" s="7" t="str">
        <f aca="false">IFERROR(__xludf.dummyfunction("lower(GOOGLETRANSLATE(B1355,""es"",""en""))"),"the boss")</f>
        <v>the boss</v>
      </c>
      <c r="F1355" s="7" t="str">
        <f aca="false">IFERROR(__xludf.dummyfunction("lower(GOOGLETRANSLATE(A1355,""en"",""es""))"),"el jefe")</f>
        <v>el jefe</v>
      </c>
      <c r="H1355" s="0" t="str">
        <f aca="false">A1355&amp;"|"&amp;B1355</f>
        <v>the boss|el jefe</v>
      </c>
    </row>
    <row r="1356" customFormat="false" ht="15.75" hidden="false" customHeight="false" outlineLevel="0" collapsed="false">
      <c r="A1356" s="4" t="s">
        <v>2642</v>
      </c>
      <c r="B1356" s="5" t="s">
        <v>2643</v>
      </c>
      <c r="C1356" s="9"/>
      <c r="D1356" s="6"/>
      <c r="E1356" s="7" t="str">
        <f aca="false">IFERROR(__xludf.dummyfunction("lower(GOOGLETRANSLATE(B1356,""es"",""en""))"),"the turtle")</f>
        <v>the turtle</v>
      </c>
      <c r="F1356" s="7" t="str">
        <f aca="false">IFERROR(__xludf.dummyfunction("lower(GOOGLETRANSLATE(A1356,""en"",""es""))"),"la tortuga")</f>
        <v>la tortuga</v>
      </c>
      <c r="H1356" s="0" t="str">
        <f aca="false">A1356&amp;"|"&amp;B1356</f>
        <v>the turtle|el tortuga</v>
      </c>
    </row>
    <row r="1357" customFormat="false" ht="15.75" hidden="false" customHeight="false" outlineLevel="0" collapsed="false">
      <c r="A1357" s="4" t="s">
        <v>2244</v>
      </c>
      <c r="B1357" s="5" t="s">
        <v>2644</v>
      </c>
      <c r="C1357" s="10" t="s">
        <v>2645</v>
      </c>
      <c r="D1357" s="6"/>
      <c r="E1357" s="7" t="str">
        <f aca="false">IFERROR(__xludf.dummyfunction("lower(GOOGLETRANSLATE(B1357,""es"",""en""))"),"blue")</f>
        <v>blue</v>
      </c>
      <c r="F1357" s="7" t="str">
        <f aca="false">IFERROR(__xludf.dummyfunction("lower(GOOGLETRANSLATE(A1357,""en"",""es""))"),"azul")</f>
        <v>azul</v>
      </c>
      <c r="H1357" s="0" t="str">
        <f aca="false">A1357&amp;"|"&amp;B1357</f>
        <v>blue|azul</v>
      </c>
    </row>
    <row r="1358" customFormat="false" ht="15.75" hidden="false" customHeight="false" outlineLevel="0" collapsed="false">
      <c r="A1358" s="4" t="s">
        <v>2254</v>
      </c>
      <c r="B1358" s="5" t="s">
        <v>2646</v>
      </c>
      <c r="C1358" s="10" t="s">
        <v>2645</v>
      </c>
      <c r="D1358" s="6"/>
      <c r="E1358" s="7" t="str">
        <f aca="false">IFERROR(__xludf.dummyfunction("lower(GOOGLETRANSLATE(B1358,""es"",""en""))"),"red")</f>
        <v>red</v>
      </c>
      <c r="F1358" s="7" t="str">
        <f aca="false">IFERROR(__xludf.dummyfunction("lower(GOOGLETRANSLATE(A1358,""en"",""es""))"),"rojo")</f>
        <v>rojo</v>
      </c>
      <c r="H1358" s="0" t="str">
        <f aca="false">A1358&amp;"|"&amp;B1358</f>
        <v>red|roja</v>
      </c>
    </row>
    <row r="1359" customFormat="false" ht="15.75" hidden="false" customHeight="false" outlineLevel="0" collapsed="false">
      <c r="A1359" s="4" t="s">
        <v>2134</v>
      </c>
      <c r="B1359" s="5" t="s">
        <v>2135</v>
      </c>
      <c r="C1359" s="10" t="s">
        <v>2645</v>
      </c>
      <c r="D1359" s="6"/>
      <c r="E1359" s="7" t="str">
        <f aca="false">IFERROR(__xludf.dummyfunction("lower(GOOGLETRANSLATE(B1359,""es"",""en""))"),"black")</f>
        <v>black</v>
      </c>
      <c r="F1359" s="7" t="str">
        <f aca="false">IFERROR(__xludf.dummyfunction("lower(GOOGLETRANSLATE(A1359,""en"",""es""))"),"negro")</f>
        <v>negro</v>
      </c>
      <c r="H1359" s="0" t="str">
        <f aca="false">A1359&amp;"|"&amp;B1359</f>
        <v>black|negro</v>
      </c>
    </row>
    <row r="1360" customFormat="false" ht="15.75" hidden="false" customHeight="false" outlineLevel="0" collapsed="false">
      <c r="A1360" s="4" t="s">
        <v>2246</v>
      </c>
      <c r="B1360" s="5" t="s">
        <v>2647</v>
      </c>
      <c r="C1360" s="10" t="s">
        <v>2645</v>
      </c>
      <c r="D1360" s="6"/>
      <c r="E1360" s="7" t="str">
        <f aca="false">IFERROR(__xludf.dummyfunction("lower(GOOGLETRANSLATE(B1360,""es"",""en""))"),"white")</f>
        <v>white</v>
      </c>
      <c r="F1360" s="7" t="str">
        <f aca="false">IFERROR(__xludf.dummyfunction("lower(GOOGLETRANSLATE(A1360,""en"",""es""))"),"blanco")</f>
        <v>blanco</v>
      </c>
      <c r="H1360" s="0" t="str">
        <f aca="false">A1360&amp;"|"&amp;B1360</f>
        <v>white|blanco</v>
      </c>
    </row>
    <row r="1361" customFormat="false" ht="15.75" hidden="false" customHeight="false" outlineLevel="0" collapsed="false">
      <c r="A1361" s="4" t="s">
        <v>2240</v>
      </c>
      <c r="B1361" s="5" t="s">
        <v>2648</v>
      </c>
      <c r="C1361" s="10" t="s">
        <v>2645</v>
      </c>
      <c r="D1361" s="6"/>
      <c r="E1361" s="7" t="str">
        <f aca="false">IFERROR(__xludf.dummyfunction("lower(GOOGLETRANSLATE(B1361,""es"",""en""))"),"yellow")</f>
        <v>yellow</v>
      </c>
      <c r="F1361" s="7" t="str">
        <f aca="false">IFERROR(__xludf.dummyfunction("lower(GOOGLETRANSLATE(A1361,""en"",""es""))"),"amarillo")</f>
        <v>amarillo</v>
      </c>
      <c r="H1361" s="0" t="str">
        <f aca="false">A1361&amp;"|"&amp;B1361</f>
        <v>yellow|amarillo</v>
      </c>
    </row>
    <row r="1362" customFormat="false" ht="15.75" hidden="false" customHeight="false" outlineLevel="0" collapsed="false">
      <c r="A1362" s="4" t="s">
        <v>2258</v>
      </c>
      <c r="B1362" s="5" t="s">
        <v>2259</v>
      </c>
      <c r="C1362" s="10" t="s">
        <v>2645</v>
      </c>
      <c r="D1362" s="6"/>
      <c r="E1362" s="7" t="str">
        <f aca="false">IFERROR(__xludf.dummyfunction("lower(GOOGLETRANSLATE(B1362,""es"",""en""))"),"green")</f>
        <v>green</v>
      </c>
      <c r="F1362" s="7" t="str">
        <f aca="false">IFERROR(__xludf.dummyfunction("lower(GOOGLETRANSLATE(A1362,""en"",""es""))"),"verde")</f>
        <v>verde</v>
      </c>
      <c r="H1362" s="0" t="str">
        <f aca="false">A1362&amp;"|"&amp;B1362</f>
        <v>green|verde</v>
      </c>
    </row>
    <row r="1363" customFormat="false" ht="15.75" hidden="false" customHeight="false" outlineLevel="0" collapsed="false">
      <c r="A1363" s="4" t="s">
        <v>2242</v>
      </c>
      <c r="B1363" s="5" t="s">
        <v>2649</v>
      </c>
      <c r="C1363" s="10" t="s">
        <v>2645</v>
      </c>
      <c r="D1363" s="6"/>
      <c r="E1363" s="7" t="str">
        <f aca="false">IFERROR(__xludf.dummyfunction("lower(GOOGLETRANSLATE(B1363,""es"",""en""))"),"orange")</f>
        <v>orange</v>
      </c>
      <c r="F1363" s="7" t="str">
        <f aca="false">IFERROR(__xludf.dummyfunction("lower(GOOGLETRANSLATE(A1363,""en"",""es""))"),"naranja")</f>
        <v>naranja</v>
      </c>
      <c r="H1363" s="0" t="str">
        <f aca="false">A1363&amp;"|"&amp;B1363</f>
        <v>orange|naranja</v>
      </c>
    </row>
    <row r="1364" customFormat="false" ht="15.75" hidden="false" customHeight="false" outlineLevel="0" collapsed="false">
      <c r="A1364" s="4" t="s">
        <v>2126</v>
      </c>
      <c r="B1364" s="5" t="s">
        <v>2650</v>
      </c>
      <c r="C1364" s="10" t="s">
        <v>2645</v>
      </c>
      <c r="D1364" s="6"/>
      <c r="E1364" s="7" t="str">
        <f aca="false">IFERROR(__xludf.dummyfunction("lower(GOOGLETRANSLATE(B1364,""es"",""en""))"),"gray")</f>
        <v>gray</v>
      </c>
      <c r="F1364" s="7" t="str">
        <f aca="false">IFERROR(__xludf.dummyfunction("lower(GOOGLETRANSLATE(A1364,""en"",""es""))"),"gris")</f>
        <v>gris</v>
      </c>
      <c r="H1364" s="0" t="str">
        <f aca="false">A1364&amp;"|"&amp;B1364</f>
        <v>grey|gris</v>
      </c>
    </row>
    <row r="1365" customFormat="false" ht="15.75" hidden="false" customHeight="false" outlineLevel="0" collapsed="false">
      <c r="A1365" s="4" t="s">
        <v>2651</v>
      </c>
      <c r="B1365" s="5" t="s">
        <v>2652</v>
      </c>
      <c r="C1365" s="10" t="s">
        <v>2653</v>
      </c>
      <c r="D1365" s="6"/>
      <c r="E1365" s="7" t="str">
        <f aca="false">IFERROR(__xludf.dummyfunction("lower(GOOGLETRANSLATE(B1365,""es"",""en""))"),"the bus")</f>
        <v>the bus</v>
      </c>
      <c r="F1365" s="7" t="str">
        <f aca="false">IFERROR(__xludf.dummyfunction("lower(GOOGLETRANSLATE(A1365,""en"",""es""))"),"el autobús")</f>
        <v>el autobús</v>
      </c>
      <c r="H1365" s="0" t="str">
        <f aca="false">A1365&amp;"|"&amp;B1365</f>
        <v>the bus|el autobús</v>
      </c>
    </row>
    <row r="1366" customFormat="false" ht="15.75" hidden="false" customHeight="false" outlineLevel="0" collapsed="false">
      <c r="A1366" s="4" t="s">
        <v>2654</v>
      </c>
      <c r="B1366" s="5" t="s">
        <v>2655</v>
      </c>
      <c r="C1366" s="10" t="s">
        <v>2653</v>
      </c>
      <c r="D1366" s="6"/>
      <c r="E1366" s="7" t="str">
        <f aca="false">IFERROR(__xludf.dummyfunction("lower(GOOGLETRANSLATE(B1366,""es"",""en""))"),"the train")</f>
        <v>the train</v>
      </c>
      <c r="F1366" s="7" t="str">
        <f aca="false">IFERROR(__xludf.dummyfunction("lower(GOOGLETRANSLATE(A1366,""en"",""es""))"),"el tren")</f>
        <v>el tren</v>
      </c>
      <c r="H1366" s="0" t="str">
        <f aca="false">A1366&amp;"|"&amp;B1366</f>
        <v>the train|el tren</v>
      </c>
    </row>
    <row r="1367" customFormat="false" ht="15.75" hidden="false" customHeight="false" outlineLevel="0" collapsed="false">
      <c r="A1367" s="4" t="s">
        <v>2656</v>
      </c>
      <c r="B1367" s="5" t="s">
        <v>2657</v>
      </c>
      <c r="C1367" s="10" t="s">
        <v>2653</v>
      </c>
      <c r="D1367" s="6"/>
      <c r="E1367" s="7" t="str">
        <f aca="false">IFERROR(__xludf.dummyfunction("lower(GOOGLETRANSLATE(B1367,""es"",""en""))"),"the entrance")</f>
        <v>the entrance</v>
      </c>
      <c r="F1367" s="7" t="str">
        <f aca="false">IFERROR(__xludf.dummyfunction("lower(GOOGLETRANSLATE(A1367,""en"",""es""))"),"la entrada")</f>
        <v>la entrada</v>
      </c>
      <c r="H1367" s="0" t="str">
        <f aca="false">A1367&amp;"|"&amp;B1367</f>
        <v>the ticket|la entrada</v>
      </c>
    </row>
    <row r="1368" customFormat="false" ht="15.75" hidden="false" customHeight="false" outlineLevel="0" collapsed="false">
      <c r="A1368" s="4" t="s">
        <v>1617</v>
      </c>
      <c r="B1368" s="5" t="s">
        <v>1618</v>
      </c>
      <c r="C1368" s="10" t="s">
        <v>2653</v>
      </c>
      <c r="D1368" s="6"/>
      <c r="E1368" s="7" t="str">
        <f aca="false">IFERROR(__xludf.dummyfunction("lower(GOOGLETRANSLATE(B1368,""es"",""en""))"),"travel")</f>
        <v>travel</v>
      </c>
      <c r="F1368" s="7" t="str">
        <f aca="false">IFERROR(__xludf.dummyfunction("lower(GOOGLETRANSLATE(A1368,""en"",""es""))"),"viajar")</f>
        <v>viajar</v>
      </c>
      <c r="H1368" s="0" t="str">
        <f aca="false">A1368&amp;"|"&amp;B1368</f>
        <v>to travel|viajar</v>
      </c>
    </row>
    <row r="1369" customFormat="false" ht="15.75" hidden="false" customHeight="false" outlineLevel="0" collapsed="false">
      <c r="A1369" s="4" t="s">
        <v>2658</v>
      </c>
      <c r="B1369" s="5" t="s">
        <v>2659</v>
      </c>
      <c r="C1369" s="10" t="s">
        <v>2653</v>
      </c>
      <c r="D1369" s="6"/>
      <c r="E1369" s="7" t="str">
        <f aca="false">IFERROR(__xludf.dummyfunction("lower(GOOGLETRANSLATE(B1369,""es"",""en""))"),"the plane")</f>
        <v>the plane</v>
      </c>
      <c r="F1369" s="7" t="str">
        <f aca="false">IFERROR(__xludf.dummyfunction("lower(GOOGLETRANSLATE(A1369,""en"",""es""))"),"el avión")</f>
        <v>el avión</v>
      </c>
      <c r="H1369" s="0" t="str">
        <f aca="false">A1369&amp;"|"&amp;B1369</f>
        <v>the plane|el avion</v>
      </c>
    </row>
    <row r="1370" customFormat="false" ht="15.75" hidden="false" customHeight="false" outlineLevel="0" collapsed="false">
      <c r="A1370" s="4" t="s">
        <v>2660</v>
      </c>
      <c r="B1370" s="5" t="s">
        <v>2661</v>
      </c>
      <c r="C1370" s="10" t="s">
        <v>2653</v>
      </c>
      <c r="D1370" s="6"/>
      <c r="E1370" s="7" t="str">
        <f aca="false">IFERROR(__xludf.dummyfunction("lower(GOOGLETRANSLATE(B1370,""es"",""en""))"),"the airport")</f>
        <v>the airport</v>
      </c>
      <c r="F1370" s="7" t="str">
        <f aca="false">IFERROR(__xludf.dummyfunction("lower(GOOGLETRANSLATE(A1370,""en"",""es""))"),"el aeropuerto")</f>
        <v>el aeropuerto</v>
      </c>
      <c r="H1370" s="0" t="str">
        <f aca="false">A1370&amp;"|"&amp;B1370</f>
        <v>the airport|el aeropuerto</v>
      </c>
    </row>
    <row r="1371" customFormat="false" ht="15.75" hidden="false" customHeight="false" outlineLevel="0" collapsed="false">
      <c r="A1371" s="4" t="s">
        <v>2662</v>
      </c>
      <c r="B1371" s="5" t="s">
        <v>2663</v>
      </c>
      <c r="C1371" s="10" t="s">
        <v>2653</v>
      </c>
      <c r="D1371" s="6"/>
      <c r="E1371" s="7" t="str">
        <f aca="false">IFERROR(__xludf.dummyfunction("lower(GOOGLETRANSLATE(B1371,""es"",""en""))"),"the passport is")</f>
        <v>the passport is</v>
      </c>
      <c r="F1371" s="7" t="str">
        <f aca="false">IFERROR(__xludf.dummyfunction("lower(GOOGLETRANSLATE(A1371,""en"",""es""))"),"el pasaporte")</f>
        <v>el pasaporte</v>
      </c>
      <c r="H1371" s="0" t="str">
        <f aca="false">A1371&amp;"|"&amp;B1371</f>
        <v>the passport|el pasporte</v>
      </c>
    </row>
    <row r="1372" customFormat="false" ht="15.75" hidden="false" customHeight="false" outlineLevel="0" collapsed="false">
      <c r="A1372" s="4" t="s">
        <v>2664</v>
      </c>
      <c r="B1372" s="5" t="s">
        <v>2665</v>
      </c>
      <c r="C1372" s="10" t="s">
        <v>2653</v>
      </c>
      <c r="D1372" s="6"/>
      <c r="E1372" s="7" t="str">
        <f aca="false">IFERROR(__xludf.dummyfunction("lower(GOOGLETRANSLATE(B1372,""es"",""en""))"),"the taxi")</f>
        <v>the taxi</v>
      </c>
      <c r="F1372" s="7" t="str">
        <f aca="false">IFERROR(__xludf.dummyfunction("lower(GOOGLETRANSLATE(A1372,""en"",""es""))"),"el taxi")</f>
        <v>el taxi</v>
      </c>
      <c r="H1372" s="0" t="str">
        <f aca="false">A1372&amp;"|"&amp;B1372</f>
        <v>the taxi|el taxi</v>
      </c>
    </row>
    <row r="1373" customFormat="false" ht="15.75" hidden="false" customHeight="false" outlineLevel="0" collapsed="false">
      <c r="A1373" s="4" t="s">
        <v>2666</v>
      </c>
      <c r="B1373" s="5" t="s">
        <v>2667</v>
      </c>
      <c r="C1373" s="10" t="s">
        <v>2653</v>
      </c>
      <c r="D1373" s="6"/>
      <c r="E1373" s="7" t="str">
        <f aca="false">IFERROR(__xludf.dummyfunction("lower(GOOGLETRANSLATE(B1373,""es"",""en""))"),"the money")</f>
        <v>the money</v>
      </c>
      <c r="F1373" s="7" t="str">
        <f aca="false">IFERROR(__xludf.dummyfunction("lower(GOOGLETRANSLATE(A1373,""en"",""es""))"),"el dinero")</f>
        <v>el dinero</v>
      </c>
      <c r="H1373" s="0" t="str">
        <f aca="false">A1373&amp;"|"&amp;B1373</f>
        <v>the money|el dinero</v>
      </c>
    </row>
    <row r="1374" customFormat="false" ht="15.75" hidden="false" customHeight="false" outlineLevel="0" collapsed="false">
      <c r="A1374" s="4" t="s">
        <v>2668</v>
      </c>
      <c r="B1374" s="5" t="s">
        <v>2669</v>
      </c>
      <c r="C1374" s="10" t="s">
        <v>2653</v>
      </c>
      <c r="D1374" s="6"/>
      <c r="E1374" s="7" t="str">
        <f aca="false">IFERROR(__xludf.dummyfunction("lower(GOOGLETRANSLATE(B1374,""es"",""en""))"),"suitcase")</f>
        <v>suitcase</v>
      </c>
      <c r="F1374" s="7" t="str">
        <f aca="false">IFERROR(__xludf.dummyfunction("lower(GOOGLETRANSLATE(A1374,""en"",""es""))"),"la maleta")</f>
        <v>la maleta</v>
      </c>
      <c r="H1374" s="0" t="str">
        <f aca="false">A1374&amp;"|"&amp;B1374</f>
        <v>the suitcase|la maleta</v>
      </c>
    </row>
    <row r="1375" customFormat="false" ht="15.75" hidden="false" customHeight="false" outlineLevel="0" collapsed="false">
      <c r="A1375" s="4" t="s">
        <v>2670</v>
      </c>
      <c r="B1375" s="5" t="s">
        <v>2671</v>
      </c>
      <c r="C1375" s="10" t="s">
        <v>2565</v>
      </c>
      <c r="D1375" s="6"/>
      <c r="E1375" s="7" t="str">
        <f aca="false">IFERROR(__xludf.dummyfunction("lower(GOOGLETRANSLATE(B1375,""es"",""en""))"),"the spider")</f>
        <v>the spider</v>
      </c>
      <c r="F1375" s="7" t="str">
        <f aca="false">IFERROR(__xludf.dummyfunction("lower(GOOGLETRANSLATE(A1375,""en"",""es""))"),"la araña")</f>
        <v>la araña</v>
      </c>
      <c r="H1375" s="0" t="str">
        <f aca="false">A1375&amp;"|"&amp;B1375</f>
        <v>the spider|la araña</v>
      </c>
    </row>
    <row r="1376" customFormat="false" ht="15.75" hidden="false" customHeight="false" outlineLevel="0" collapsed="false">
      <c r="A1376" s="4" t="s">
        <v>2672</v>
      </c>
      <c r="B1376" s="5" t="s">
        <v>2673</v>
      </c>
      <c r="C1376" s="10" t="s">
        <v>2565</v>
      </c>
      <c r="D1376" s="6"/>
      <c r="E1376" s="7" t="str">
        <f aca="false">IFERROR(__xludf.dummyfunction("lower(GOOGLETRANSLATE(B1376,""es"",""en""))"),"the sheep")</f>
        <v>the sheep</v>
      </c>
      <c r="F1376" s="7" t="str">
        <f aca="false">IFERROR(__xludf.dummyfunction("lower(GOOGLETRANSLATE(A1376,""en"",""es""))"),"la oveja")</f>
        <v>la oveja</v>
      </c>
      <c r="H1376" s="0" t="str">
        <f aca="false">A1376&amp;"|"&amp;B1376</f>
        <v>the sheep|la oveja</v>
      </c>
    </row>
    <row r="1377" customFormat="false" ht="15.75" hidden="false" customHeight="false" outlineLevel="0" collapsed="false">
      <c r="A1377" s="4" t="s">
        <v>601</v>
      </c>
      <c r="B1377" s="5" t="s">
        <v>602</v>
      </c>
      <c r="C1377" s="10" t="s">
        <v>2674</v>
      </c>
      <c r="D1377" s="6"/>
      <c r="E1377" s="7" t="str">
        <f aca="false">IFERROR(__xludf.dummyfunction("lower(GOOGLETRANSLATE(B1377,""es"",""en""))"),"here")</f>
        <v>here</v>
      </c>
      <c r="F1377" s="7" t="str">
        <f aca="false">IFERROR(__xludf.dummyfunction("lower(GOOGLETRANSLATE(A1377,""en"",""es""))"),"aquí")</f>
        <v>aquí</v>
      </c>
      <c r="H1377" s="0" t="str">
        <f aca="false">A1377&amp;"|"&amp;B1377</f>
        <v>here|aquí</v>
      </c>
    </row>
    <row r="1378" customFormat="false" ht="15.75" hidden="false" customHeight="false" outlineLevel="0" collapsed="false">
      <c r="A1378" s="4" t="s">
        <v>605</v>
      </c>
      <c r="B1378" s="5" t="s">
        <v>606</v>
      </c>
      <c r="C1378" s="10" t="s">
        <v>2674</v>
      </c>
      <c r="D1378" s="6"/>
      <c r="E1378" s="7" t="str">
        <f aca="false">IFERROR(__xludf.dummyfunction("lower(GOOGLETRANSLATE(B1378,""es"",""en""))"),"there")</f>
        <v>there</v>
      </c>
      <c r="F1378" s="7" t="str">
        <f aca="false">IFERROR(__xludf.dummyfunction("lower(GOOGLETRANSLATE(A1378,""en"",""es""))"),"allí")</f>
        <v>allí</v>
      </c>
      <c r="H1378" s="0" t="str">
        <f aca="false">A1378&amp;"|"&amp;B1378</f>
        <v>there|allí</v>
      </c>
    </row>
    <row r="1379" customFormat="false" ht="15.75" hidden="false" customHeight="false" outlineLevel="0" collapsed="false">
      <c r="A1379" s="4" t="s">
        <v>2675</v>
      </c>
      <c r="B1379" s="5" t="s">
        <v>2676</v>
      </c>
      <c r="C1379" s="10" t="s">
        <v>2674</v>
      </c>
      <c r="D1379" s="6"/>
      <c r="E1379" s="7" t="str">
        <f aca="false">IFERROR(__xludf.dummyfunction("lower(GOOGLETRANSLATE(B1379,""es"",""en""))"),"where")</f>
        <v>where</v>
      </c>
      <c r="F1379" s="7" t="str">
        <f aca="false">IFERROR(__xludf.dummyfunction("lower(GOOGLETRANSLATE(A1379,""en"",""es""))"),"dónde")</f>
        <v>dónde</v>
      </c>
      <c r="H1379" s="0" t="str">
        <f aca="false">A1379&amp;"|"&amp;B1379</f>
        <v>where|dónde</v>
      </c>
    </row>
    <row r="1380" customFormat="false" ht="15.75" hidden="false" customHeight="false" outlineLevel="0" collapsed="false">
      <c r="A1380" s="4" t="s">
        <v>2677</v>
      </c>
      <c r="B1380" s="5" t="s">
        <v>2678</v>
      </c>
      <c r="C1380" s="10" t="s">
        <v>2674</v>
      </c>
      <c r="D1380" s="6"/>
      <c r="E1380" s="7" t="str">
        <f aca="false">IFERROR(__xludf.dummyfunction("lower(GOOGLETRANSLATE(B1380,""es"",""en""))"),"the right")</f>
        <v>the right</v>
      </c>
      <c r="F1380" s="7" t="str">
        <f aca="false">IFERROR(__xludf.dummyfunction("lower(GOOGLETRANSLATE(A1380,""en"",""es""))"),"la derecha")</f>
        <v>la derecha</v>
      </c>
      <c r="H1380" s="0" t="str">
        <f aca="false">A1380&amp;"|"&amp;B1380</f>
        <v>the right|la derecha</v>
      </c>
    </row>
    <row r="1381" customFormat="false" ht="15.75" hidden="false" customHeight="false" outlineLevel="0" collapsed="false">
      <c r="A1381" s="4" t="s">
        <v>2679</v>
      </c>
      <c r="B1381" s="5" t="s">
        <v>2680</v>
      </c>
      <c r="C1381" s="10" t="s">
        <v>2674</v>
      </c>
      <c r="D1381" s="6"/>
      <c r="E1381" s="7" t="str">
        <f aca="false">IFERROR(__xludf.dummyfunction("lower(GOOGLETRANSLATE(B1381,""es"",""en""))"),"the left")</f>
        <v>the left</v>
      </c>
      <c r="F1381" s="7" t="str">
        <f aca="false">IFERROR(__xludf.dummyfunction("lower(GOOGLETRANSLATE(A1381,""en"",""es""))"),"la izquierda")</f>
        <v>la izquierda</v>
      </c>
      <c r="H1381" s="0" t="str">
        <f aca="false">A1381&amp;"|"&amp;B1381</f>
        <v>the left|la izquierda</v>
      </c>
    </row>
    <row r="1382" customFormat="false" ht="15.75" hidden="false" customHeight="false" outlineLevel="0" collapsed="false">
      <c r="A1382" s="4" t="s">
        <v>2681</v>
      </c>
      <c r="B1382" s="5" t="s">
        <v>2682</v>
      </c>
      <c r="C1382" s="10" t="s">
        <v>2674</v>
      </c>
      <c r="D1382" s="6"/>
      <c r="E1382" s="7" t="str">
        <f aca="false">IFERROR(__xludf.dummyfunction("lower(GOOGLETRANSLATE(B1382,""es"",""en""))"),"far")</f>
        <v>far</v>
      </c>
      <c r="F1382" s="7" t="str">
        <f aca="false">IFERROR(__xludf.dummyfunction("lower(GOOGLETRANSLATE(A1382,""en"",""es""))"),"lejos")</f>
        <v>lejos</v>
      </c>
      <c r="H1382" s="0" t="str">
        <f aca="false">A1382&amp;"|"&amp;B1382</f>
        <v>far|lejos</v>
      </c>
    </row>
    <row r="1383" customFormat="false" ht="15.75" hidden="false" customHeight="false" outlineLevel="0" collapsed="false">
      <c r="A1383" s="4" t="s">
        <v>2683</v>
      </c>
      <c r="B1383" s="5" t="s">
        <v>2684</v>
      </c>
      <c r="C1383" s="10" t="s">
        <v>2674</v>
      </c>
      <c r="D1383" s="6"/>
      <c r="E1383" s="7" t="str">
        <f aca="false">IFERROR(__xludf.dummyfunction("lower(GOOGLETRANSLATE(B1383,""es"",""en""))"),"near")</f>
        <v>near</v>
      </c>
      <c r="F1383" s="7" t="str">
        <f aca="false">IFERROR(__xludf.dummyfunction("lower(GOOGLETRANSLATE(A1383,""en"",""es""))"),"cerca")</f>
        <v>cerca</v>
      </c>
      <c r="H1383" s="0" t="str">
        <f aca="false">A1383&amp;"|"&amp;B1383</f>
        <v>close|cerca</v>
      </c>
    </row>
    <row r="1384" customFormat="false" ht="15.75" hidden="false" customHeight="false" outlineLevel="0" collapsed="false">
      <c r="A1384" s="4" t="s">
        <v>2685</v>
      </c>
      <c r="B1384" s="5" t="s">
        <v>2686</v>
      </c>
      <c r="C1384" s="10" t="s">
        <v>2674</v>
      </c>
      <c r="D1384" s="6"/>
      <c r="E1384" s="7" t="str">
        <f aca="false">IFERROR(__xludf.dummyfunction("lower(GOOGLETRANSLATE(B1384,""es"",""en""))"),"the north")</f>
        <v>the north</v>
      </c>
      <c r="F1384" s="7" t="str">
        <f aca="false">IFERROR(__xludf.dummyfunction("lower(GOOGLETRANSLATE(A1384,""en"",""es""))"),"el norte")</f>
        <v>el norte</v>
      </c>
      <c r="H1384" s="0" t="str">
        <f aca="false">A1384&amp;"|"&amp;B1384</f>
        <v>the north|el norte</v>
      </c>
    </row>
    <row r="1385" customFormat="false" ht="15.75" hidden="false" customHeight="false" outlineLevel="0" collapsed="false">
      <c r="A1385" s="4" t="s">
        <v>2687</v>
      </c>
      <c r="B1385" s="5" t="s">
        <v>2688</v>
      </c>
      <c r="C1385" s="10" t="s">
        <v>2674</v>
      </c>
      <c r="D1385" s="6"/>
      <c r="E1385" s="7" t="str">
        <f aca="false">IFERROR(__xludf.dummyfunction("lower(GOOGLETRANSLATE(B1385,""es"",""en""))"),"the south")</f>
        <v>the south</v>
      </c>
      <c r="F1385" s="7" t="str">
        <f aca="false">IFERROR(__xludf.dummyfunction("lower(GOOGLETRANSLATE(A1385,""en"",""es""))"),"el sur")</f>
        <v>el sur</v>
      </c>
      <c r="H1385" s="0" t="str">
        <f aca="false">A1385&amp;"|"&amp;B1385</f>
        <v>the south|el sur</v>
      </c>
    </row>
    <row r="1386" customFormat="false" ht="15.75" hidden="false" customHeight="false" outlineLevel="0" collapsed="false">
      <c r="A1386" s="4" t="s">
        <v>2689</v>
      </c>
      <c r="B1386" s="5" t="s">
        <v>2690</v>
      </c>
      <c r="C1386" s="10" t="s">
        <v>2674</v>
      </c>
      <c r="D1386" s="6"/>
      <c r="E1386" s="7" t="str">
        <f aca="false">IFERROR(__xludf.dummyfunction("lower(GOOGLETRANSLATE(B1386,""es"",""en""))"),"west")</f>
        <v>west</v>
      </c>
      <c r="F1386" s="7" t="str">
        <f aca="false">IFERROR(__xludf.dummyfunction("lower(GOOGLETRANSLATE(A1386,""en"",""es""))"),"oeste")</f>
        <v>oeste</v>
      </c>
      <c r="H1386" s="0" t="str">
        <f aca="false">A1386&amp;"|"&amp;B1386</f>
        <v>west|el oeste</v>
      </c>
    </row>
    <row r="1387" customFormat="false" ht="15.75" hidden="false" customHeight="false" outlineLevel="0" collapsed="false">
      <c r="A1387" s="4" t="s">
        <v>2691</v>
      </c>
      <c r="B1387" s="5" t="s">
        <v>2692</v>
      </c>
      <c r="C1387" s="10" t="s">
        <v>2674</v>
      </c>
      <c r="D1387" s="6"/>
      <c r="E1387" s="7" t="str">
        <f aca="false">IFERROR(__xludf.dummyfunction("lower(GOOGLETRANSLATE(B1387,""es"",""en""))"),"the east")</f>
        <v>the east</v>
      </c>
      <c r="F1387" s="7" t="str">
        <f aca="false">IFERROR(__xludf.dummyfunction("lower(GOOGLETRANSLATE(A1387,""en"",""es""))"),"este")</f>
        <v>este</v>
      </c>
      <c r="H1387" s="0" t="str">
        <f aca="false">A1387&amp;"|"&amp;B1387</f>
        <v>east|el este</v>
      </c>
    </row>
    <row r="1388" customFormat="false" ht="15.75" hidden="false" customHeight="false" outlineLevel="0" collapsed="false">
      <c r="A1388" s="4" t="s">
        <v>2693</v>
      </c>
      <c r="B1388" s="5" t="s">
        <v>2694</v>
      </c>
      <c r="C1388" s="10" t="s">
        <v>2674</v>
      </c>
      <c r="D1388" s="6"/>
      <c r="E1388" s="7" t="str">
        <f aca="false">IFERROR(__xludf.dummyfunction("lower(GOOGLETRANSLATE(B1388,""es"",""en""))"),"above")</f>
        <v>above</v>
      </c>
      <c r="F1388" s="7" t="str">
        <f aca="false">IFERROR(__xludf.dummyfunction("lower(GOOGLETRANSLATE(A1388,""en"",""es""))"),"arriba")</f>
        <v>arriba</v>
      </c>
      <c r="H1388" s="0" t="str">
        <f aca="false">A1388&amp;"|"&amp;B1388</f>
        <v>up|arriba</v>
      </c>
    </row>
    <row r="1389" customFormat="false" ht="15.75" hidden="false" customHeight="false" outlineLevel="0" collapsed="false">
      <c r="A1389" s="4" t="s">
        <v>2695</v>
      </c>
      <c r="B1389" s="5" t="s">
        <v>2696</v>
      </c>
      <c r="C1389" s="10" t="s">
        <v>2674</v>
      </c>
      <c r="D1389" s="6"/>
      <c r="E1389" s="7" t="str">
        <f aca="false">IFERROR(__xludf.dummyfunction("lower(GOOGLETRANSLATE(B1389,""es"",""en""))"),"down")</f>
        <v>down</v>
      </c>
      <c r="F1389" s="7" t="str">
        <f aca="false">IFERROR(__xludf.dummyfunction("lower(GOOGLETRANSLATE(A1389,""en"",""es""))"),"abajo")</f>
        <v>abajo</v>
      </c>
      <c r="H1389" s="0" t="str">
        <f aca="false">A1389&amp;"|"&amp;B1389</f>
        <v>down|abajo</v>
      </c>
    </row>
    <row r="1390" customFormat="false" ht="15.75" hidden="false" customHeight="false" outlineLevel="0" collapsed="false">
      <c r="A1390" s="4" t="s">
        <v>2697</v>
      </c>
      <c r="B1390" s="5" t="s">
        <v>2698</v>
      </c>
      <c r="C1390" s="10" t="s">
        <v>2674</v>
      </c>
      <c r="D1390" s="6"/>
      <c r="E1390" s="7" t="str">
        <f aca="false">IFERROR(__xludf.dummyfunction("lower(GOOGLETRANSLATE(B1390,""es"",""en""))"),"the front")</f>
        <v>the front</v>
      </c>
      <c r="F1390" s="7" t="str">
        <f aca="false">IFERROR(__xludf.dummyfunction("lower(GOOGLETRANSLATE(A1390,""en"",""es""))"),"el frente")</f>
        <v>el frente</v>
      </c>
      <c r="H1390" s="0" t="str">
        <f aca="false">A1390&amp;"|"&amp;B1390</f>
        <v>the front|el frente</v>
      </c>
    </row>
    <row r="1391" customFormat="false" ht="15.75" hidden="false" customHeight="false" outlineLevel="0" collapsed="false">
      <c r="A1391" s="4" t="s">
        <v>2699</v>
      </c>
      <c r="B1391" s="5" t="s">
        <v>2700</v>
      </c>
      <c r="C1391" s="10" t="s">
        <v>2674</v>
      </c>
      <c r="D1391" s="6"/>
      <c r="E1391" s="7" t="str">
        <f aca="false">IFERROR(__xludf.dummyfunction("lower(GOOGLETRANSLATE(B1391,""es"",""en""))"),"back")</f>
        <v>back</v>
      </c>
      <c r="F1391" s="7" t="str">
        <f aca="false">IFERROR(__xludf.dummyfunction("lower(GOOGLETRANSLATE(A1391,""en"",""es""))"),"espalda")</f>
        <v>espalda</v>
      </c>
      <c r="H1391" s="0" t="str">
        <f aca="false">A1391&amp;"|"&amp;B1391</f>
        <v>back|espalda</v>
      </c>
    </row>
    <row r="1392" customFormat="false" ht="15.75" hidden="false" customHeight="false" outlineLevel="0" collapsed="false">
      <c r="A1392" s="4" t="s">
        <v>2701</v>
      </c>
      <c r="B1392" s="5" t="s">
        <v>2702</v>
      </c>
      <c r="C1392" s="10" t="s">
        <v>2674</v>
      </c>
      <c r="D1392" s="6"/>
      <c r="E1392" s="7" t="str">
        <f aca="false">IFERROR(__xludf.dummyfunction("lower(GOOGLETRANSLATE(B1392,""es"",""en""))"),"by side")</f>
        <v>by side</v>
      </c>
      <c r="F1392" s="7" t="str">
        <f aca="false">IFERROR(__xludf.dummyfunction("lower(GOOGLETRANSLATE(A1392,""en"",""es""))"),"cerca de")</f>
        <v>cerca de</v>
      </c>
      <c r="H1392" s="0" t="str">
        <f aca="false">A1392&amp;"|"&amp;B1392</f>
        <v>next to|a lado</v>
      </c>
    </row>
    <row r="1393" customFormat="false" ht="15.75" hidden="false" customHeight="false" outlineLevel="0" collapsed="false">
      <c r="A1393" s="4" t="s">
        <v>2703</v>
      </c>
      <c r="B1393" s="5" t="s">
        <v>2704</v>
      </c>
      <c r="C1393" s="10" t="s">
        <v>2674</v>
      </c>
      <c r="D1393" s="6"/>
      <c r="E1393" s="7" t="str">
        <f aca="false">IFERROR(__xludf.dummyfunction("lower(GOOGLETRANSLATE(B1393,""es"",""en""))"),"over")</f>
        <v>over</v>
      </c>
      <c r="F1393" s="7" t="str">
        <f aca="false">IFERROR(__xludf.dummyfunction("lower(GOOGLETRANSLATE(A1393,""en"",""es""))"),"encima")</f>
        <v>encima</v>
      </c>
      <c r="H1393" s="0" t="str">
        <f aca="false">A1393&amp;"|"&amp;B1393</f>
        <v>above|encima</v>
      </c>
    </row>
    <row r="1394" customFormat="false" ht="15.75" hidden="false" customHeight="false" outlineLevel="0" collapsed="false">
      <c r="A1394" s="4" t="s">
        <v>2705</v>
      </c>
      <c r="B1394" s="5" t="s">
        <v>2696</v>
      </c>
      <c r="C1394" s="10" t="s">
        <v>2674</v>
      </c>
      <c r="D1394" s="6"/>
      <c r="E1394" s="7" t="str">
        <f aca="false">IFERROR(__xludf.dummyfunction("lower(GOOGLETRANSLATE(B1394,""es"",""en""))"),"down")</f>
        <v>down</v>
      </c>
      <c r="F1394" s="7" t="str">
        <f aca="false">IFERROR(__xludf.dummyfunction("lower(GOOGLETRANSLATE(A1394,""en"",""es""))"),"abajo")</f>
        <v>abajo</v>
      </c>
      <c r="H1394" s="0" t="str">
        <f aca="false">A1394&amp;"|"&amp;B1394</f>
        <v>below|abajo</v>
      </c>
    </row>
    <row r="1395" customFormat="false" ht="15.75" hidden="false" customHeight="false" outlineLevel="0" collapsed="false">
      <c r="A1395" s="4" t="s">
        <v>452</v>
      </c>
      <c r="B1395" s="5" t="s">
        <v>453</v>
      </c>
      <c r="C1395" s="10" t="s">
        <v>2706</v>
      </c>
      <c r="D1395" s="6"/>
      <c r="E1395" s="7" t="str">
        <f aca="false">IFERROR(__xludf.dummyfunction("lower(GOOGLETRANSLATE(B1395,""es"",""en""))"),"the pencil")</f>
        <v>the pencil</v>
      </c>
      <c r="F1395" s="7" t="str">
        <f aca="false">IFERROR(__xludf.dummyfunction("lower(GOOGLETRANSLATE(A1395,""en"",""es""))"),"el lápiz")</f>
        <v>el lápiz</v>
      </c>
      <c r="H1395" s="0" t="str">
        <f aca="false">A1395&amp;"|"&amp;B1395</f>
        <v>the pencil|el lápiz</v>
      </c>
    </row>
    <row r="1396" customFormat="false" ht="15.75" hidden="false" customHeight="false" outlineLevel="0" collapsed="false">
      <c r="A1396" s="4" t="s">
        <v>2707</v>
      </c>
      <c r="B1396" s="5" t="s">
        <v>2708</v>
      </c>
      <c r="C1396" s="10" t="s">
        <v>2706</v>
      </c>
      <c r="D1396" s="6"/>
      <c r="E1396" s="7" t="str">
        <f aca="false">IFERROR(__xludf.dummyfunction("lower(GOOGLETRANSLATE(B1396,""es"",""en""))"),"la classe")</f>
        <v>la classe</v>
      </c>
      <c r="F1396" s="7" t="str">
        <f aca="false">IFERROR(__xludf.dummyfunction("lower(GOOGLETRANSLATE(A1396,""en"",""es""))"),"la clase")</f>
        <v>la clase</v>
      </c>
      <c r="H1396" s="0" t="str">
        <f aca="false">A1396&amp;"|"&amp;B1396</f>
        <v>the class|la classe</v>
      </c>
    </row>
    <row r="1397" customFormat="false" ht="15.75" hidden="false" customHeight="false" outlineLevel="0" collapsed="false">
      <c r="A1397" s="4" t="s">
        <v>525</v>
      </c>
      <c r="B1397" s="5" t="s">
        <v>2709</v>
      </c>
      <c r="C1397" s="10" t="s">
        <v>2706</v>
      </c>
      <c r="D1397" s="6"/>
      <c r="E1397" s="7" t="str">
        <f aca="false">IFERROR(__xludf.dummyfunction("lower(GOOGLETRANSLATE(B1397,""es"",""en""))"),"teacher")</f>
        <v>teacher</v>
      </c>
      <c r="F1397" s="7" t="str">
        <f aca="false">IFERROR(__xludf.dummyfunction("lower(GOOGLETRANSLATE(A1397,""en"",""es""))"),"el maestro")</f>
        <v>el maestro</v>
      </c>
      <c r="H1397" s="0" t="str">
        <f aca="false">A1397&amp;"|"&amp;B1397</f>
        <v>the teacher|el maestro</v>
      </c>
    </row>
    <row r="1398" customFormat="false" ht="15.75" hidden="false" customHeight="false" outlineLevel="0" collapsed="false">
      <c r="A1398" s="4" t="s">
        <v>521</v>
      </c>
      <c r="B1398" s="5" t="s">
        <v>2710</v>
      </c>
      <c r="C1398" s="10" t="s">
        <v>2706</v>
      </c>
      <c r="D1398" s="6"/>
      <c r="E1398" s="7" t="str">
        <f aca="false">IFERROR(__xludf.dummyfunction("lower(GOOGLETRANSLATE(B1398,""es"",""en""))"),"the studiante")</f>
        <v>the studiante</v>
      </c>
      <c r="F1398" s="7" t="str">
        <f aca="false">IFERROR(__xludf.dummyfunction("lower(GOOGLETRANSLATE(A1398,""en"",""es""))"),"el estudiante")</f>
        <v>el estudiante</v>
      </c>
      <c r="H1398" s="0" t="str">
        <f aca="false">A1398&amp;"|"&amp;B1398</f>
        <v>the student|el studiante</v>
      </c>
    </row>
    <row r="1399" customFormat="false" ht="15.75" hidden="false" customHeight="false" outlineLevel="0" collapsed="false">
      <c r="A1399" s="4" t="s">
        <v>447</v>
      </c>
      <c r="B1399" s="5" t="s">
        <v>2711</v>
      </c>
      <c r="C1399" s="10" t="s">
        <v>2712</v>
      </c>
      <c r="D1399" s="6"/>
      <c r="E1399" s="7" t="str">
        <f aca="false">IFERROR(__xludf.dummyfunction("lower(GOOGLETRANSLATE(B1399,""es"",""en""))"),"the computer")</f>
        <v>the computer</v>
      </c>
      <c r="F1399" s="7" t="str">
        <f aca="false">IFERROR(__xludf.dummyfunction("lower(GOOGLETRANSLATE(A1399,""en"",""es""))"),"el ordenador")</f>
        <v>el ordenador</v>
      </c>
      <c r="H1399" s="0" t="str">
        <f aca="false">A1399&amp;"|"&amp;B1399</f>
        <v>the computer|la computador</v>
      </c>
    </row>
    <row r="1400" customFormat="false" ht="15.75" hidden="false" customHeight="false" outlineLevel="0" collapsed="false">
      <c r="A1400" s="4" t="s">
        <v>457</v>
      </c>
      <c r="B1400" s="5" t="s">
        <v>2713</v>
      </c>
      <c r="C1400" s="10" t="s">
        <v>2712</v>
      </c>
      <c r="D1400" s="6"/>
      <c r="E1400" s="7" t="str">
        <f aca="false">IFERROR(__xludf.dummyfunction("lower(GOOGLETRANSLATE(B1400,""es"",""en""))"),"the escritoro")</f>
        <v>the escritoro</v>
      </c>
      <c r="F1400" s="7" t="str">
        <f aca="false">IFERROR(__xludf.dummyfunction("lower(GOOGLETRANSLATE(A1400,""en"",""es""))"),"el escritorio")</f>
        <v>el escritorio</v>
      </c>
      <c r="H1400" s="0" t="str">
        <f aca="false">A1400&amp;"|"&amp;B1400</f>
        <v>the desk|el escritoro</v>
      </c>
    </row>
    <row r="1401" customFormat="false" ht="15.75" hidden="false" customHeight="false" outlineLevel="0" collapsed="false">
      <c r="A1401" s="4" t="s">
        <v>2714</v>
      </c>
      <c r="B1401" s="5" t="s">
        <v>2715</v>
      </c>
      <c r="C1401" s="9"/>
      <c r="D1401" s="6"/>
      <c r="E1401" s="7" t="str">
        <f aca="false">IFERROR(__xludf.dummyfunction("lower(GOOGLETRANSLATE(B1401,""es"",""en""))"),"the watch")</f>
        <v>the watch</v>
      </c>
      <c r="F1401" s="7" t="str">
        <f aca="false">IFERROR(__xludf.dummyfunction("lower(GOOGLETRANSLATE(A1401,""en"",""es""))"),"el reloj")</f>
        <v>el reloj</v>
      </c>
      <c r="H1401" s="0" t="str">
        <f aca="false">A1401&amp;"|"&amp;B1401</f>
        <v>the clock|el reloj</v>
      </c>
    </row>
    <row r="1402" customFormat="false" ht="15.75" hidden="false" customHeight="false" outlineLevel="0" collapsed="false">
      <c r="A1402" s="4" t="s">
        <v>2716</v>
      </c>
      <c r="B1402" s="5" t="s">
        <v>2717</v>
      </c>
      <c r="C1402" s="9"/>
      <c r="D1402" s="6"/>
      <c r="E1402" s="7" t="str">
        <f aca="false">IFERROR(__xludf.dummyfunction("lower(GOOGLETRANSLATE(B1402,""es"",""en""))"),"the chapter")</f>
        <v>the chapter</v>
      </c>
      <c r="F1402" s="7" t="str">
        <f aca="false">IFERROR(__xludf.dummyfunction("lower(GOOGLETRANSLATE(A1402,""en"",""es""))"),"el capítulo")</f>
        <v>el capítulo</v>
      </c>
      <c r="H1402" s="0" t="str">
        <f aca="false">A1402&amp;"|"&amp;B1402</f>
        <v>the chapter|el capítulo</v>
      </c>
    </row>
    <row r="1403" customFormat="false" ht="15.75" hidden="false" customHeight="false" outlineLevel="0" collapsed="false">
      <c r="A1403" s="4" t="s">
        <v>2718</v>
      </c>
      <c r="B1403" s="5" t="s">
        <v>2719</v>
      </c>
      <c r="C1403" s="9"/>
      <c r="D1403" s="6"/>
      <c r="E1403" s="7" t="str">
        <f aca="false">IFERROR(__xludf.dummyfunction("lower(GOOGLETRANSLATE(B1403,""es"",""en""))"),"the topic")</f>
        <v>the topic</v>
      </c>
      <c r="F1403" s="7" t="str">
        <f aca="false">IFERROR(__xludf.dummyfunction("lower(GOOGLETRANSLATE(A1403,""en"",""es""))"),"el tema")</f>
        <v>el tema</v>
      </c>
      <c r="H1403" s="0" t="str">
        <f aca="false">A1403&amp;"|"&amp;B1403</f>
        <v>the topic|el tema</v>
      </c>
    </row>
    <row r="1404" customFormat="false" ht="15.75" hidden="false" customHeight="false" outlineLevel="0" collapsed="false">
      <c r="A1404" s="4" t="s">
        <v>2720</v>
      </c>
      <c r="B1404" s="5" t="s">
        <v>2721</v>
      </c>
      <c r="C1404" s="9"/>
      <c r="D1404" s="6"/>
      <c r="E1404" s="7" t="str">
        <f aca="false">IFERROR(__xludf.dummyfunction("lower(GOOGLETRANSLATE(B1404,""es"",""en""))"),"the achievement")</f>
        <v>the achievement</v>
      </c>
      <c r="F1404" s="7" t="str">
        <f aca="false">IFERROR(__xludf.dummyfunction("lower(GOOGLETRANSLATE(A1404,""en"",""es""))"),"el logro")</f>
        <v>el logro</v>
      </c>
      <c r="H1404" s="0" t="str">
        <f aca="false">A1404&amp;"|"&amp;B1404</f>
        <v>the achievement|el logro</v>
      </c>
    </row>
    <row r="1405" customFormat="false" ht="15.75" hidden="false" customHeight="false" outlineLevel="0" collapsed="false">
      <c r="A1405" s="4" t="s">
        <v>2722</v>
      </c>
      <c r="B1405" s="5" t="s">
        <v>2205</v>
      </c>
      <c r="C1405" s="9"/>
      <c r="D1405" s="6"/>
      <c r="E1405" s="7" t="str">
        <f aca="false">IFERROR(__xludf.dummyfunction("lower(GOOGLETRANSLATE(B1405,""es"",""en""))"),"the bag")</f>
        <v>the bag</v>
      </c>
      <c r="F1405" s="7" t="str">
        <f aca="false">IFERROR(__xludf.dummyfunction("lower(GOOGLETRANSLATE(A1405,""en"",""es""))"),"la bolsa")</f>
        <v>la bolsa</v>
      </c>
      <c r="H1405" s="0" t="str">
        <f aca="false">A1405&amp;"|"&amp;B1405</f>
        <v>the purse|la bolsa</v>
      </c>
    </row>
    <row r="1406" customFormat="false" ht="15.75" hidden="false" customHeight="false" outlineLevel="0" collapsed="false">
      <c r="A1406" s="4" t="s">
        <v>2210</v>
      </c>
      <c r="B1406" s="5" t="s">
        <v>2211</v>
      </c>
      <c r="C1406" s="10" t="s">
        <v>2558</v>
      </c>
      <c r="D1406" s="6"/>
      <c r="E1406" s="7" t="str">
        <f aca="false">IFERROR(__xludf.dummyfunction("lower(GOOGLETRANSLATE(B1406,""es"",""en""))"),"shirt")</f>
        <v>shirt</v>
      </c>
      <c r="F1406" s="7" t="str">
        <f aca="false">IFERROR(__xludf.dummyfunction("lower(GOOGLETRANSLATE(A1406,""en"",""es""))"),"la camisa")</f>
        <v>la camisa</v>
      </c>
      <c r="H1406" s="0" t="str">
        <f aca="false">A1406&amp;"|"&amp;B1406</f>
        <v>the shirt|la camisa</v>
      </c>
    </row>
    <row r="1407" customFormat="false" ht="15.75" hidden="false" customHeight="false" outlineLevel="0" collapsed="false">
      <c r="A1407" s="4" t="s">
        <v>2485</v>
      </c>
      <c r="B1407" s="5" t="s">
        <v>2486</v>
      </c>
      <c r="C1407" s="10" t="s">
        <v>2558</v>
      </c>
      <c r="D1407" s="6"/>
      <c r="E1407" s="7" t="str">
        <f aca="false">IFERROR(__xludf.dummyfunction("lower(GOOGLETRANSLATE(B1407,""es"",""en""))"),"the coat")</f>
        <v>the coat</v>
      </c>
      <c r="F1407" s="7" t="str">
        <f aca="false">IFERROR(__xludf.dummyfunction("lower(GOOGLETRANSLATE(A1407,""en"",""es""))"),"el abrigo")</f>
        <v>el abrigo</v>
      </c>
      <c r="H1407" s="0" t="str">
        <f aca="false">A1407&amp;"|"&amp;B1407</f>
        <v>the coat|el abrigo</v>
      </c>
    </row>
    <row r="1408" customFormat="false" ht="15.75" hidden="false" customHeight="false" outlineLevel="0" collapsed="false">
      <c r="A1408" s="4" t="s">
        <v>2214</v>
      </c>
      <c r="B1408" s="5" t="s">
        <v>2723</v>
      </c>
      <c r="C1408" s="10" t="s">
        <v>2558</v>
      </c>
      <c r="D1408" s="6"/>
      <c r="E1408" s="7" t="str">
        <f aca="false">IFERROR(__xludf.dummyfunction("lower(GOOGLETRANSLATE(B1408,""es"",""en""))"),"the jacket")</f>
        <v>the jacket</v>
      </c>
      <c r="F1408" s="7" t="str">
        <f aca="false">IFERROR(__xludf.dummyfunction("lower(GOOGLETRANSLATE(A1408,""en"",""es""))"),"la chaqueta")</f>
        <v>la chaqueta</v>
      </c>
      <c r="H1408" s="0" t="str">
        <f aca="false">A1408&amp;"|"&amp;B1408</f>
        <v>the jacket|la chaqueta</v>
      </c>
    </row>
    <row r="1409" customFormat="false" ht="15.75" hidden="false" customHeight="false" outlineLevel="0" collapsed="false">
      <c r="A1409" s="4" t="s">
        <v>2724</v>
      </c>
      <c r="B1409" s="5" t="s">
        <v>2725</v>
      </c>
      <c r="C1409" s="10" t="s">
        <v>2558</v>
      </c>
      <c r="D1409" s="6"/>
      <c r="E1409" s="7" t="str">
        <f aca="false">IFERROR(__xludf.dummyfunction("lower(GOOGLETRANSLATE(B1409,""es"",""en""))"),"the hat")</f>
        <v>the hat</v>
      </c>
      <c r="F1409" s="7" t="str">
        <f aca="false">IFERROR(__xludf.dummyfunction("lower(GOOGLETRANSLATE(A1409,""en"",""es""))"),"el sombrero")</f>
        <v>el sombrero</v>
      </c>
      <c r="H1409" s="0" t="str">
        <f aca="false">A1409&amp;"|"&amp;B1409</f>
        <v>the hat|el sombrero</v>
      </c>
    </row>
    <row r="1410" customFormat="false" ht="15.75" hidden="false" customHeight="false" outlineLevel="0" collapsed="false">
      <c r="A1410" s="4" t="s">
        <v>2726</v>
      </c>
      <c r="B1410" s="5" t="s">
        <v>2727</v>
      </c>
      <c r="C1410" s="10" t="s">
        <v>2496</v>
      </c>
      <c r="D1410" s="6"/>
      <c r="E1410" s="7" t="str">
        <f aca="false">IFERROR(__xludf.dummyfunction("lower(GOOGLETRANSLATE(B1410,""es"",""en""))"),"the apple")</f>
        <v>the apple</v>
      </c>
      <c r="F1410" s="7" t="str">
        <f aca="false">IFERROR(__xludf.dummyfunction("lower(GOOGLETRANSLATE(A1410,""en"",""es""))"),"la manzana")</f>
        <v>la manzana</v>
      </c>
      <c r="H1410" s="0" t="str">
        <f aca="false">A1410&amp;"|"&amp;B1410</f>
        <v>the apple|la manzana</v>
      </c>
    </row>
    <row r="1411" customFormat="false" ht="15.75" hidden="false" customHeight="false" outlineLevel="0" collapsed="false">
      <c r="A1411" s="4" t="s">
        <v>2728</v>
      </c>
      <c r="B1411" s="5" t="s">
        <v>2729</v>
      </c>
      <c r="C1411" s="10" t="s">
        <v>2496</v>
      </c>
      <c r="D1411" s="6"/>
      <c r="E1411" s="7" t="str">
        <f aca="false">IFERROR(__xludf.dummyfunction("lower(GOOGLETRANSLATE(B1411,""es"",""en""))"),"dessert")</f>
        <v>dessert</v>
      </c>
      <c r="F1411" s="7" t="str">
        <f aca="false">IFERROR(__xludf.dummyfunction("lower(GOOGLETRANSLATE(A1411,""en"",""es""))"),"el postre")</f>
        <v>el postre</v>
      </c>
      <c r="H1411" s="0" t="str">
        <f aca="false">A1411&amp;"|"&amp;B1411</f>
        <v>the dessert|el postre</v>
      </c>
    </row>
    <row r="1412" customFormat="false" ht="15.75" hidden="false" customHeight="false" outlineLevel="0" collapsed="false">
      <c r="A1412" s="4" t="s">
        <v>2730</v>
      </c>
      <c r="B1412" s="5" t="s">
        <v>2731</v>
      </c>
      <c r="C1412" s="10" t="s">
        <v>2496</v>
      </c>
      <c r="D1412" s="6"/>
      <c r="E1412" s="7" t="str">
        <f aca="false">IFERROR(__xludf.dummyfunction("lower(GOOGLETRANSLATE(B1412,""es"",""en""))"),"the waiter")</f>
        <v>the waiter</v>
      </c>
      <c r="F1412" s="7" t="str">
        <f aca="false">IFERROR(__xludf.dummyfunction("lower(GOOGLETRANSLATE(A1412,""en"",""es""))"),"el camarero")</f>
        <v>el camarero</v>
      </c>
      <c r="H1412" s="0" t="str">
        <f aca="false">A1412&amp;"|"&amp;B1412</f>
        <v>the waiter|el camarero</v>
      </c>
    </row>
    <row r="1413" customFormat="false" ht="15.75" hidden="false" customHeight="false" outlineLevel="0" collapsed="false">
      <c r="A1413" s="4" t="s">
        <v>1861</v>
      </c>
      <c r="B1413" s="5" t="s">
        <v>1863</v>
      </c>
      <c r="C1413" s="10" t="s">
        <v>2496</v>
      </c>
      <c r="D1413" s="6"/>
      <c r="E1413" s="7" t="str">
        <f aca="false">IFERROR(__xludf.dummyfunction("lower(GOOGLETRANSLATE(B1413,""es"",""en""))"),"the banana")</f>
        <v>the banana</v>
      </c>
      <c r="F1413" s="7" t="str">
        <f aca="false">IFERROR(__xludf.dummyfunction("lower(GOOGLETRANSLATE(A1413,""en"",""es""))"),"el plátano")</f>
        <v>el plátano</v>
      </c>
      <c r="H1413" s="0" t="str">
        <f aca="false">A1413&amp;"|"&amp;B1413</f>
        <v>the banana|la banana</v>
      </c>
    </row>
    <row r="1414" customFormat="false" ht="15.75" hidden="false" customHeight="false" outlineLevel="0" collapsed="false">
      <c r="A1414" s="4" t="s">
        <v>1853</v>
      </c>
      <c r="B1414" s="5" t="s">
        <v>2732</v>
      </c>
      <c r="C1414" s="10" t="s">
        <v>2496</v>
      </c>
      <c r="D1414" s="6"/>
      <c r="E1414" s="7" t="str">
        <f aca="false">IFERROR(__xludf.dummyfunction("lower(GOOGLETRANSLATE(B1414,""es"",""en""))"),"the orange")</f>
        <v>the orange</v>
      </c>
      <c r="F1414" s="7" t="str">
        <f aca="false">IFERROR(__xludf.dummyfunction("lower(GOOGLETRANSLATE(A1414,""en"",""es""))"),"la naranja")</f>
        <v>la naranja</v>
      </c>
      <c r="H1414" s="0" t="str">
        <f aca="false">A1414&amp;"|"&amp;B1414</f>
        <v>the orange|el naranja</v>
      </c>
    </row>
    <row r="1415" customFormat="false" ht="15.75" hidden="false" customHeight="false" outlineLevel="0" collapsed="false">
      <c r="A1415" s="4" t="s">
        <v>2733</v>
      </c>
      <c r="B1415" s="5" t="s">
        <v>2734</v>
      </c>
      <c r="C1415" s="10" t="s">
        <v>2496</v>
      </c>
      <c r="D1415" s="6"/>
      <c r="E1415" s="7" t="str">
        <f aca="false">IFERROR(__xludf.dummyfunction("lower(GOOGLETRANSLATE(B1415,""es"",""en""))"),"pizza")</f>
        <v>pizza</v>
      </c>
      <c r="F1415" s="7" t="str">
        <f aca="false">IFERROR(__xludf.dummyfunction("lower(GOOGLETRANSLATE(A1415,""en"",""es""))"),"la pizza")</f>
        <v>la pizza</v>
      </c>
      <c r="H1415" s="0" t="str">
        <f aca="false">A1415&amp;"|"&amp;B1415</f>
        <v>the pizza|la pizza</v>
      </c>
    </row>
    <row r="1416" customFormat="false" ht="15.75" hidden="false" customHeight="false" outlineLevel="0" collapsed="false">
      <c r="A1416" s="4" t="s">
        <v>2735</v>
      </c>
      <c r="B1416" s="5" t="s">
        <v>1837</v>
      </c>
      <c r="C1416" s="10" t="s">
        <v>2496</v>
      </c>
      <c r="D1416" s="6"/>
      <c r="E1416" s="7" t="str">
        <f aca="false">IFERROR(__xludf.dummyfunction("lower(GOOGLETRANSLATE(B1416,""es"",""en""))"),"salad")</f>
        <v>salad</v>
      </c>
      <c r="F1416" s="7" t="str">
        <f aca="false">IFERROR(__xludf.dummyfunction("lower(GOOGLETRANSLATE(A1416,""en"",""es""))"),"la ensalada")</f>
        <v>la ensalada</v>
      </c>
      <c r="H1416" s="0" t="str">
        <f aca="false">A1416&amp;"|"&amp;B1416</f>
        <v>the salad|la ensalada</v>
      </c>
    </row>
    <row r="1417" customFormat="false" ht="15.75" hidden="false" customHeight="false" outlineLevel="0" collapsed="false">
      <c r="A1417" s="4" t="s">
        <v>2736</v>
      </c>
      <c r="B1417" s="5" t="s">
        <v>2737</v>
      </c>
      <c r="C1417" s="10" t="s">
        <v>2496</v>
      </c>
      <c r="D1417" s="6"/>
      <c r="E1417" s="7" t="str">
        <f aca="false">IFERROR(__xludf.dummyfunction("lower(GOOGLETRANSLATE(B1417,""es"",""en""))"),"the sushi")</f>
        <v>the sushi</v>
      </c>
      <c r="F1417" s="7" t="str">
        <f aca="false">IFERROR(__xludf.dummyfunction("lower(GOOGLETRANSLATE(A1417,""en"",""es""))"),"el sushi")</f>
        <v>el sushi</v>
      </c>
      <c r="H1417" s="0" t="str">
        <f aca="false">A1417&amp;"|"&amp;B1417</f>
        <v>the sushi|el sushi</v>
      </c>
    </row>
    <row r="1418" customFormat="false" ht="15.75" hidden="false" customHeight="false" outlineLevel="0" collapsed="false">
      <c r="A1418" s="4" t="s">
        <v>1923</v>
      </c>
      <c r="B1418" s="5" t="s">
        <v>2738</v>
      </c>
      <c r="C1418" s="10" t="s">
        <v>2496</v>
      </c>
      <c r="D1418" s="6"/>
      <c r="E1418" s="7" t="str">
        <f aca="false">IFERROR(__xludf.dummyfunction("lower(GOOGLETRANSLATE(B1418,""es"",""en""))"),"the sandwich")</f>
        <v>the sandwich</v>
      </c>
      <c r="F1418" s="7" t="str">
        <f aca="false">IFERROR(__xludf.dummyfunction("lower(GOOGLETRANSLATE(A1418,""en"",""es""))"),"el sandwich")</f>
        <v>el sandwich</v>
      </c>
      <c r="H1418" s="0" t="str">
        <f aca="false">A1418&amp;"|"&amp;B1418</f>
        <v>the sandwich|el sandwich</v>
      </c>
    </row>
    <row r="1419" customFormat="false" ht="15.75" hidden="false" customHeight="false" outlineLevel="0" collapsed="false">
      <c r="A1419" s="4" t="s">
        <v>2739</v>
      </c>
      <c r="B1419" s="5" t="s">
        <v>2740</v>
      </c>
      <c r="C1419" s="10" t="s">
        <v>2496</v>
      </c>
      <c r="D1419" s="6"/>
      <c r="E1419" s="7" t="str">
        <f aca="false">IFERROR(__xludf.dummyfunction("lower(GOOGLETRANSLATE(B1419,""es"",""en""))"),"the bagel")</f>
        <v>the bagel</v>
      </c>
      <c r="F1419" s="7" t="str">
        <f aca="false">IFERROR(__xludf.dummyfunction("lower(GOOGLETRANSLATE(A1419,""en"",""es""))"),"el bagel")</f>
        <v>el bagel</v>
      </c>
      <c r="H1419" s="0" t="str">
        <f aca="false">A1419&amp;"|"&amp;B1419</f>
        <v>the bagel|el bagel</v>
      </c>
    </row>
    <row r="1420" customFormat="false" ht="15.75" hidden="false" customHeight="false" outlineLevel="0" collapsed="false">
      <c r="A1420" s="4" t="s">
        <v>1895</v>
      </c>
      <c r="B1420" s="5" t="s">
        <v>1896</v>
      </c>
      <c r="C1420" s="10" t="s">
        <v>2496</v>
      </c>
      <c r="D1420" s="6"/>
      <c r="E1420" s="7" t="str">
        <f aca="false">IFERROR(__xludf.dummyfunction("lower(GOOGLETRANSLATE(B1420,""es"",""en""))"),"the egg")</f>
        <v>the egg</v>
      </c>
      <c r="F1420" s="7" t="str">
        <f aca="false">IFERROR(__xludf.dummyfunction("lower(GOOGLETRANSLATE(A1420,""en"",""es""))"),"el huevo")</f>
        <v>el huevo</v>
      </c>
      <c r="H1420" s="0" t="str">
        <f aca="false">A1420&amp;"|"&amp;B1420</f>
        <v>the egg|el huevo</v>
      </c>
    </row>
    <row r="1421" customFormat="false" ht="15.75" hidden="false" customHeight="false" outlineLevel="0" collapsed="false">
      <c r="A1421" s="4" t="s">
        <v>1905</v>
      </c>
      <c r="B1421" s="5" t="s">
        <v>2741</v>
      </c>
      <c r="C1421" s="10" t="s">
        <v>2496</v>
      </c>
      <c r="D1421" s="6"/>
      <c r="E1421" s="7" t="str">
        <f aca="false">IFERROR(__xludf.dummyfunction("lower(GOOGLETRANSLATE(B1421,""es"",""en""))"),"the toast")</f>
        <v>the toast</v>
      </c>
      <c r="F1421" s="7" t="str">
        <f aca="false">IFERROR(__xludf.dummyfunction("lower(GOOGLETRANSLATE(A1421,""en"",""es""))"),"la tostada")</f>
        <v>la tostada</v>
      </c>
      <c r="H1421" s="0" t="str">
        <f aca="false">A1421&amp;"|"&amp;B1421</f>
        <v>the toast|la tostada</v>
      </c>
    </row>
    <row r="1422" customFormat="false" ht="15.75" hidden="false" customHeight="false" outlineLevel="0" collapsed="false">
      <c r="A1422" s="4" t="s">
        <v>2742</v>
      </c>
      <c r="B1422" s="5" t="s">
        <v>1912</v>
      </c>
      <c r="C1422" s="10" t="s">
        <v>2496</v>
      </c>
      <c r="D1422" s="6"/>
      <c r="E1422" s="7" t="str">
        <f aca="false">IFERROR(__xludf.dummyfunction("lower(GOOGLETRANSLATE(B1422,""es"",""en""))"),"the french fries")</f>
        <v>the french fries</v>
      </c>
      <c r="F1422" s="7" t="str">
        <f aca="false">IFERROR(__xludf.dummyfunction("lower(GOOGLETRANSLATE(A1422,""en"",""es""))"),"las papas fritas")</f>
        <v>las papas fritas</v>
      </c>
      <c r="H1422" s="0" t="str">
        <f aca="false">A1422&amp;"|"&amp;B1422</f>
        <v>the fries|las papas fritas</v>
      </c>
    </row>
    <row r="1423" customFormat="false" ht="15.75" hidden="false" customHeight="false" outlineLevel="0" collapsed="false">
      <c r="A1423" s="4" t="s">
        <v>1928</v>
      </c>
      <c r="B1423" s="5" t="s">
        <v>1929</v>
      </c>
      <c r="C1423" s="10" t="s">
        <v>2496</v>
      </c>
      <c r="D1423" s="6"/>
      <c r="E1423" s="7" t="str">
        <f aca="false">IFERROR(__xludf.dummyfunction("lower(GOOGLETRANSLATE(B1423,""es"",""en""))"),"soup")</f>
        <v>soup</v>
      </c>
      <c r="F1423" s="7" t="str">
        <f aca="false">IFERROR(__xludf.dummyfunction("lower(GOOGLETRANSLATE(A1423,""en"",""es""))"),"la sopa")</f>
        <v>la sopa</v>
      </c>
      <c r="H1423" s="0" t="str">
        <f aca="false">A1423&amp;"|"&amp;B1423</f>
        <v>the soup|la sopa</v>
      </c>
    </row>
    <row r="1424" customFormat="false" ht="15.75" hidden="false" customHeight="false" outlineLevel="0" collapsed="false">
      <c r="A1424" s="4" t="s">
        <v>1994</v>
      </c>
      <c r="B1424" s="5" t="s">
        <v>1995</v>
      </c>
      <c r="C1424" s="10" t="s">
        <v>2496</v>
      </c>
      <c r="D1424" s="6"/>
      <c r="E1424" s="7" t="str">
        <f aca="false">IFERROR(__xludf.dummyfunction("lower(GOOGLETRANSLATE(B1424,""es"",""en""))"),"milk")</f>
        <v>milk</v>
      </c>
      <c r="F1424" s="7" t="str">
        <f aca="false">IFERROR(__xludf.dummyfunction("lower(GOOGLETRANSLATE(A1424,""en"",""es""))"),"la leche")</f>
        <v>la leche</v>
      </c>
      <c r="H1424" s="0" t="str">
        <f aca="false">A1424&amp;"|"&amp;B1424</f>
        <v>the milk|la leche</v>
      </c>
    </row>
    <row r="1425" customFormat="false" ht="15.75" hidden="false" customHeight="false" outlineLevel="0" collapsed="false">
      <c r="A1425" s="4" t="s">
        <v>2002</v>
      </c>
      <c r="B1425" s="5" t="s">
        <v>2003</v>
      </c>
      <c r="C1425" s="10" t="s">
        <v>2496</v>
      </c>
      <c r="D1425" s="6"/>
      <c r="E1425" s="7" t="str">
        <f aca="false">IFERROR(__xludf.dummyfunction("lower(GOOGLETRANSLATE(B1425,""es"",""en""))"),"the tea")</f>
        <v>the tea</v>
      </c>
      <c r="F1425" s="7" t="str">
        <f aca="false">IFERROR(__xludf.dummyfunction("lower(GOOGLETRANSLATE(A1425,""en"",""es""))"),"el té")</f>
        <v>el té</v>
      </c>
      <c r="H1425" s="0" t="str">
        <f aca="false">A1425&amp;"|"&amp;B1425</f>
        <v>the tea|el té</v>
      </c>
    </row>
    <row r="1426" customFormat="false" ht="15.75" hidden="false" customHeight="false" outlineLevel="0" collapsed="false">
      <c r="A1426" s="4" t="s">
        <v>1988</v>
      </c>
      <c r="B1426" s="5" t="s">
        <v>1989</v>
      </c>
      <c r="C1426" s="10" t="s">
        <v>2496</v>
      </c>
      <c r="D1426" s="6"/>
      <c r="E1426" s="7" t="str">
        <f aca="false">IFERROR(__xludf.dummyfunction("lower(GOOGLETRANSLATE(B1426,""es"",""en""))"),"the coffee")</f>
        <v>the coffee</v>
      </c>
      <c r="F1426" s="7" t="str">
        <f aca="false">IFERROR(__xludf.dummyfunction("lower(GOOGLETRANSLATE(A1426,""en"",""es""))"),"el café")</f>
        <v>el café</v>
      </c>
      <c r="H1426" s="0" t="str">
        <f aca="false">A1426&amp;"|"&amp;B1426</f>
        <v>the coffee|el café</v>
      </c>
    </row>
    <row r="1427" customFormat="false" ht="15.75" hidden="false" customHeight="false" outlineLevel="0" collapsed="false">
      <c r="A1427" s="4" t="s">
        <v>1970</v>
      </c>
      <c r="B1427" s="5" t="s">
        <v>1971</v>
      </c>
      <c r="C1427" s="10" t="s">
        <v>2496</v>
      </c>
      <c r="D1427" s="6"/>
      <c r="E1427" s="7" t="str">
        <f aca="false">IFERROR(__xludf.dummyfunction("lower(GOOGLETRANSLATE(B1427,""es"",""en""))"),"lettuce")</f>
        <v>lettuce</v>
      </c>
      <c r="F1427" s="7" t="str">
        <f aca="false">IFERROR(__xludf.dummyfunction("lower(GOOGLETRANSLATE(A1427,""en"",""es""))"),"la lechuga")</f>
        <v>la lechuga</v>
      </c>
      <c r="H1427" s="0" t="str">
        <f aca="false">A1427&amp;"|"&amp;B1427</f>
        <v>the lettuce|la lechuga</v>
      </c>
    </row>
    <row r="1428" customFormat="false" ht="15.75" hidden="false" customHeight="false" outlineLevel="0" collapsed="false">
      <c r="A1428" s="4" t="s">
        <v>2743</v>
      </c>
      <c r="B1428" s="5" t="s">
        <v>2744</v>
      </c>
      <c r="C1428" s="10" t="s">
        <v>2745</v>
      </c>
      <c r="D1428" s="6"/>
      <c r="E1428" s="7" t="str">
        <f aca="false">IFERROR(__xludf.dummyfunction("lower(GOOGLETRANSLATE(B1428,""es"",""en""))"),"the match")</f>
        <v>the match</v>
      </c>
      <c r="F1428" s="7" t="str">
        <f aca="false">IFERROR(__xludf.dummyfunction("lower(GOOGLETRANSLATE(A1428,""en"",""es""))"),"el partido")</f>
        <v>el partido</v>
      </c>
      <c r="H1428" s="0" t="str">
        <f aca="false">A1428&amp;"|"&amp;B1428</f>
        <v>the match|el partido</v>
      </c>
    </row>
    <row r="1429" customFormat="false" ht="15.75" hidden="false" customHeight="false" outlineLevel="0" collapsed="false">
      <c r="A1429" s="4" t="s">
        <v>127</v>
      </c>
      <c r="B1429" s="5" t="s">
        <v>128</v>
      </c>
      <c r="C1429" s="10" t="s">
        <v>2746</v>
      </c>
      <c r="D1429" s="6"/>
      <c r="E1429" s="7" t="str">
        <f aca="false">IFERROR(__xludf.dummyfunction("lower(GOOGLETRANSLATE(B1429,""es"",""en""))"),"monday")</f>
        <v>monday</v>
      </c>
      <c r="F1429" s="7" t="str">
        <f aca="false">IFERROR(__xludf.dummyfunction("lower(GOOGLETRANSLATE(A1429,""en"",""es""))"),"el lunes")</f>
        <v>el lunes</v>
      </c>
      <c r="H1429" s="0" t="str">
        <f aca="false">A1429&amp;"|"&amp;B1429</f>
        <v>the monday|el lunes</v>
      </c>
    </row>
    <row r="1430" customFormat="false" ht="15.75" hidden="false" customHeight="false" outlineLevel="0" collapsed="false">
      <c r="A1430" s="4" t="s">
        <v>129</v>
      </c>
      <c r="B1430" s="5" t="s">
        <v>130</v>
      </c>
      <c r="C1430" s="10" t="s">
        <v>2746</v>
      </c>
      <c r="D1430" s="6"/>
      <c r="E1430" s="7" t="str">
        <f aca="false">IFERROR(__xludf.dummyfunction("lower(GOOGLETRANSLATE(B1430,""es"",""en""))"),"on tuesday")</f>
        <v>on tuesday</v>
      </c>
      <c r="F1430" s="7" t="str">
        <f aca="false">IFERROR(__xludf.dummyfunction("lower(GOOGLETRANSLATE(A1430,""en"",""es""))"),"el martes")</f>
        <v>el martes</v>
      </c>
      <c r="H1430" s="0" t="str">
        <f aca="false">A1430&amp;"|"&amp;B1430</f>
        <v>the tuesday|el martes</v>
      </c>
    </row>
    <row r="1431" customFormat="false" ht="15.75" hidden="false" customHeight="false" outlineLevel="0" collapsed="false">
      <c r="A1431" s="4" t="s">
        <v>131</v>
      </c>
      <c r="B1431" s="5" t="s">
        <v>132</v>
      </c>
      <c r="C1431" s="10" t="s">
        <v>2746</v>
      </c>
      <c r="D1431" s="6"/>
      <c r="E1431" s="7" t="str">
        <f aca="false">IFERROR(__xludf.dummyfunction("lower(GOOGLETRANSLATE(B1431,""es"",""en""))"),"on wednesday")</f>
        <v>on wednesday</v>
      </c>
      <c r="F1431" s="7" t="str">
        <f aca="false">IFERROR(__xludf.dummyfunction("lower(GOOGLETRANSLATE(A1431,""en"",""es""))"),"el miércoles")</f>
        <v>el miércoles</v>
      </c>
      <c r="H1431" s="0" t="str">
        <f aca="false">A1431&amp;"|"&amp;B1431</f>
        <v>the wednesday|el miércoles</v>
      </c>
    </row>
    <row r="1432" customFormat="false" ht="15.75" hidden="false" customHeight="false" outlineLevel="0" collapsed="false">
      <c r="A1432" s="4" t="s">
        <v>143</v>
      </c>
      <c r="B1432" s="5" t="s">
        <v>144</v>
      </c>
      <c r="C1432" s="10" t="s">
        <v>2746</v>
      </c>
      <c r="D1432" s="6"/>
      <c r="E1432" s="7" t="str">
        <f aca="false">IFERROR(__xludf.dummyfunction("lower(GOOGLETRANSLATE(B1432,""es"",""en""))"),"thursday")</f>
        <v>thursday</v>
      </c>
      <c r="F1432" s="7" t="str">
        <f aca="false">IFERROR(__xludf.dummyfunction("lower(GOOGLETRANSLATE(A1432,""en"",""es""))"),"el jueves")</f>
        <v>el jueves</v>
      </c>
      <c r="H1432" s="0" t="str">
        <f aca="false">A1432&amp;"|"&amp;B1432</f>
        <v>the thursday|el jueves</v>
      </c>
    </row>
    <row r="1433" customFormat="false" ht="15.75" hidden="false" customHeight="false" outlineLevel="0" collapsed="false">
      <c r="A1433" s="4" t="s">
        <v>145</v>
      </c>
      <c r="B1433" s="5" t="s">
        <v>146</v>
      </c>
      <c r="C1433" s="10" t="s">
        <v>2746</v>
      </c>
      <c r="D1433" s="6"/>
      <c r="E1433" s="7" t="str">
        <f aca="false">IFERROR(__xludf.dummyfunction("lower(GOOGLETRANSLATE(B1433,""es"",""en""))"),"on friday")</f>
        <v>on friday</v>
      </c>
      <c r="F1433" s="7" t="str">
        <f aca="false">IFERROR(__xludf.dummyfunction("lower(GOOGLETRANSLATE(A1433,""en"",""es""))"),"el viernes")</f>
        <v>el viernes</v>
      </c>
      <c r="H1433" s="0" t="str">
        <f aca="false">A1433&amp;"|"&amp;B1433</f>
        <v>the friday|el viernes</v>
      </c>
    </row>
    <row r="1434" customFormat="false" ht="15.75" hidden="false" customHeight="false" outlineLevel="0" collapsed="false">
      <c r="A1434" s="4" t="s">
        <v>147</v>
      </c>
      <c r="B1434" s="5" t="s">
        <v>148</v>
      </c>
      <c r="C1434" s="10" t="s">
        <v>2746</v>
      </c>
      <c r="D1434" s="6"/>
      <c r="E1434" s="7" t="str">
        <f aca="false">IFERROR(__xludf.dummyfunction("lower(GOOGLETRANSLATE(B1434,""es"",""en""))"),"saturday")</f>
        <v>saturday</v>
      </c>
      <c r="F1434" s="7" t="str">
        <f aca="false">IFERROR(__xludf.dummyfunction("lower(GOOGLETRANSLATE(A1434,""en"",""es""))"),"el sábado")</f>
        <v>el sábado</v>
      </c>
      <c r="H1434" s="0" t="str">
        <f aca="false">A1434&amp;"|"&amp;B1434</f>
        <v>the saturday|el sábado</v>
      </c>
    </row>
    <row r="1435" customFormat="false" ht="15.75" hidden="false" customHeight="false" outlineLevel="0" collapsed="false">
      <c r="A1435" s="4" t="s">
        <v>149</v>
      </c>
      <c r="B1435" s="5" t="s">
        <v>150</v>
      </c>
      <c r="C1435" s="10" t="s">
        <v>2746</v>
      </c>
      <c r="D1435" s="6"/>
      <c r="E1435" s="7" t="str">
        <f aca="false">IFERROR(__xludf.dummyfunction("lower(GOOGLETRANSLATE(B1435,""es"",""en""))"),"on sunday")</f>
        <v>on sunday</v>
      </c>
      <c r="F1435" s="7" t="str">
        <f aca="false">IFERROR(__xludf.dummyfunction("lower(GOOGLETRANSLATE(A1435,""en"",""es""))"),"el domingo")</f>
        <v>el domingo</v>
      </c>
      <c r="H1435" s="0" t="str">
        <f aca="false">A1435&amp;"|"&amp;B1435</f>
        <v>the sunday|el domingo</v>
      </c>
    </row>
    <row r="1436" customFormat="false" ht="15.75" hidden="false" customHeight="false" outlineLevel="0" collapsed="false">
      <c r="A1436" s="4" t="s">
        <v>115</v>
      </c>
      <c r="B1436" s="5" t="s">
        <v>116</v>
      </c>
      <c r="C1436" s="10" t="s">
        <v>2746</v>
      </c>
      <c r="D1436" s="6"/>
      <c r="E1436" s="7" t="str">
        <f aca="false">IFERROR(__xludf.dummyfunction("lower(GOOGLETRANSLATE(B1436,""es"",""en""))"),"the month")</f>
        <v>the month</v>
      </c>
      <c r="F1436" s="7" t="str">
        <f aca="false">IFERROR(__xludf.dummyfunction("lower(GOOGLETRANSLATE(A1436,""en"",""es""))"),"el mes")</f>
        <v>el mes</v>
      </c>
      <c r="H1436" s="0" t="str">
        <f aca="false">A1436&amp;"|"&amp;B1436</f>
        <v>the month|el mes</v>
      </c>
    </row>
    <row r="1437" customFormat="false" ht="15.75" hidden="false" customHeight="false" outlineLevel="0" collapsed="false">
      <c r="A1437" s="4" t="s">
        <v>2747</v>
      </c>
      <c r="B1437" s="5" t="s">
        <v>2748</v>
      </c>
      <c r="C1437" s="10" t="s">
        <v>2746</v>
      </c>
      <c r="D1437" s="6"/>
      <c r="E1437" s="7" t="str">
        <f aca="false">IFERROR(__xludf.dummyfunction("lower(GOOGLETRANSLATE(B1437,""es"",""en""))"),"now")</f>
        <v>now</v>
      </c>
      <c r="F1437" s="7" t="str">
        <f aca="false">IFERROR(__xludf.dummyfunction("lower(GOOGLETRANSLATE(A1437,""en"",""es""))"),"ahora")</f>
        <v>ahora</v>
      </c>
      <c r="H1437" s="0" t="str">
        <f aca="false">A1437&amp;"|"&amp;B1437</f>
        <v>now|ahora</v>
      </c>
    </row>
    <row r="1438" customFormat="false" ht="15.75" hidden="false" customHeight="false" outlineLevel="0" collapsed="false">
      <c r="A1438" s="4" t="s">
        <v>2749</v>
      </c>
      <c r="B1438" s="5" t="s">
        <v>2750</v>
      </c>
      <c r="C1438" s="10" t="s">
        <v>2746</v>
      </c>
      <c r="D1438" s="6"/>
      <c r="E1438" s="7" t="str">
        <f aca="false">IFERROR(__xludf.dummyfunction("lower(GOOGLETRANSLATE(B1438,""es"",""en""))"),"time")</f>
        <v>time</v>
      </c>
      <c r="F1438" s="7" t="str">
        <f aca="false">IFERROR(__xludf.dummyfunction("lower(GOOGLETRANSLATE(A1438,""en"",""es""))"),"el tiempo")</f>
        <v>el tiempo</v>
      </c>
      <c r="H1438" s="0" t="str">
        <f aca="false">A1438&amp;"|"&amp;B1438</f>
        <v>the time|el tiempo</v>
      </c>
    </row>
    <row r="1439" customFormat="false" ht="15.75" hidden="false" customHeight="false" outlineLevel="0" collapsed="false">
      <c r="A1439" s="4" t="s">
        <v>2751</v>
      </c>
      <c r="B1439" s="5" t="s">
        <v>2752</v>
      </c>
      <c r="C1439" s="10" t="s">
        <v>2746</v>
      </c>
      <c r="D1439" s="6"/>
      <c r="E1439" s="7" t="str">
        <f aca="false">IFERROR(__xludf.dummyfunction("lower(GOOGLETRANSLATE(B1439,""es"",""en""))"),"again")</f>
        <v>again</v>
      </c>
      <c r="F1439" s="7" t="str">
        <f aca="false">IFERROR(__xludf.dummyfunction("lower(GOOGLETRANSLATE(A1439,""en"",""es""))"),"de nuevo")</f>
        <v>de nuevo</v>
      </c>
      <c r="H1439" s="0" t="str">
        <f aca="false">A1439&amp;"|"&amp;B1439</f>
        <v>again|de nuevo</v>
      </c>
    </row>
    <row r="1440" customFormat="false" ht="15.75" hidden="false" customHeight="false" outlineLevel="0" collapsed="false">
      <c r="A1440" s="4" t="s">
        <v>2753</v>
      </c>
      <c r="B1440" s="5" t="s">
        <v>2754</v>
      </c>
      <c r="C1440" s="10" t="s">
        <v>2746</v>
      </c>
      <c r="D1440" s="6"/>
      <c r="E1440" s="7" t="str">
        <f aca="false">IFERROR(__xludf.dummyfunction("lower(GOOGLETRANSLATE(B1440,""es"",""en""))"),"the time")</f>
        <v>the time</v>
      </c>
      <c r="F1440" s="7" t="str">
        <f aca="false">IFERROR(__xludf.dummyfunction("lower(GOOGLETRANSLATE(A1440,""en"",""es""))"),"el período de tiempo")</f>
        <v>el período de tiempo</v>
      </c>
      <c r="H1440" s="0" t="str">
        <f aca="false">A1440&amp;"|"&amp;B1440</f>
        <v>the time period|la época</v>
      </c>
    </row>
    <row r="1441" customFormat="false" ht="15.75" hidden="false" customHeight="false" outlineLevel="0" collapsed="false">
      <c r="A1441" s="4" t="s">
        <v>171</v>
      </c>
      <c r="B1441" s="5" t="s">
        <v>172</v>
      </c>
      <c r="C1441" s="10" t="s">
        <v>2746</v>
      </c>
      <c r="D1441" s="6"/>
      <c r="E1441" s="7" t="str">
        <f aca="false">IFERROR(__xludf.dummyfunction("lower(GOOGLETRANSLATE(B1441,""es"",""en""))"),"january")</f>
        <v>january</v>
      </c>
      <c r="F1441" s="7" t="str">
        <f aca="false">IFERROR(__xludf.dummyfunction("lower(GOOGLETRANSLATE(A1441,""en"",""es""))"),"enero")</f>
        <v>enero</v>
      </c>
      <c r="H1441" s="0" t="str">
        <f aca="false">A1441&amp;"|"&amp;B1441</f>
        <v>january|enero</v>
      </c>
    </row>
    <row r="1442" customFormat="false" ht="15.75" hidden="false" customHeight="false" outlineLevel="0" collapsed="false">
      <c r="A1442" s="4" t="s">
        <v>173</v>
      </c>
      <c r="B1442" s="5" t="s">
        <v>174</v>
      </c>
      <c r="C1442" s="10" t="s">
        <v>2746</v>
      </c>
      <c r="D1442" s="6"/>
      <c r="E1442" s="7" t="str">
        <f aca="false">IFERROR(__xludf.dummyfunction("lower(GOOGLETRANSLATE(B1442,""es"",""en""))"),"february")</f>
        <v>february</v>
      </c>
      <c r="F1442" s="7" t="str">
        <f aca="false">IFERROR(__xludf.dummyfunction("lower(GOOGLETRANSLATE(A1442,""en"",""es""))"),"febrero")</f>
        <v>febrero</v>
      </c>
      <c r="H1442" s="0" t="str">
        <f aca="false">A1442&amp;"|"&amp;B1442</f>
        <v>february|febrero</v>
      </c>
    </row>
    <row r="1443" customFormat="false" ht="15.75" hidden="false" customHeight="false" outlineLevel="0" collapsed="false">
      <c r="A1443" s="4" t="s">
        <v>175</v>
      </c>
      <c r="B1443" s="5" t="s">
        <v>176</v>
      </c>
      <c r="C1443" s="10" t="s">
        <v>2746</v>
      </c>
      <c r="D1443" s="6"/>
      <c r="E1443" s="7" t="str">
        <f aca="false">IFERROR(__xludf.dummyfunction("lower(GOOGLETRANSLATE(B1443,""es"",""en""))"),"march")</f>
        <v>march</v>
      </c>
      <c r="F1443" s="7" t="str">
        <f aca="false">IFERROR(__xludf.dummyfunction("lower(GOOGLETRANSLATE(A1443,""en"",""es""))"),"marzo")</f>
        <v>marzo</v>
      </c>
      <c r="H1443" s="0" t="str">
        <f aca="false">A1443&amp;"|"&amp;B1443</f>
        <v>march|marzo</v>
      </c>
    </row>
    <row r="1444" customFormat="false" ht="15.75" hidden="false" customHeight="false" outlineLevel="0" collapsed="false">
      <c r="A1444" s="4" t="s">
        <v>177</v>
      </c>
      <c r="B1444" s="5" t="s">
        <v>178</v>
      </c>
      <c r="C1444" s="10" t="s">
        <v>2746</v>
      </c>
      <c r="D1444" s="6"/>
      <c r="E1444" s="7" t="str">
        <f aca="false">IFERROR(__xludf.dummyfunction("lower(GOOGLETRANSLATE(B1444,""es"",""en""))"),"april")</f>
        <v>april</v>
      </c>
      <c r="F1444" s="7" t="str">
        <f aca="false">IFERROR(__xludf.dummyfunction("lower(GOOGLETRANSLATE(A1444,""en"",""es""))"),"abril")</f>
        <v>abril</v>
      </c>
      <c r="H1444" s="0" t="str">
        <f aca="false">A1444&amp;"|"&amp;B1444</f>
        <v>april|abril</v>
      </c>
    </row>
    <row r="1445" customFormat="false" ht="15.75" hidden="false" customHeight="false" outlineLevel="0" collapsed="false">
      <c r="A1445" s="4" t="s">
        <v>179</v>
      </c>
      <c r="B1445" s="5" t="s">
        <v>180</v>
      </c>
      <c r="C1445" s="10" t="s">
        <v>2746</v>
      </c>
      <c r="D1445" s="6"/>
      <c r="E1445" s="7" t="str">
        <f aca="false">IFERROR(__xludf.dummyfunction("lower(GOOGLETRANSLATE(B1445,""es"",""en""))"),"may")</f>
        <v>may</v>
      </c>
      <c r="F1445" s="7" t="str">
        <f aca="false">IFERROR(__xludf.dummyfunction("lower(GOOGLETRANSLATE(A1445,""en"",""es""))"),"mayo")</f>
        <v>mayo</v>
      </c>
      <c r="H1445" s="0" t="str">
        <f aca="false">A1445&amp;"|"&amp;B1445</f>
        <v>may|mayo</v>
      </c>
    </row>
    <row r="1446" customFormat="false" ht="15.75" hidden="false" customHeight="false" outlineLevel="0" collapsed="false">
      <c r="A1446" s="4" t="s">
        <v>181</v>
      </c>
      <c r="B1446" s="5" t="s">
        <v>182</v>
      </c>
      <c r="C1446" s="10" t="s">
        <v>2746</v>
      </c>
      <c r="D1446" s="6"/>
      <c r="E1446" s="7" t="str">
        <f aca="false">IFERROR(__xludf.dummyfunction("lower(GOOGLETRANSLATE(B1446,""es"",""en""))"),"june")</f>
        <v>june</v>
      </c>
      <c r="F1446" s="7" t="str">
        <f aca="false">IFERROR(__xludf.dummyfunction("lower(GOOGLETRANSLATE(A1446,""en"",""es""))"),"junio")</f>
        <v>junio</v>
      </c>
      <c r="H1446" s="0" t="str">
        <f aca="false">A1446&amp;"|"&amp;B1446</f>
        <v>june|junio</v>
      </c>
    </row>
    <row r="1447" customFormat="false" ht="15.75" hidden="false" customHeight="false" outlineLevel="0" collapsed="false">
      <c r="A1447" s="4" t="s">
        <v>216</v>
      </c>
      <c r="B1447" s="5" t="s">
        <v>217</v>
      </c>
      <c r="C1447" s="10" t="s">
        <v>2746</v>
      </c>
      <c r="D1447" s="6"/>
      <c r="E1447" s="7" t="str">
        <f aca="false">IFERROR(__xludf.dummyfunction("lower(GOOGLETRANSLATE(B1447,""es"",""en""))"),"july")</f>
        <v>july</v>
      </c>
      <c r="F1447" s="7" t="str">
        <f aca="false">IFERROR(__xludf.dummyfunction("lower(GOOGLETRANSLATE(A1447,""en"",""es""))"),"julio")</f>
        <v>julio</v>
      </c>
      <c r="H1447" s="0" t="str">
        <f aca="false">A1447&amp;"|"&amp;B1447</f>
        <v>july|julio</v>
      </c>
    </row>
    <row r="1448" customFormat="false" ht="15.75" hidden="false" customHeight="false" outlineLevel="0" collapsed="false">
      <c r="A1448" s="4" t="s">
        <v>218</v>
      </c>
      <c r="B1448" s="5" t="s">
        <v>219</v>
      </c>
      <c r="C1448" s="10" t="s">
        <v>2746</v>
      </c>
      <c r="D1448" s="6"/>
      <c r="E1448" s="7" t="str">
        <f aca="false">IFERROR(__xludf.dummyfunction("lower(GOOGLETRANSLATE(B1448,""es"",""en""))"),"august")</f>
        <v>august</v>
      </c>
      <c r="F1448" s="7" t="str">
        <f aca="false">IFERROR(__xludf.dummyfunction("lower(GOOGLETRANSLATE(A1448,""en"",""es""))"),"agosto")</f>
        <v>agosto</v>
      </c>
      <c r="H1448" s="0" t="str">
        <f aca="false">A1448&amp;"|"&amp;B1448</f>
        <v>august|agosto</v>
      </c>
    </row>
    <row r="1449" customFormat="false" ht="15.75" hidden="false" customHeight="false" outlineLevel="0" collapsed="false">
      <c r="A1449" s="4" t="s">
        <v>220</v>
      </c>
      <c r="B1449" s="5" t="s">
        <v>221</v>
      </c>
      <c r="C1449" s="10" t="s">
        <v>2746</v>
      </c>
      <c r="D1449" s="6"/>
      <c r="E1449" s="7" t="str">
        <f aca="false">IFERROR(__xludf.dummyfunction("lower(GOOGLETRANSLATE(B1449,""es"",""en""))"),"september")</f>
        <v>september</v>
      </c>
      <c r="F1449" s="7" t="str">
        <f aca="false">IFERROR(__xludf.dummyfunction("lower(GOOGLETRANSLATE(A1449,""en"",""es""))"),"septiembre")</f>
        <v>septiembre</v>
      </c>
      <c r="H1449" s="0" t="str">
        <f aca="false">A1449&amp;"|"&amp;B1449</f>
        <v>september|septiembre</v>
      </c>
    </row>
    <row r="1450" customFormat="false" ht="15.75" hidden="false" customHeight="false" outlineLevel="0" collapsed="false">
      <c r="A1450" s="4" t="s">
        <v>222</v>
      </c>
      <c r="B1450" s="5" t="s">
        <v>223</v>
      </c>
      <c r="C1450" s="10" t="s">
        <v>2746</v>
      </c>
      <c r="D1450" s="6"/>
      <c r="E1450" s="7" t="str">
        <f aca="false">IFERROR(__xludf.dummyfunction("lower(GOOGLETRANSLATE(B1450,""es"",""en""))"),"october")</f>
        <v>october</v>
      </c>
      <c r="F1450" s="7" t="str">
        <f aca="false">IFERROR(__xludf.dummyfunction("lower(GOOGLETRANSLATE(A1450,""en"",""es""))"),"octubre")</f>
        <v>octubre</v>
      </c>
      <c r="H1450" s="0" t="str">
        <f aca="false">A1450&amp;"|"&amp;B1450</f>
        <v>october|octubre</v>
      </c>
    </row>
    <row r="1451" customFormat="false" ht="15.75" hidden="false" customHeight="false" outlineLevel="0" collapsed="false">
      <c r="A1451" s="4" t="s">
        <v>224</v>
      </c>
      <c r="B1451" s="5" t="s">
        <v>225</v>
      </c>
      <c r="C1451" s="10" t="s">
        <v>2746</v>
      </c>
      <c r="D1451" s="6"/>
      <c r="E1451" s="7" t="str">
        <f aca="false">IFERROR(__xludf.dummyfunction("lower(GOOGLETRANSLATE(B1451,""es"",""en""))"),"november")</f>
        <v>november</v>
      </c>
      <c r="F1451" s="7" t="str">
        <f aca="false">IFERROR(__xludf.dummyfunction("lower(GOOGLETRANSLATE(A1451,""en"",""es""))"),"noviembre")</f>
        <v>noviembre</v>
      </c>
      <c r="H1451" s="0" t="str">
        <f aca="false">A1451&amp;"|"&amp;B1451</f>
        <v>november|noviembre</v>
      </c>
    </row>
    <row r="1452" customFormat="false" ht="15.75" hidden="false" customHeight="false" outlineLevel="0" collapsed="false">
      <c r="A1452" s="4" t="s">
        <v>226</v>
      </c>
      <c r="B1452" s="5" t="s">
        <v>227</v>
      </c>
      <c r="C1452" s="10" t="s">
        <v>2746</v>
      </c>
      <c r="D1452" s="6"/>
      <c r="E1452" s="7" t="str">
        <f aca="false">IFERROR(__xludf.dummyfunction("lower(GOOGLETRANSLATE(B1452,""es"",""en""))"),"december")</f>
        <v>december</v>
      </c>
      <c r="F1452" s="7" t="str">
        <f aca="false">IFERROR(__xludf.dummyfunction("lower(GOOGLETRANSLATE(A1452,""en"",""es""))"),"diciembre")</f>
        <v>diciembre</v>
      </c>
      <c r="H1452" s="0" t="str">
        <f aca="false">A1452&amp;"|"&amp;B1452</f>
        <v>december|diciembre</v>
      </c>
    </row>
    <row r="1453" customFormat="false" ht="15.75" hidden="false" customHeight="false" outlineLevel="0" collapsed="false">
      <c r="A1453" s="4" t="s">
        <v>157</v>
      </c>
      <c r="B1453" s="5" t="s">
        <v>158</v>
      </c>
      <c r="C1453" s="10" t="s">
        <v>2755</v>
      </c>
      <c r="D1453" s="6"/>
      <c r="E1453" s="7" t="str">
        <f aca="false">IFERROR(__xludf.dummyfunction("lower(GOOGLETRANSLATE(B1453,""es"",""en""))"),"ten")</f>
        <v>ten</v>
      </c>
      <c r="F1453" s="7" t="str">
        <f aca="false">IFERROR(__xludf.dummyfunction("lower(GOOGLETRANSLATE(A1453,""en"",""es""))"),"diez")</f>
        <v>diez</v>
      </c>
      <c r="H1453" s="0" t="str">
        <f aca="false">A1453&amp;"|"&amp;B1453</f>
        <v>ten|diez</v>
      </c>
    </row>
    <row r="1454" customFormat="false" ht="15.75" hidden="false" customHeight="false" outlineLevel="0" collapsed="false">
      <c r="A1454" s="4" t="s">
        <v>324</v>
      </c>
      <c r="B1454" s="5" t="s">
        <v>2756</v>
      </c>
      <c r="C1454" s="10" t="s">
        <v>2755</v>
      </c>
      <c r="D1454" s="6"/>
      <c r="E1454" s="7" t="str">
        <f aca="false">IFERROR(__xludf.dummyfunction("lower(GOOGLETRANSLATE(B1454,""es"",""en""))"),"twenty")</f>
        <v>twenty</v>
      </c>
      <c r="F1454" s="7" t="str">
        <f aca="false">IFERROR(__xludf.dummyfunction("lower(GOOGLETRANSLATE(A1454,""en"",""es""))"),"veinte")</f>
        <v>veinte</v>
      </c>
      <c r="H1454" s="0" t="str">
        <f aca="false">A1454&amp;"|"&amp;B1454</f>
        <v>twenty|viente</v>
      </c>
    </row>
    <row r="1455" customFormat="false" ht="15.75" hidden="false" customHeight="false" outlineLevel="0" collapsed="false">
      <c r="A1455" s="4" t="s">
        <v>744</v>
      </c>
      <c r="B1455" s="5" t="s">
        <v>745</v>
      </c>
      <c r="C1455" s="10" t="s">
        <v>2755</v>
      </c>
      <c r="D1455" s="6"/>
      <c r="E1455" s="7" t="str">
        <f aca="false">IFERROR(__xludf.dummyfunction("lower(GOOGLETRANSLATE(B1455,""es"",""en""))"),"thirty")</f>
        <v>thirty</v>
      </c>
      <c r="F1455" s="7" t="str">
        <f aca="false">IFERROR(__xludf.dummyfunction("lower(GOOGLETRANSLATE(A1455,""en"",""es""))"),"treinta")</f>
        <v>treinta</v>
      </c>
      <c r="H1455" s="0" t="str">
        <f aca="false">A1455&amp;"|"&amp;B1455</f>
        <v>thirty|treinta</v>
      </c>
    </row>
    <row r="1456" customFormat="false" ht="15.75" hidden="false" customHeight="false" outlineLevel="0" collapsed="false">
      <c r="A1456" s="4" t="s">
        <v>748</v>
      </c>
      <c r="B1456" s="5" t="s">
        <v>749</v>
      </c>
      <c r="C1456" s="10" t="s">
        <v>2755</v>
      </c>
      <c r="D1456" s="6"/>
      <c r="E1456" s="7" t="str">
        <f aca="false">IFERROR(__xludf.dummyfunction("lower(GOOGLETRANSLATE(B1456,""es"",""en""))"),"forty")</f>
        <v>forty</v>
      </c>
      <c r="F1456" s="7" t="str">
        <f aca="false">IFERROR(__xludf.dummyfunction("lower(GOOGLETRANSLATE(A1456,""en"",""es""))"),"cuarenta")</f>
        <v>cuarenta</v>
      </c>
      <c r="H1456" s="0" t="str">
        <f aca="false">A1456&amp;"|"&amp;B1456</f>
        <v>fourty|cuarenta</v>
      </c>
    </row>
    <row r="1457" customFormat="false" ht="15.75" hidden="false" customHeight="false" outlineLevel="0" collapsed="false">
      <c r="A1457" s="4" t="s">
        <v>751</v>
      </c>
      <c r="B1457" s="5" t="s">
        <v>752</v>
      </c>
      <c r="C1457" s="10" t="s">
        <v>2755</v>
      </c>
      <c r="D1457" s="6"/>
      <c r="E1457" s="7" t="str">
        <f aca="false">IFERROR(__xludf.dummyfunction("lower(GOOGLETRANSLATE(B1457,""es"",""en""))"),"fifty")</f>
        <v>fifty</v>
      </c>
      <c r="F1457" s="7" t="str">
        <f aca="false">IFERROR(__xludf.dummyfunction("lower(GOOGLETRANSLATE(A1457,""en"",""es""))"),"cincuenta")</f>
        <v>cincuenta</v>
      </c>
      <c r="H1457" s="0" t="str">
        <f aca="false">A1457&amp;"|"&amp;B1457</f>
        <v>fifty|cincuenta</v>
      </c>
    </row>
    <row r="1458" customFormat="false" ht="15.75" hidden="false" customHeight="false" outlineLevel="0" collapsed="false">
      <c r="A1458" s="4" t="s">
        <v>2177</v>
      </c>
      <c r="B1458" s="5" t="s">
        <v>2178</v>
      </c>
      <c r="C1458" s="10" t="s">
        <v>2755</v>
      </c>
      <c r="D1458" s="6"/>
      <c r="E1458" s="7" t="str">
        <f aca="false">IFERROR(__xludf.dummyfunction("lower(GOOGLETRANSLATE(B1458,""es"",""en""))"),"sixty")</f>
        <v>sixty</v>
      </c>
      <c r="F1458" s="7" t="str">
        <f aca="false">IFERROR(__xludf.dummyfunction("lower(GOOGLETRANSLATE(A1458,""en"",""es""))"),"sesenta")</f>
        <v>sesenta</v>
      </c>
      <c r="H1458" s="0" t="str">
        <f aca="false">A1458&amp;"|"&amp;B1458</f>
        <v>sixty|sesenta</v>
      </c>
    </row>
    <row r="1459" customFormat="false" ht="15.75" hidden="false" customHeight="false" outlineLevel="0" collapsed="false">
      <c r="A1459" s="4" t="s">
        <v>2180</v>
      </c>
      <c r="B1459" s="5" t="s">
        <v>2181</v>
      </c>
      <c r="C1459" s="10" t="s">
        <v>2755</v>
      </c>
      <c r="D1459" s="6"/>
      <c r="E1459" s="7" t="str">
        <f aca="false">IFERROR(__xludf.dummyfunction("lower(GOOGLETRANSLATE(B1459,""es"",""en""))"),"seventy")</f>
        <v>seventy</v>
      </c>
      <c r="F1459" s="7" t="str">
        <f aca="false">IFERROR(__xludf.dummyfunction("lower(GOOGLETRANSLATE(A1459,""en"",""es""))"),"setenta")</f>
        <v>setenta</v>
      </c>
      <c r="H1459" s="0" t="str">
        <f aca="false">A1459&amp;"|"&amp;B1459</f>
        <v>seventy|setenta</v>
      </c>
    </row>
    <row r="1460" customFormat="false" ht="15.75" hidden="false" customHeight="false" outlineLevel="0" collapsed="false">
      <c r="A1460" s="4" t="s">
        <v>2182</v>
      </c>
      <c r="B1460" s="5" t="s">
        <v>2183</v>
      </c>
      <c r="C1460" s="10" t="s">
        <v>2755</v>
      </c>
      <c r="D1460" s="6"/>
      <c r="E1460" s="7" t="str">
        <f aca="false">IFERROR(__xludf.dummyfunction("lower(GOOGLETRANSLATE(B1460,""es"",""en""))"),"eighty")</f>
        <v>eighty</v>
      </c>
      <c r="F1460" s="7" t="str">
        <f aca="false">IFERROR(__xludf.dummyfunction("lower(GOOGLETRANSLATE(A1460,""en"",""es""))"),"ochenta")</f>
        <v>ochenta</v>
      </c>
      <c r="H1460" s="0" t="str">
        <f aca="false">A1460&amp;"|"&amp;B1460</f>
        <v>eighty|ochenta</v>
      </c>
    </row>
    <row r="1461" customFormat="false" ht="15.75" hidden="false" customHeight="false" outlineLevel="0" collapsed="false">
      <c r="A1461" s="4" t="s">
        <v>2184</v>
      </c>
      <c r="B1461" s="5" t="s">
        <v>2185</v>
      </c>
      <c r="C1461" s="10" t="s">
        <v>2755</v>
      </c>
      <c r="D1461" s="6"/>
      <c r="E1461" s="7" t="str">
        <f aca="false">IFERROR(__xludf.dummyfunction("lower(GOOGLETRANSLATE(B1461,""es"",""en""))"),"ninety")</f>
        <v>ninety</v>
      </c>
      <c r="F1461" s="7" t="str">
        <f aca="false">IFERROR(__xludf.dummyfunction("lower(GOOGLETRANSLATE(A1461,""en"",""es""))"),"noventa")</f>
        <v>noventa</v>
      </c>
      <c r="H1461" s="0" t="str">
        <f aca="false">A1461&amp;"|"&amp;B1461</f>
        <v>ninety|noventa</v>
      </c>
    </row>
    <row r="1462" customFormat="false" ht="15.75" hidden="false" customHeight="false" outlineLevel="0" collapsed="false">
      <c r="A1462" s="4" t="s">
        <v>2186</v>
      </c>
      <c r="B1462" s="5" t="s">
        <v>2187</v>
      </c>
      <c r="C1462" s="10" t="s">
        <v>2755</v>
      </c>
      <c r="D1462" s="6"/>
      <c r="E1462" s="7" t="str">
        <f aca="false">IFERROR(__xludf.dummyfunction("lower(GOOGLETRANSLATE(B1462,""es"",""en""))"),"one hundred")</f>
        <v>one hundred</v>
      </c>
      <c r="F1462" s="7" t="str">
        <f aca="false">IFERROR(__xludf.dummyfunction("lower(GOOGLETRANSLATE(A1462,""en"",""es""))"),"cien")</f>
        <v>cien</v>
      </c>
      <c r="H1462" s="0" t="str">
        <f aca="false">A1462&amp;"|"&amp;B1462</f>
        <v>hundred|cien</v>
      </c>
    </row>
    <row r="1463" customFormat="false" ht="15.75" hidden="false" customHeight="false" outlineLevel="0" collapsed="false">
      <c r="A1463" s="4" t="s">
        <v>2757</v>
      </c>
      <c r="B1463" s="5" t="s">
        <v>2758</v>
      </c>
      <c r="C1463" s="10" t="s">
        <v>2755</v>
      </c>
      <c r="D1463" s="6"/>
      <c r="E1463" s="7" t="str">
        <f aca="false">IFERROR(__xludf.dummyfunction("lower(GOOGLETRANSLATE(B1463,""es"",""en""))"),"eight hundred")</f>
        <v>eight hundred</v>
      </c>
      <c r="F1463" s="7" t="str">
        <f aca="false">IFERROR(__xludf.dummyfunction("lower(GOOGLETRANSLATE(A1463,""en"",""es""))"),"ochocientos")</f>
        <v>ochocientos</v>
      </c>
      <c r="H1463" s="0" t="str">
        <f aca="false">A1463&amp;"|"&amp;B1463</f>
        <v>eight hundred|ochocientos</v>
      </c>
    </row>
    <row r="1464" customFormat="false" ht="15.75" hidden="false" customHeight="false" outlineLevel="0" collapsed="false">
      <c r="A1464" s="4" t="s">
        <v>2759</v>
      </c>
      <c r="B1464" s="5" t="s">
        <v>2760</v>
      </c>
      <c r="C1464" s="9"/>
      <c r="D1464" s="6"/>
      <c r="E1464" s="7" t="str">
        <f aca="false">IFERROR(__xludf.dummyfunction("lower(GOOGLETRANSLATE(B1464,""es"",""en""))"),"the letter")</f>
        <v>the letter</v>
      </c>
      <c r="F1464" s="7" t="str">
        <f aca="false">IFERROR(__xludf.dummyfunction("lower(GOOGLETRANSLATE(A1464,""en"",""es""))"),"la carta")</f>
        <v>la carta</v>
      </c>
      <c r="H1464" s="0" t="str">
        <f aca="false">A1464&amp;"|"&amp;B1464</f>
        <v>the letter|la carta</v>
      </c>
    </row>
    <row r="1465" customFormat="false" ht="15.75" hidden="false" customHeight="false" outlineLevel="0" collapsed="false">
      <c r="A1465" s="4" t="s">
        <v>2761</v>
      </c>
      <c r="B1465" s="5" t="s">
        <v>2762</v>
      </c>
      <c r="C1465" s="9"/>
      <c r="D1465" s="6"/>
      <c r="E1465" s="7" t="str">
        <f aca="false">IFERROR(__xludf.dummyfunction("lower(GOOGLETRANSLATE(B1465,""es"",""en""))"),"the direction")</f>
        <v>the direction</v>
      </c>
      <c r="F1465" s="7" t="str">
        <f aca="false">IFERROR(__xludf.dummyfunction("lower(GOOGLETRANSLATE(A1465,""en"",""es""))"),"la dirección")</f>
        <v>la dirección</v>
      </c>
      <c r="H1465" s="0" t="str">
        <f aca="false">A1465&amp;"|"&amp;B1465</f>
        <v>the address|la dirección</v>
      </c>
    </row>
    <row r="1466" customFormat="false" ht="15.75" hidden="false" customHeight="false" outlineLevel="0" collapsed="false">
      <c r="A1466" s="4" t="s">
        <v>2763</v>
      </c>
      <c r="B1466" s="5" t="s">
        <v>2764</v>
      </c>
      <c r="C1466" s="9"/>
      <c r="D1466" s="6"/>
      <c r="E1466" s="7" t="str">
        <f aca="false">IFERROR(__xludf.dummyfunction("lower(GOOGLETRANSLATE(B1466,""es"",""en""))"),"the bike")</f>
        <v>the bike</v>
      </c>
      <c r="F1466" s="7" t="str">
        <f aca="false">IFERROR(__xludf.dummyfunction("lower(GOOGLETRANSLATE(A1466,""en"",""es""))"),"la bicicleta")</f>
        <v>la bicicleta</v>
      </c>
      <c r="H1466" s="0" t="str">
        <f aca="false">A1466&amp;"|"&amp;B1466</f>
        <v>the bike|la bicicleta</v>
      </c>
    </row>
    <row r="1467" customFormat="false" ht="15.75" hidden="false" customHeight="false" outlineLevel="0" collapsed="false">
      <c r="A1467" s="4" t="s">
        <v>2765</v>
      </c>
      <c r="B1467" s="5" t="s">
        <v>2766</v>
      </c>
      <c r="C1467" s="9"/>
      <c r="D1467" s="6"/>
      <c r="E1467" s="7" t="str">
        <f aca="false">IFERROR(__xludf.dummyfunction("lower(GOOGLETRANSLATE(B1467,""es"",""en""))"),"the way")</f>
        <v>the way</v>
      </c>
      <c r="F1467" s="7" t="str">
        <f aca="false">IFERROR(__xludf.dummyfunction("lower(GOOGLETRANSLATE(A1467,""en"",""es""))"),"el camino")</f>
        <v>el camino</v>
      </c>
      <c r="H1467" s="0" t="str">
        <f aca="false">A1467&amp;"|"&amp;B1467</f>
        <v>the road|el camino</v>
      </c>
    </row>
    <row r="1468" customFormat="false" ht="15.75" hidden="false" customHeight="false" outlineLevel="0" collapsed="false">
      <c r="A1468" s="4" t="s">
        <v>2767</v>
      </c>
      <c r="B1468" s="5" t="s">
        <v>2768</v>
      </c>
      <c r="C1468" s="9"/>
      <c r="D1468" s="6"/>
      <c r="E1468" s="7" t="str">
        <f aca="false">IFERROR(__xludf.dummyfunction("lower(GOOGLETRANSLATE(B1468,""es"",""en""))"),"the street")</f>
        <v>the street</v>
      </c>
      <c r="F1468" s="7" t="str">
        <f aca="false">IFERROR(__xludf.dummyfunction("lower(GOOGLETRANSLATE(A1468,""en"",""es""))"),"la calle")</f>
        <v>la calle</v>
      </c>
      <c r="H1468" s="0" t="str">
        <f aca="false">A1468&amp;"|"&amp;B1468</f>
        <v>the street|la calle</v>
      </c>
    </row>
    <row r="1469" customFormat="false" ht="15.75" hidden="false" customHeight="false" outlineLevel="0" collapsed="false">
      <c r="A1469" s="4" t="s">
        <v>2769</v>
      </c>
      <c r="B1469" s="5" t="s">
        <v>2770</v>
      </c>
      <c r="C1469" s="9"/>
      <c r="D1469" s="6"/>
      <c r="E1469" s="7" t="str">
        <f aca="false">IFERROR(__xludf.dummyfunction("lower(GOOGLETRANSLATE(B1469,""es"",""en""))"),"speed")</f>
        <v>speed</v>
      </c>
      <c r="F1469" s="7" t="str">
        <f aca="false">IFERROR(__xludf.dummyfunction("lower(GOOGLETRANSLATE(A1469,""en"",""es""))"),"la velocidad")</f>
        <v>la velocidad</v>
      </c>
      <c r="H1469" s="0" t="str">
        <f aca="false">A1469&amp;"|"&amp;B1469</f>
        <v>the speed|la velocidad</v>
      </c>
    </row>
    <row r="1470" customFormat="false" ht="15.75" hidden="false" customHeight="false" outlineLevel="0" collapsed="false">
      <c r="A1470" s="4" t="s">
        <v>2771</v>
      </c>
      <c r="B1470" s="5" t="s">
        <v>2772</v>
      </c>
      <c r="C1470" s="9"/>
      <c r="D1470" s="6"/>
      <c r="E1470" s="7" t="str">
        <f aca="false">IFERROR(__xludf.dummyfunction("lower(GOOGLETRANSLATE(B1470,""es"",""en""))"),"street light")</f>
        <v>street light</v>
      </c>
      <c r="F1470" s="7" t="str">
        <f aca="false">IFERROR(__xludf.dummyfunction("lower(GOOGLETRANSLATE(A1470,""en"",""es""))"),"la luz de la calle")</f>
        <v>la luz de la calle</v>
      </c>
      <c r="H1470" s="0" t="str">
        <f aca="false">A1470&amp;"|"&amp;B1470</f>
        <v>the street light|la luz de la calle</v>
      </c>
    </row>
    <row r="1471" customFormat="false" ht="15.75" hidden="false" customHeight="false" outlineLevel="0" collapsed="false">
      <c r="A1471" s="4" t="s">
        <v>2773</v>
      </c>
      <c r="B1471" s="5" t="s">
        <v>2774</v>
      </c>
      <c r="C1471" s="9"/>
      <c r="D1471" s="6"/>
      <c r="E1471" s="7" t="str">
        <f aca="false">IFERROR(__xludf.dummyfunction("lower(GOOGLETRANSLATE(B1471,""es"",""en""))"),"the traffic light")</f>
        <v>the traffic light</v>
      </c>
      <c r="F1471" s="7" t="str">
        <f aca="false">IFERROR(__xludf.dummyfunction("lower(GOOGLETRANSLATE(A1471,""en"",""es""))"),"el semáforo")</f>
        <v>el semáforo</v>
      </c>
      <c r="H1471" s="0" t="str">
        <f aca="false">A1471&amp;"|"&amp;B1471</f>
        <v>the trafic light|el semáforo</v>
      </c>
    </row>
    <row r="1472" customFormat="false" ht="15.75" hidden="false" customHeight="false" outlineLevel="0" collapsed="false">
      <c r="A1472" s="4" t="s">
        <v>2775</v>
      </c>
      <c r="B1472" s="5" t="s">
        <v>2776</v>
      </c>
      <c r="C1472" s="9"/>
      <c r="D1472" s="6"/>
      <c r="E1472" s="7" t="str">
        <f aca="false">IFERROR(__xludf.dummyfunction("lower(GOOGLETRANSLATE(B1472,""es"",""en""))"),"quick")</f>
        <v>quick</v>
      </c>
      <c r="F1472" s="7" t="str">
        <f aca="false">IFERROR(__xludf.dummyfunction("lower(GOOGLETRANSLATE(A1472,""en"",""es""))"),"rápido")</f>
        <v>rápido</v>
      </c>
      <c r="H1472" s="0" t="str">
        <f aca="false">A1472&amp;"|"&amp;B1472</f>
        <v>fast|rápido</v>
      </c>
    </row>
    <row r="1473" customFormat="false" ht="15.75" hidden="false" customHeight="false" outlineLevel="0" collapsed="false">
      <c r="A1473" s="4" t="s">
        <v>2777</v>
      </c>
      <c r="B1473" s="5" t="s">
        <v>2778</v>
      </c>
      <c r="C1473" s="9"/>
      <c r="D1473" s="6"/>
      <c r="E1473" s="7" t="str">
        <f aca="false">IFERROR(__xludf.dummyfunction("lower(GOOGLETRANSLATE(B1473,""es"",""en""))"),"slow")</f>
        <v>slow</v>
      </c>
      <c r="F1473" s="7" t="str">
        <f aca="false">IFERROR(__xludf.dummyfunction("lower(GOOGLETRANSLATE(A1473,""en"",""es""))"),"lento")</f>
        <v>lento</v>
      </c>
      <c r="H1473" s="0" t="str">
        <f aca="false">A1473&amp;"|"&amp;B1473</f>
        <v>slow|lento</v>
      </c>
    </row>
    <row r="1474" customFormat="false" ht="15.75" hidden="false" customHeight="false" outlineLevel="0" collapsed="false">
      <c r="A1474" s="4" t="s">
        <v>2779</v>
      </c>
      <c r="B1474" s="5" t="s">
        <v>2780</v>
      </c>
      <c r="C1474" s="9"/>
      <c r="D1474" s="6"/>
      <c r="E1474" s="7" t="str">
        <f aca="false">IFERROR(__xludf.dummyfunction("lower(GOOGLETRANSLATE(B1474,""es"",""en""))"),"police")</f>
        <v>police</v>
      </c>
      <c r="F1474" s="7" t="str">
        <f aca="false">IFERROR(__xludf.dummyfunction("lower(GOOGLETRANSLATE(A1474,""en"",""es""))"),"la policía")</f>
        <v>la policía</v>
      </c>
      <c r="H1474" s="0" t="str">
        <f aca="false">A1474&amp;"|"&amp;B1474</f>
        <v>the police|la policía</v>
      </c>
    </row>
    <row r="1475" customFormat="false" ht="15.75" hidden="false" customHeight="false" outlineLevel="0" collapsed="false">
      <c r="A1475" s="4" t="s">
        <v>2781</v>
      </c>
      <c r="B1475" s="5" t="s">
        <v>2782</v>
      </c>
      <c r="C1475" s="9"/>
      <c r="D1475" s="6"/>
      <c r="E1475" s="7" t="str">
        <f aca="false">IFERROR(__xludf.dummyfunction("lower(GOOGLETRANSLATE(B1475,""es"",""en""))"),"to break")</f>
        <v>to break</v>
      </c>
      <c r="F1475" s="7" t="str">
        <f aca="false">IFERROR(__xludf.dummyfunction("lower(GOOGLETRANSLATE(A1475,""en"",""es""))"),"romper")</f>
        <v>romper</v>
      </c>
      <c r="H1475" s="0" t="str">
        <f aca="false">A1475&amp;"|"&amp;B1475</f>
        <v>to break|romper</v>
      </c>
    </row>
    <row r="1476" customFormat="false" ht="15.75" hidden="false" customHeight="false" outlineLevel="0" collapsed="false">
      <c r="A1476" s="4" t="s">
        <v>2783</v>
      </c>
      <c r="B1476" s="5" t="s">
        <v>2784</v>
      </c>
      <c r="C1476" s="9"/>
      <c r="D1476" s="6"/>
      <c r="E1476" s="7" t="str">
        <f aca="false">IFERROR(__xludf.dummyfunction("lower(GOOGLETRANSLATE(B1476,""es"",""en""))"),"the gas")</f>
        <v>the gas</v>
      </c>
      <c r="F1476" s="7" t="str">
        <f aca="false">IFERROR(__xludf.dummyfunction("lower(GOOGLETRANSLATE(A1476,""en"",""es""))"),"la gasolina")</f>
        <v>la gasolina</v>
      </c>
      <c r="H1476" s="0" t="str">
        <f aca="false">A1476&amp;"|"&amp;B1476</f>
        <v>the gasoline|la gasolina</v>
      </c>
    </row>
    <row r="1477" customFormat="false" ht="15.75" hidden="false" customHeight="false" outlineLevel="0" collapsed="false">
      <c r="A1477" s="4" t="s">
        <v>2785</v>
      </c>
      <c r="B1477" s="5" t="s">
        <v>2786</v>
      </c>
      <c r="C1477" s="9"/>
      <c r="D1477" s="6"/>
      <c r="E1477" s="7" t="str">
        <f aca="false">IFERROR(__xludf.dummyfunction("lower(GOOGLETRANSLATE(B1477,""es"",""en""))"),"electric")</f>
        <v>electric</v>
      </c>
      <c r="F1477" s="7" t="str">
        <f aca="false">IFERROR(__xludf.dummyfunction("lower(GOOGLETRANSLATE(A1477,""en"",""es""))"),"eléctrico")</f>
        <v>eléctrico</v>
      </c>
      <c r="H1477" s="0" t="str">
        <f aca="false">A1477&amp;"|"&amp;B1477</f>
        <v>electric|eléctrico</v>
      </c>
    </row>
    <row r="1478" customFormat="false" ht="15.75" hidden="false" customHeight="false" outlineLevel="0" collapsed="false">
      <c r="A1478" s="4" t="s">
        <v>2787</v>
      </c>
      <c r="B1478" s="5" t="s">
        <v>2788</v>
      </c>
      <c r="C1478" s="9"/>
      <c r="D1478" s="6"/>
      <c r="E1478" s="7" t="str">
        <f aca="false">IFERROR(__xludf.dummyfunction("lower(GOOGLETRANSLATE(B1478,""es"",""en""))"),"the electric car")</f>
        <v>the electric car</v>
      </c>
      <c r="F1478" s="7" t="str">
        <f aca="false">IFERROR(__xludf.dummyfunction("lower(GOOGLETRANSLATE(A1478,""en"",""es""))"),"el coche eléctrico")</f>
        <v>el coche eléctrico</v>
      </c>
      <c r="H1478" s="0" t="str">
        <f aca="false">A1478&amp;"|"&amp;B1478</f>
        <v>the electric car|el coche eléctrico</v>
      </c>
    </row>
    <row r="1479" customFormat="false" ht="15.75" hidden="false" customHeight="false" outlineLevel="0" collapsed="false">
      <c r="A1479" s="4" t="s">
        <v>2789</v>
      </c>
      <c r="B1479" s="5" t="s">
        <v>2790</v>
      </c>
      <c r="C1479" s="9"/>
      <c r="D1479" s="6"/>
      <c r="E1479" s="7" t="str">
        <f aca="false">IFERROR(__xludf.dummyfunction("lower(GOOGLETRANSLATE(B1479,""es"",""en""))"),"england")</f>
        <v>england</v>
      </c>
      <c r="F1479" s="7" t="str">
        <f aca="false">IFERROR(__xludf.dummyfunction("lower(GOOGLETRANSLATE(A1479,""en"",""es""))"),"inglaterra")</f>
        <v>inglaterra</v>
      </c>
      <c r="H1479" s="0" t="str">
        <f aca="false">A1479&amp;"|"&amp;B1479</f>
        <v>england|inglaterra</v>
      </c>
    </row>
    <row r="1480" customFormat="false" ht="15.75" hidden="false" customHeight="false" outlineLevel="0" collapsed="false">
      <c r="A1480" s="4" t="s">
        <v>732</v>
      </c>
      <c r="B1480" s="5" t="s">
        <v>2791</v>
      </c>
      <c r="C1480" s="9"/>
      <c r="D1480" s="6"/>
      <c r="E1480" s="7" t="str">
        <f aca="false">IFERROR(__xludf.dummyfunction("lower(GOOGLETRANSLATE(B1480,""es"",""en""))"),"english")</f>
        <v>english</v>
      </c>
      <c r="F1480" s="7" t="str">
        <f aca="false">IFERROR(__xludf.dummyfunction("lower(GOOGLETRANSLATE(A1480,""en"",""es""))"),"inglés")</f>
        <v>inglés</v>
      </c>
      <c r="H1480" s="0" t="str">
        <f aca="false">A1480&amp;"|"&amp;B1480</f>
        <v>english|inglés</v>
      </c>
    </row>
    <row r="1481" customFormat="false" ht="15.75" hidden="false" customHeight="false" outlineLevel="0" collapsed="false">
      <c r="A1481" s="4" t="s">
        <v>2792</v>
      </c>
      <c r="B1481" s="5" t="s">
        <v>2793</v>
      </c>
      <c r="C1481" s="10" t="s">
        <v>2794</v>
      </c>
      <c r="D1481" s="6"/>
      <c r="E1481" s="7" t="str">
        <f aca="false">IFERROR(__xludf.dummyfunction("lower(GOOGLETRANSLATE(B1481,""es"",""en""))"),"italy")</f>
        <v>italy</v>
      </c>
      <c r="F1481" s="7" t="str">
        <f aca="false">IFERROR(__xludf.dummyfunction("lower(GOOGLETRANSLATE(A1481,""en"",""es""))"),"italia")</f>
        <v>italia</v>
      </c>
      <c r="H1481" s="0" t="str">
        <f aca="false">A1481&amp;"|"&amp;B1481</f>
        <v>italy|italia</v>
      </c>
    </row>
    <row r="1482" customFormat="false" ht="15.75" hidden="false" customHeight="false" outlineLevel="0" collapsed="false">
      <c r="A1482" s="4" t="s">
        <v>2795</v>
      </c>
      <c r="B1482" s="5" t="s">
        <v>2796</v>
      </c>
      <c r="C1482" s="10" t="s">
        <v>2794</v>
      </c>
      <c r="D1482" s="6"/>
      <c r="E1482" s="7" t="str">
        <f aca="false">IFERROR(__xludf.dummyfunction("lower(GOOGLETRANSLATE(B1482,""es"",""en""))"),"italian")</f>
        <v>italian</v>
      </c>
      <c r="F1482" s="7" t="str">
        <f aca="false">IFERROR(__xludf.dummyfunction("lower(GOOGLETRANSLATE(A1482,""en"",""es""))"),"italiano")</f>
        <v>italiano</v>
      </c>
      <c r="H1482" s="0" t="str">
        <f aca="false">A1482&amp;"|"&amp;B1482</f>
        <v>italian|italiano</v>
      </c>
    </row>
    <row r="1483" customFormat="false" ht="15.75" hidden="false" customHeight="false" outlineLevel="0" collapsed="false">
      <c r="A1483" s="4" t="s">
        <v>2797</v>
      </c>
      <c r="B1483" s="5" t="s">
        <v>2798</v>
      </c>
      <c r="C1483" s="10" t="s">
        <v>2794</v>
      </c>
      <c r="D1483" s="6"/>
      <c r="E1483" s="7" t="str">
        <f aca="false">IFERROR(__xludf.dummyfunction("lower(GOOGLETRANSLATE(B1483,""es"",""en""))"),"france")</f>
        <v>france</v>
      </c>
      <c r="F1483" s="7" t="str">
        <f aca="false">IFERROR(__xludf.dummyfunction("lower(GOOGLETRANSLATE(A1483,""en"",""es""))"),"francia")</f>
        <v>francia</v>
      </c>
      <c r="H1483" s="0" t="str">
        <f aca="false">A1483&amp;"|"&amp;B1483</f>
        <v>france|francia</v>
      </c>
    </row>
    <row r="1484" customFormat="false" ht="15.75" hidden="false" customHeight="false" outlineLevel="0" collapsed="false">
      <c r="A1484" s="4" t="s">
        <v>2799</v>
      </c>
      <c r="B1484" s="5" t="s">
        <v>2800</v>
      </c>
      <c r="C1484" s="10" t="s">
        <v>2794</v>
      </c>
      <c r="D1484" s="6"/>
      <c r="E1484" s="7" t="str">
        <f aca="false">IFERROR(__xludf.dummyfunction("lower(GOOGLETRANSLATE(B1484,""es"",""en""))"),"french")</f>
        <v>french</v>
      </c>
      <c r="F1484" s="7" t="str">
        <f aca="false">IFERROR(__xludf.dummyfunction("lower(GOOGLETRANSLATE(A1484,""en"",""es""))"),"francés")</f>
        <v>francés</v>
      </c>
      <c r="H1484" s="0" t="str">
        <f aca="false">A1484&amp;"|"&amp;B1484</f>
        <v>french|francés</v>
      </c>
    </row>
    <row r="1485" customFormat="false" ht="15.75" hidden="false" customHeight="false" outlineLevel="0" collapsed="false">
      <c r="A1485" s="4" t="s">
        <v>2801</v>
      </c>
      <c r="B1485" s="5" t="s">
        <v>2802</v>
      </c>
      <c r="C1485" s="10" t="s">
        <v>2794</v>
      </c>
      <c r="D1485" s="6"/>
      <c r="E1485" s="7" t="str">
        <f aca="false">IFERROR(__xludf.dummyfunction("lower(GOOGLETRANSLATE(B1485,""es"",""en""))"),"holland")</f>
        <v>holland</v>
      </c>
      <c r="F1485" s="7" t="str">
        <f aca="false">IFERROR(__xludf.dummyfunction("lower(GOOGLETRANSLATE(A1485,""en"",""es""))"),"los países bajos")</f>
        <v>los países bajos</v>
      </c>
      <c r="H1485" s="0" t="str">
        <f aca="false">A1485&amp;"|"&amp;B1485</f>
        <v>the netherlands|holanda</v>
      </c>
    </row>
    <row r="1486" customFormat="false" ht="15.75" hidden="false" customHeight="false" outlineLevel="0" collapsed="false">
      <c r="A1486" s="4" t="s">
        <v>2803</v>
      </c>
      <c r="B1486" s="5" t="s">
        <v>2804</v>
      </c>
      <c r="C1486" s="10" t="s">
        <v>2794</v>
      </c>
      <c r="D1486" s="6"/>
      <c r="E1486" s="7" t="str">
        <f aca="false">IFERROR(__xludf.dummyfunction("lower(GOOGLETRANSLATE(B1486,""es"",""en""))"),"dutch")</f>
        <v>dutch</v>
      </c>
      <c r="F1486" s="7" t="str">
        <f aca="false">IFERROR(__xludf.dummyfunction("lower(GOOGLETRANSLATE(A1486,""en"",""es""))"),"holandés")</f>
        <v>holandés</v>
      </c>
      <c r="H1486" s="0" t="str">
        <f aca="false">A1486&amp;"|"&amp;B1486</f>
        <v>dutch|holandés</v>
      </c>
    </row>
    <row r="1487" customFormat="false" ht="15.75" hidden="false" customHeight="false" outlineLevel="0" collapsed="false">
      <c r="A1487" s="4" t="s">
        <v>2805</v>
      </c>
      <c r="B1487" s="5" t="s">
        <v>2806</v>
      </c>
      <c r="C1487" s="10" t="s">
        <v>2794</v>
      </c>
      <c r="D1487" s="6"/>
      <c r="E1487" s="7" t="str">
        <f aca="false">IFERROR(__xludf.dummyfunction("lower(GOOGLETRANSLATE(B1487,""es"",""en""))"),"russia")</f>
        <v>russia</v>
      </c>
      <c r="F1487" s="7" t="str">
        <f aca="false">IFERROR(__xludf.dummyfunction("lower(GOOGLETRANSLATE(A1487,""en"",""es""))"),"rusia")</f>
        <v>rusia</v>
      </c>
      <c r="H1487" s="0" t="str">
        <f aca="false">A1487&amp;"|"&amp;B1487</f>
        <v>russia|rusia</v>
      </c>
    </row>
    <row r="1488" customFormat="false" ht="15.75" hidden="false" customHeight="false" outlineLevel="0" collapsed="false">
      <c r="A1488" s="4" t="s">
        <v>2807</v>
      </c>
      <c r="B1488" s="5" t="s">
        <v>2808</v>
      </c>
      <c r="C1488" s="10" t="s">
        <v>2794</v>
      </c>
      <c r="D1488" s="6"/>
      <c r="E1488" s="7" t="str">
        <f aca="false">IFERROR(__xludf.dummyfunction("lower(GOOGLETRANSLATE(B1488,""es"",""en""))"),"russian")</f>
        <v>russian</v>
      </c>
      <c r="F1488" s="7" t="str">
        <f aca="false">IFERROR(__xludf.dummyfunction("lower(GOOGLETRANSLATE(A1488,""en"",""es""))"),"ruso")</f>
        <v>ruso</v>
      </c>
      <c r="H1488" s="0" t="str">
        <f aca="false">A1488&amp;"|"&amp;B1488</f>
        <v>russian|ruso</v>
      </c>
    </row>
    <row r="1489" customFormat="false" ht="15.75" hidden="false" customHeight="false" outlineLevel="0" collapsed="false">
      <c r="A1489" s="4" t="s">
        <v>2809</v>
      </c>
      <c r="B1489" s="5" t="s">
        <v>2810</v>
      </c>
      <c r="C1489" s="10" t="s">
        <v>2794</v>
      </c>
      <c r="D1489" s="6"/>
      <c r="E1489" s="7" t="str">
        <f aca="false">IFERROR(__xludf.dummyfunction("lower(GOOGLETRANSLATE(B1489,""es"",""en""))"),"germany")</f>
        <v>germany</v>
      </c>
      <c r="F1489" s="7" t="str">
        <f aca="false">IFERROR(__xludf.dummyfunction("lower(GOOGLETRANSLATE(A1489,""en"",""es""))"),"alemania")</f>
        <v>alemania</v>
      </c>
      <c r="H1489" s="0" t="str">
        <f aca="false">A1489&amp;"|"&amp;B1489</f>
        <v>germany|alemania</v>
      </c>
    </row>
    <row r="1490" customFormat="false" ht="15.75" hidden="false" customHeight="false" outlineLevel="0" collapsed="false">
      <c r="A1490" s="4" t="s">
        <v>2811</v>
      </c>
      <c r="B1490" s="5" t="s">
        <v>2812</v>
      </c>
      <c r="C1490" s="10" t="s">
        <v>2794</v>
      </c>
      <c r="D1490" s="6"/>
      <c r="E1490" s="7" t="str">
        <f aca="false">IFERROR(__xludf.dummyfunction("lower(GOOGLETRANSLATE(B1490,""es"",""en""))"),"german")</f>
        <v>german</v>
      </c>
      <c r="F1490" s="7" t="str">
        <f aca="false">IFERROR(__xludf.dummyfunction("lower(GOOGLETRANSLATE(A1490,""en"",""es""))"),"alemán")</f>
        <v>alemán</v>
      </c>
      <c r="H1490" s="0" t="str">
        <f aca="false">A1490&amp;"|"&amp;B1490</f>
        <v>german|alemán</v>
      </c>
    </row>
    <row r="1491" customFormat="false" ht="15.75" hidden="false" customHeight="false" outlineLevel="0" collapsed="false">
      <c r="A1491" s="4" t="s">
        <v>2813</v>
      </c>
      <c r="B1491" s="5" t="s">
        <v>2814</v>
      </c>
      <c r="C1491" s="9"/>
      <c r="D1491" s="6"/>
      <c r="E1491" s="7" t="str">
        <f aca="false">IFERROR(__xludf.dummyfunction("lower(GOOGLETRANSLATE(B1491,""es"",""en""))"),"the united states")</f>
        <v>the united states</v>
      </c>
      <c r="F1491" s="7" t="str">
        <f aca="false">IFERROR(__xludf.dummyfunction("lower(GOOGLETRANSLATE(A1491,""en"",""es""))"),"los estados unidos")</f>
        <v>los estados unidos</v>
      </c>
      <c r="H1491" s="0" t="str">
        <f aca="false">A1491&amp;"|"&amp;B1491</f>
        <v>the united states|los estados unidos</v>
      </c>
    </row>
    <row r="1492" customFormat="false" ht="15.75" hidden="false" customHeight="false" outlineLevel="0" collapsed="false">
      <c r="A1492" s="4" t="s">
        <v>2815</v>
      </c>
      <c r="B1492" s="5" t="s">
        <v>2816</v>
      </c>
      <c r="C1492" s="9"/>
      <c r="D1492" s="6"/>
      <c r="E1492" s="7" t="str">
        <f aca="false">IFERROR(__xludf.dummyfunction("lower(GOOGLETRANSLATE(B1492,""es"",""en""))"),"north american")</f>
        <v>north american</v>
      </c>
      <c r="F1492" s="7" t="str">
        <f aca="false">IFERROR(__xludf.dummyfunction("lower(GOOGLETRANSLATE(A1492,""en"",""es""))"),"americano")</f>
        <v>americano</v>
      </c>
      <c r="H1492" s="0" t="str">
        <f aca="false">A1492&amp;"|"&amp;B1492</f>
        <v>american|norte americano</v>
      </c>
    </row>
    <row r="1493" customFormat="false" ht="15.75" hidden="false" customHeight="false" outlineLevel="0" collapsed="false">
      <c r="A1493" s="4" t="s">
        <v>2817</v>
      </c>
      <c r="B1493" s="5" t="s">
        <v>2818</v>
      </c>
      <c r="C1493" s="9"/>
      <c r="D1493" s="6"/>
      <c r="E1493" s="7" t="str">
        <f aca="false">IFERROR(__xludf.dummyfunction("lower(GOOGLETRANSLATE(B1493,""es"",""en""))"),"mexico")</f>
        <v>mexico</v>
      </c>
      <c r="F1493" s="7" t="str">
        <f aca="false">IFERROR(__xludf.dummyfunction("lower(GOOGLETRANSLATE(A1493,""en"",""es""))"),"méxico")</f>
        <v>méxico</v>
      </c>
      <c r="H1493" s="0" t="str">
        <f aca="false">A1493&amp;"|"&amp;B1493</f>
        <v>mexico|méxico</v>
      </c>
    </row>
    <row r="1494" customFormat="false" ht="15.75" hidden="false" customHeight="false" outlineLevel="0" collapsed="false">
      <c r="A1494" s="4" t="s">
        <v>2819</v>
      </c>
      <c r="B1494" s="5" t="s">
        <v>2820</v>
      </c>
      <c r="C1494" s="9"/>
      <c r="D1494" s="6"/>
      <c r="E1494" s="7" t="str">
        <f aca="false">IFERROR(__xludf.dummyfunction("lower(GOOGLETRANSLATE(B1494,""es"",""en""))"),"mexican")</f>
        <v>mexican</v>
      </c>
      <c r="F1494" s="7" t="str">
        <f aca="false">IFERROR(__xludf.dummyfunction("lower(GOOGLETRANSLATE(A1494,""en"",""es""))"),"mexicano")</f>
        <v>mexicano</v>
      </c>
      <c r="H1494" s="0" t="str">
        <f aca="false">A1494&amp;"|"&amp;B1494</f>
        <v>mexican|mexicano</v>
      </c>
    </row>
    <row r="1495" customFormat="false" ht="15.75" hidden="false" customHeight="false" outlineLevel="0" collapsed="false">
      <c r="A1495" s="4" t="s">
        <v>2050</v>
      </c>
      <c r="B1495" s="5" t="s">
        <v>2051</v>
      </c>
      <c r="C1495" s="10" t="s">
        <v>2493</v>
      </c>
      <c r="D1495" s="6"/>
      <c r="E1495" s="7" t="str">
        <f aca="false">IFERROR(__xludf.dummyfunction("lower(GOOGLETRANSLATE(B1495,""es"",""en""))"),"the brother")</f>
        <v>the brother</v>
      </c>
      <c r="F1495" s="7" t="str">
        <f aca="false">IFERROR(__xludf.dummyfunction("lower(GOOGLETRANSLATE(A1495,""en"",""es""))"),"el hermano")</f>
        <v>el hermano</v>
      </c>
      <c r="H1495" s="0" t="str">
        <f aca="false">A1495&amp;"|"&amp;B1495</f>
        <v>the brother|el hermano</v>
      </c>
    </row>
    <row r="1496" customFormat="false" ht="15.75" hidden="false" customHeight="false" outlineLevel="0" collapsed="false">
      <c r="A1496" s="4" t="s">
        <v>2052</v>
      </c>
      <c r="B1496" s="5" t="s">
        <v>2053</v>
      </c>
      <c r="C1496" s="10" t="s">
        <v>2493</v>
      </c>
      <c r="D1496" s="6"/>
      <c r="E1496" s="7" t="str">
        <f aca="false">IFERROR(__xludf.dummyfunction("lower(GOOGLETRANSLATE(B1496,""es"",""en""))"),"sister")</f>
        <v>sister</v>
      </c>
      <c r="F1496" s="7" t="str">
        <f aca="false">IFERROR(__xludf.dummyfunction("lower(GOOGLETRANSLATE(A1496,""en"",""es""))"),"la hermana")</f>
        <v>la hermana</v>
      </c>
      <c r="H1496" s="0" t="str">
        <f aca="false">A1496&amp;"|"&amp;B1496</f>
        <v>the sister|la hermana</v>
      </c>
    </row>
    <row r="1497" customFormat="false" ht="15.75" hidden="false" customHeight="false" outlineLevel="0" collapsed="false">
      <c r="A1497" s="4" t="s">
        <v>2088</v>
      </c>
      <c r="B1497" s="5" t="s">
        <v>2821</v>
      </c>
      <c r="C1497" s="9"/>
      <c r="D1497" s="6"/>
      <c r="E1497" s="7" t="str">
        <f aca="false">IFERROR(__xludf.dummyfunction("lower(GOOGLETRANSLATE(B1497,""es"",""en""))"),"high")</f>
        <v>high</v>
      </c>
      <c r="F1497" s="7" t="str">
        <f aca="false">IFERROR(__xludf.dummyfunction("lower(GOOGLETRANSLATE(A1497,""en"",""es""))"),"alto")</f>
        <v>alto</v>
      </c>
      <c r="H1497" s="0" t="str">
        <f aca="false">A1497&amp;"|"&amp;B1497</f>
        <v>tall|alto</v>
      </c>
    </row>
    <row r="1498" customFormat="false" ht="15.75" hidden="false" customHeight="false" outlineLevel="0" collapsed="false">
      <c r="A1498" s="4" t="s">
        <v>2093</v>
      </c>
      <c r="B1498" s="5" t="s">
        <v>2131</v>
      </c>
      <c r="C1498" s="9"/>
      <c r="D1498" s="6"/>
      <c r="E1498" s="7" t="str">
        <f aca="false">IFERROR(__xludf.dummyfunction("lower(GOOGLETRANSLATE(B1498,""es"",""en""))"),"short")</f>
        <v>short</v>
      </c>
      <c r="F1498" s="7" t="str">
        <f aca="false">IFERROR(__xludf.dummyfunction("lower(GOOGLETRANSLATE(A1498,""en"",""es""))"),"corto")</f>
        <v>corto</v>
      </c>
      <c r="H1498" s="0" t="str">
        <f aca="false">A1498&amp;"|"&amp;B1498</f>
        <v>short|corto</v>
      </c>
    </row>
    <row r="1499" customFormat="false" ht="15.75" hidden="false" customHeight="false" outlineLevel="0" collapsed="false">
      <c r="A1499" s="4" t="s">
        <v>2822</v>
      </c>
      <c r="B1499" s="5" t="s">
        <v>2823</v>
      </c>
      <c r="C1499" s="9"/>
      <c r="D1499" s="6"/>
      <c r="E1499" s="7" t="str">
        <f aca="false">IFERROR(__xludf.dummyfunction("lower(GOOGLETRANSLATE(B1499,""es"",""en""))"),"ear")</f>
        <v>ear</v>
      </c>
      <c r="F1499" s="7" t="str">
        <f aca="false">IFERROR(__xludf.dummyfunction("lower(GOOGLETRANSLATE(A1499,""en"",""es""))"),"la oreja")</f>
        <v>la oreja</v>
      </c>
      <c r="H1499" s="0" t="str">
        <f aca="false">A1499&amp;"|"&amp;B1499</f>
        <v>the ear|la oreja</v>
      </c>
    </row>
    <row r="1500" customFormat="false" ht="15.75" hidden="false" customHeight="false" outlineLevel="0" collapsed="false">
      <c r="A1500" s="4" t="s">
        <v>2730</v>
      </c>
      <c r="B1500" s="5" t="s">
        <v>2731</v>
      </c>
      <c r="C1500" s="9"/>
      <c r="D1500" s="6"/>
      <c r="E1500" s="7" t="str">
        <f aca="false">IFERROR(__xludf.dummyfunction("lower(GOOGLETRANSLATE(B1500,""es"",""en""))"),"the waiter")</f>
        <v>the waiter</v>
      </c>
      <c r="F1500" s="7" t="str">
        <f aca="false">IFERROR(__xludf.dummyfunction("lower(GOOGLETRANSLATE(A1500,""en"",""es""))"),"el camarero")</f>
        <v>el camarero</v>
      </c>
      <c r="H1500" s="0" t="str">
        <f aca="false">A1500&amp;"|"&amp;B1500</f>
        <v>the waiter|el camarero</v>
      </c>
    </row>
    <row r="1501" customFormat="false" ht="15.75" hidden="false" customHeight="false" outlineLevel="0" collapsed="false">
      <c r="A1501" s="4" t="s">
        <v>2824</v>
      </c>
      <c r="B1501" s="5" t="s">
        <v>2825</v>
      </c>
      <c r="C1501" s="9"/>
      <c r="D1501" s="6"/>
      <c r="E1501" s="7" t="str">
        <f aca="false">IFERROR(__xludf.dummyfunction("lower(GOOGLETRANSLATE(B1501,""es"",""en""))"),"the message")</f>
        <v>the message</v>
      </c>
      <c r="F1501" s="7" t="str">
        <f aca="false">IFERROR(__xludf.dummyfunction("lower(GOOGLETRANSLATE(A1501,""en"",""es""))"),"el mensaje")</f>
        <v>el mensaje</v>
      </c>
      <c r="H1501" s="0" t="str">
        <f aca="false">A1501&amp;"|"&amp;B1501</f>
        <v>the message|el mensaje</v>
      </c>
    </row>
    <row r="1502" customFormat="false" ht="15.75" hidden="false" customHeight="false" outlineLevel="0" collapsed="false">
      <c r="A1502" s="4" t="s">
        <v>2826</v>
      </c>
      <c r="B1502" s="5" t="s">
        <v>2827</v>
      </c>
      <c r="C1502" s="10" t="s">
        <v>2493</v>
      </c>
      <c r="D1502" s="6"/>
      <c r="E1502" s="7" t="str">
        <f aca="false">IFERROR(__xludf.dummyfunction("lower(GOOGLETRANSLATE(B1502,""es"",""en""))"),"the farm")</f>
        <v>the farm</v>
      </c>
      <c r="F1502" s="7" t="str">
        <f aca="false">IFERROR(__xludf.dummyfunction("lower(GOOGLETRANSLATE(A1502,""en"",""es""))"),"la granja")</f>
        <v>la granja</v>
      </c>
      <c r="H1502" s="0" t="str">
        <f aca="false">A1502&amp;"|"&amp;B1502</f>
        <v>the farm|la granja</v>
      </c>
    </row>
    <row r="1503" customFormat="false" ht="15.75" hidden="false" customHeight="false" outlineLevel="0" collapsed="false">
      <c r="A1503" s="4" t="s">
        <v>2828</v>
      </c>
      <c r="B1503" s="5" t="s">
        <v>2829</v>
      </c>
      <c r="C1503" s="10" t="s">
        <v>2493</v>
      </c>
      <c r="D1503" s="6"/>
      <c r="E1503" s="7" t="str">
        <f aca="false">IFERROR(__xludf.dummyfunction("lower(GOOGLETRANSLATE(B1503,""es"",""en""))"),"the same")</f>
        <v>the same</v>
      </c>
      <c r="F1503" s="7" t="str">
        <f aca="false">IFERROR(__xludf.dummyfunction("lower(GOOGLETRANSLATE(A1503,""en"",""es""))"),"lo mismo")</f>
        <v>lo mismo</v>
      </c>
      <c r="H1503" s="0" t="str">
        <f aca="false">A1503&amp;"|"&amp;B1503</f>
        <v>the same|el mismo</v>
      </c>
    </row>
    <row r="1504" customFormat="false" ht="15.75" hidden="false" customHeight="false" outlineLevel="0" collapsed="false">
      <c r="A1504" s="4" t="s">
        <v>2830</v>
      </c>
      <c r="B1504" s="5" t="s">
        <v>2831</v>
      </c>
      <c r="C1504" s="10" t="s">
        <v>2493</v>
      </c>
      <c r="D1504" s="6"/>
      <c r="E1504" s="7" t="str">
        <f aca="false">IFERROR(__xludf.dummyfunction("lower(GOOGLETRANSLATE(B1504,""es"",""en""))"),"the earth")</f>
        <v>the earth</v>
      </c>
      <c r="F1504" s="7" t="str">
        <f aca="false">IFERROR(__xludf.dummyfunction("lower(GOOGLETRANSLATE(A1504,""en"",""es""))"),"la tierra")</f>
        <v>la tierra</v>
      </c>
      <c r="H1504" s="0" t="str">
        <f aca="false">A1504&amp;"|"&amp;B1504</f>
        <v>the earth|la tierra</v>
      </c>
    </row>
    <row r="1505" customFormat="false" ht="15.75" hidden="false" customHeight="false" outlineLevel="0" collapsed="false">
      <c r="A1505" s="4" t="s">
        <v>2236</v>
      </c>
      <c r="B1505" s="5" t="s">
        <v>2237</v>
      </c>
      <c r="C1505" s="10" t="s">
        <v>2493</v>
      </c>
      <c r="D1505" s="6"/>
      <c r="E1505" s="7" t="str">
        <f aca="false">IFERROR(__xludf.dummyfunction("lower(GOOGLETRANSLATE(B1505,""es"",""en""))"),"the color")</f>
        <v>the color</v>
      </c>
      <c r="F1505" s="7" t="str">
        <f aca="false">IFERROR(__xludf.dummyfunction("lower(GOOGLETRANSLATE(A1505,""en"",""es""))"),"el color")</f>
        <v>el color</v>
      </c>
      <c r="H1505" s="0" t="str">
        <f aca="false">A1505&amp;"|"&amp;B1505</f>
        <v>the color|el color</v>
      </c>
    </row>
    <row r="1506" customFormat="false" ht="15.75" hidden="false" customHeight="false" outlineLevel="0" collapsed="false">
      <c r="A1506" s="4" t="s">
        <v>2832</v>
      </c>
      <c r="B1506" s="5" t="s">
        <v>2833</v>
      </c>
      <c r="C1506" s="10" t="s">
        <v>2493</v>
      </c>
      <c r="D1506" s="6"/>
      <c r="E1506" s="7" t="str">
        <f aca="false">IFERROR(__xludf.dummyfunction("lower(GOOGLETRANSLATE(B1506,""es"",""en""))"),"love")</f>
        <v>love</v>
      </c>
      <c r="F1506" s="7" t="str">
        <f aca="false">IFERROR(__xludf.dummyfunction("lower(GOOGLETRANSLATE(A1506,""en"",""es""))"),"el amor")</f>
        <v>el amor</v>
      </c>
      <c r="H1506" s="0" t="str">
        <f aca="false">A1506&amp;"|"&amp;B1506</f>
        <v>the love|el amor</v>
      </c>
    </row>
    <row r="1507" customFormat="false" ht="15.75" hidden="false" customHeight="false" outlineLevel="0" collapsed="false">
      <c r="A1507" s="4" t="s">
        <v>2834</v>
      </c>
      <c r="B1507" s="5" t="s">
        <v>2835</v>
      </c>
      <c r="C1507" s="10" t="s">
        <v>2836</v>
      </c>
      <c r="D1507" s="6"/>
      <c r="E1507" s="7" t="str">
        <f aca="false">IFERROR(__xludf.dummyfunction("lower(GOOGLETRANSLATE(B1507,""es"",""en""))"),"yesterday")</f>
        <v>yesterday</v>
      </c>
      <c r="F1507" s="7" t="str">
        <f aca="false">IFERROR(__xludf.dummyfunction("lower(GOOGLETRANSLATE(A1507,""en"",""es""))"),"ayer")</f>
        <v>ayer</v>
      </c>
      <c r="H1507" s="0" t="str">
        <f aca="false">A1507&amp;"|"&amp;B1507</f>
        <v>yesterday|ayer</v>
      </c>
    </row>
    <row r="1508" customFormat="false" ht="15.75" hidden="false" customHeight="false" outlineLevel="0" collapsed="false">
      <c r="A1508" s="4" t="s">
        <v>2837</v>
      </c>
      <c r="B1508" s="5" t="s">
        <v>2838</v>
      </c>
      <c r="C1508" s="10" t="s">
        <v>2493</v>
      </c>
      <c r="D1508" s="6"/>
      <c r="E1508" s="7" t="str">
        <f aca="false">IFERROR(__xludf.dummyfunction("lower(GOOGLETRANSLATE(B1508,""es"",""en""))"),"life")</f>
        <v>life</v>
      </c>
      <c r="F1508" s="7" t="str">
        <f aca="false">IFERROR(__xludf.dummyfunction("lower(GOOGLETRANSLATE(A1508,""en"",""es""))"),"la vida")</f>
        <v>la vida</v>
      </c>
      <c r="H1508" s="0" t="str">
        <f aca="false">A1508&amp;"|"&amp;B1508</f>
        <v>the life|la vida</v>
      </c>
    </row>
    <row r="1509" customFormat="false" ht="15.75" hidden="false" customHeight="false" outlineLevel="0" collapsed="false">
      <c r="A1509" s="4" t="s">
        <v>2839</v>
      </c>
      <c r="B1509" s="5" t="s">
        <v>2840</v>
      </c>
      <c r="C1509" s="10" t="s">
        <v>2841</v>
      </c>
      <c r="D1509" s="6"/>
      <c r="E1509" s="7" t="str">
        <f aca="false">IFERROR(__xludf.dummyfunction("lower(GOOGLETRANSLATE(B1509,""es"",""en""))"),"distance")</f>
        <v>distance</v>
      </c>
      <c r="F1509" s="7" t="str">
        <f aca="false">IFERROR(__xludf.dummyfunction("lower(GOOGLETRANSLATE(A1509,""en"",""es""))"),"la distancia")</f>
        <v>la distancia</v>
      </c>
      <c r="H1509" s="0" t="str">
        <f aca="false">A1509&amp;"|"&amp;B1509</f>
        <v>the distance|la distancia</v>
      </c>
    </row>
    <row r="1510" customFormat="false" ht="15.75" hidden="false" customHeight="false" outlineLevel="0" collapsed="false">
      <c r="A1510" s="4" t="s">
        <v>1670</v>
      </c>
      <c r="B1510" s="5" t="s">
        <v>1671</v>
      </c>
      <c r="C1510" s="10" t="s">
        <v>2514</v>
      </c>
      <c r="D1510" s="6"/>
      <c r="E1510" s="7" t="str">
        <f aca="false">IFERROR(__xludf.dummyfunction("lower(GOOGLETRANSLATE(B1510,""es"",""en""))"),"the beach")</f>
        <v>the beach</v>
      </c>
      <c r="F1510" s="7" t="str">
        <f aca="false">IFERROR(__xludf.dummyfunction("lower(GOOGLETRANSLATE(A1510,""en"",""es""))"),"la playa")</f>
        <v>la playa</v>
      </c>
      <c r="H1510" s="0" t="str">
        <f aca="false">A1510&amp;"|"&amp;B1510</f>
        <v>the beach|la playa</v>
      </c>
    </row>
    <row r="1511" customFormat="false" ht="15.75" hidden="false" customHeight="false" outlineLevel="0" collapsed="false">
      <c r="A1511" s="4" t="s">
        <v>2842</v>
      </c>
      <c r="B1511" s="5" t="s">
        <v>2843</v>
      </c>
      <c r="C1511" s="10" t="s">
        <v>2535</v>
      </c>
      <c r="D1511" s="6"/>
      <c r="E1511" s="7" t="str">
        <f aca="false">IFERROR(__xludf.dummyfunction("lower(GOOGLETRANSLATE(B1511,""es"",""en""))"),"language")</f>
        <v>language</v>
      </c>
      <c r="F1511" s="7" t="str">
        <f aca="false">IFERROR(__xludf.dummyfunction("lower(GOOGLETRANSLATE(A1511,""en"",""es""))"),"el idioma")</f>
        <v>el idioma</v>
      </c>
      <c r="H1511" s="0" t="str">
        <f aca="false">A1511&amp;"|"&amp;B1511</f>
        <v>the language|el idioma</v>
      </c>
    </row>
    <row r="1512" customFormat="false" ht="15.75" hidden="false" customHeight="false" outlineLevel="0" collapsed="false">
      <c r="A1512" s="4" t="s">
        <v>2844</v>
      </c>
      <c r="B1512" s="5" t="s">
        <v>2845</v>
      </c>
      <c r="C1512" s="10" t="s">
        <v>2493</v>
      </c>
      <c r="D1512" s="6"/>
      <c r="E1512" s="7" t="str">
        <f aca="false">IFERROR(__xludf.dummyfunction("lower(GOOGLETRANSLATE(B1512,""es"",""en""))"),"the correction")</f>
        <v>the correction</v>
      </c>
      <c r="F1512" s="7" t="str">
        <f aca="false">IFERROR(__xludf.dummyfunction("lower(GOOGLETRANSLATE(A1512,""en"",""es""))"),"la correccion")</f>
        <v>la correccion</v>
      </c>
      <c r="H1512" s="0" t="str">
        <f aca="false">A1512&amp;"|"&amp;B1512</f>
        <v>the correction|la correccion</v>
      </c>
    </row>
    <row r="1513" customFormat="false" ht="15.75" hidden="false" customHeight="false" outlineLevel="0" collapsed="false">
      <c r="A1513" s="4" t="s">
        <v>2138</v>
      </c>
      <c r="B1513" s="5" t="s">
        <v>2139</v>
      </c>
      <c r="C1513" s="9"/>
      <c r="D1513" s="6"/>
      <c r="E1513" s="7" t="str">
        <f aca="false">IFERROR(__xludf.dummyfunction("lower(GOOGLETRANSLATE(B1513,""es"",""en""))"),"long")</f>
        <v>long</v>
      </c>
      <c r="F1513" s="7" t="str">
        <f aca="false">IFERROR(__xludf.dummyfunction("lower(GOOGLETRANSLATE(A1513,""en"",""es""))"),"largo")</f>
        <v>largo</v>
      </c>
      <c r="H1513" s="0" t="str">
        <f aca="false">A1513&amp;"|"&amp;B1513</f>
        <v>long|largo</v>
      </c>
    </row>
    <row r="1514" customFormat="false" ht="15.75" hidden="false" customHeight="false" outlineLevel="0" collapsed="false">
      <c r="A1514" s="4" t="s">
        <v>2846</v>
      </c>
      <c r="B1514" s="5" t="s">
        <v>2847</v>
      </c>
      <c r="C1514" s="9"/>
      <c r="D1514" s="6"/>
      <c r="E1514" s="7" t="str">
        <f aca="false">IFERROR(__xludf.dummyfunction("lower(GOOGLETRANSLATE(B1514,""es"",""en""))"),"occupied")</f>
        <v>occupied</v>
      </c>
      <c r="F1514" s="7" t="str">
        <f aca="false">IFERROR(__xludf.dummyfunction("lower(GOOGLETRANSLATE(A1514,""en"",""es""))"),"ocupado")</f>
        <v>ocupado</v>
      </c>
      <c r="H1514" s="0" t="str">
        <f aca="false">A1514&amp;"|"&amp;B1514</f>
        <v>busy|ocupado</v>
      </c>
    </row>
    <row r="1515" customFormat="false" ht="15.75" hidden="false" customHeight="false" outlineLevel="0" collapsed="false">
      <c r="A1515" s="4" t="s">
        <v>2848</v>
      </c>
      <c r="B1515" s="5" t="s">
        <v>2849</v>
      </c>
      <c r="C1515" s="9"/>
      <c r="D1515" s="6"/>
      <c r="E1515" s="7" t="str">
        <f aca="false">IFERROR(__xludf.dummyfunction("lower(GOOGLETRANSLATE(B1515,""es"",""en""))"),"of course")</f>
        <v>of course</v>
      </c>
      <c r="F1515" s="7" t="str">
        <f aca="false">IFERROR(__xludf.dummyfunction("lower(GOOGLETRANSLATE(A1515,""en"",""es""))"),"por supuesto")</f>
        <v>por supuesto</v>
      </c>
      <c r="H1515" s="0" t="str">
        <f aca="false">A1515&amp;"|"&amp;B1515</f>
        <v>of course|por supuesto</v>
      </c>
    </row>
    <row r="1516" customFormat="false" ht="15.75" hidden="false" customHeight="false" outlineLevel="0" collapsed="false">
      <c r="A1516" s="4" t="s">
        <v>2850</v>
      </c>
      <c r="B1516" s="5" t="s">
        <v>2851</v>
      </c>
      <c r="C1516" s="10" t="s">
        <v>2852</v>
      </c>
      <c r="D1516" s="6"/>
      <c r="E1516" s="7" t="str">
        <f aca="false">IFERROR(__xludf.dummyfunction("lower(GOOGLETRANSLATE(B1516,""es"",""en""))"),"the fist")</f>
        <v>the fist</v>
      </c>
      <c r="F1516" s="7" t="str">
        <f aca="false">IFERROR(__xludf.dummyfunction("lower(GOOGLETRANSLATE(A1516,""en"",""es""))"),"el puño")</f>
        <v>el puño</v>
      </c>
      <c r="H1516" s="0" t="str">
        <f aca="false">A1516&amp;"|"&amp;B1516</f>
        <v>the fist|el puño</v>
      </c>
    </row>
    <row r="1517" customFormat="false" ht="15.75" hidden="false" customHeight="false" outlineLevel="0" collapsed="false">
      <c r="A1517" s="4" t="s">
        <v>2853</v>
      </c>
      <c r="B1517" s="5" t="s">
        <v>1655</v>
      </c>
      <c r="C1517" s="10" t="s">
        <v>2854</v>
      </c>
      <c r="D1517" s="6"/>
      <c r="E1517" s="7" t="str">
        <f aca="false">IFERROR(__xludf.dummyfunction("lower(GOOGLETRANSLATE(B1517,""es"",""en""))"),"see")</f>
        <v>see</v>
      </c>
      <c r="F1517" s="7" t="str">
        <f aca="false">IFERROR(__xludf.dummyfunction("lower(GOOGLETRANSLATE(A1517,""en"",""es""))"),"para ver")</f>
        <v>para ver</v>
      </c>
      <c r="H1517" s="0" t="str">
        <f aca="false">A1517&amp;"|"&amp;B1517</f>
        <v>to see|ver</v>
      </c>
    </row>
    <row r="1518" customFormat="false" ht="15.75" hidden="false" customHeight="false" outlineLevel="0" collapsed="false">
      <c r="A1518" s="4" t="s">
        <v>2855</v>
      </c>
      <c r="B1518" s="5" t="s">
        <v>2856</v>
      </c>
      <c r="C1518" s="10" t="s">
        <v>2493</v>
      </c>
      <c r="D1518" s="6"/>
      <c r="E1518" s="7" t="str">
        <f aca="false">IFERROR(__xludf.dummyfunction("lower(GOOGLETRANSLATE(B1518,""es"",""en""))"),"the effort")</f>
        <v>the effort</v>
      </c>
      <c r="F1518" s="7" t="str">
        <f aca="false">IFERROR(__xludf.dummyfunction("lower(GOOGLETRANSLATE(A1518,""en"",""es""))"),"el esfuerzo")</f>
        <v>el esfuerzo</v>
      </c>
      <c r="H1518" s="0" t="str">
        <f aca="false">A1518&amp;"|"&amp;B1518</f>
        <v>the effort|el esfuerzo</v>
      </c>
    </row>
    <row r="1519" customFormat="false" ht="15.75" hidden="false" customHeight="false" outlineLevel="0" collapsed="false">
      <c r="A1519" s="4" t="s">
        <v>2857</v>
      </c>
      <c r="B1519" s="5" t="s">
        <v>2858</v>
      </c>
      <c r="C1519" s="10" t="s">
        <v>2854</v>
      </c>
      <c r="D1519" s="6"/>
      <c r="E1519" s="7" t="str">
        <f aca="false">IFERROR(__xludf.dummyfunction("lower(GOOGLETRANSLATE(B1519,""es"",""en""))"),"become")</f>
        <v>become</v>
      </c>
      <c r="F1519" s="7" t="str">
        <f aca="false">IFERROR(__xludf.dummyfunction("lower(GOOGLETRANSLATE(A1519,""en"",""es""))"),"convertirse")</f>
        <v>convertirse</v>
      </c>
      <c r="H1519" s="0" t="str">
        <f aca="false">A1519&amp;"|"&amp;B1519</f>
        <v>to become|convertirse</v>
      </c>
    </row>
    <row r="1520" customFormat="false" ht="15.75" hidden="false" customHeight="false" outlineLevel="0" collapsed="false">
      <c r="A1520" s="4" t="s">
        <v>2339</v>
      </c>
      <c r="B1520" s="5" t="s">
        <v>2340</v>
      </c>
      <c r="C1520" s="9"/>
      <c r="D1520" s="6"/>
      <c r="E1520" s="7" t="str">
        <f aca="false">IFERROR(__xludf.dummyfunction("lower(GOOGLETRANSLATE(B1520,""es"",""en""))"),"until")</f>
        <v>until</v>
      </c>
      <c r="F1520" s="7" t="str">
        <f aca="false">IFERROR(__xludf.dummyfunction("lower(GOOGLETRANSLATE(A1520,""en"",""es""))"),"hasta")</f>
        <v>hasta</v>
      </c>
      <c r="H1520" s="0" t="str">
        <f aca="false">A1520&amp;"|"&amp;B1520</f>
        <v>until|hasta</v>
      </c>
    </row>
    <row r="1521" customFormat="false" ht="15.75" hidden="false" customHeight="false" outlineLevel="0" collapsed="false">
      <c r="A1521" s="4" t="s">
        <v>2859</v>
      </c>
      <c r="B1521" s="5" t="s">
        <v>2860</v>
      </c>
      <c r="C1521" s="10" t="s">
        <v>2854</v>
      </c>
      <c r="D1521" s="6"/>
      <c r="E1521" s="7" t="str">
        <f aca="false">IFERROR(__xludf.dummyfunction("lower(GOOGLETRANSLATE(B1521,""es"",""en""))"),"acquire")</f>
        <v>acquire</v>
      </c>
      <c r="F1521" s="7" t="str">
        <f aca="false">IFERROR(__xludf.dummyfunction("lower(GOOGLETRANSLATE(A1521,""en"",""es""))"),"adquirir")</f>
        <v>adquirir</v>
      </c>
      <c r="H1521" s="0" t="str">
        <f aca="false">A1521&amp;"|"&amp;B1521</f>
        <v>to acquire|adquirir</v>
      </c>
    </row>
    <row r="1522" customFormat="false" ht="15.75" hidden="false" customHeight="false" outlineLevel="0" collapsed="false">
      <c r="A1522" s="4" t="s">
        <v>2861</v>
      </c>
      <c r="B1522" s="5" t="s">
        <v>2862</v>
      </c>
      <c r="C1522" s="10" t="s">
        <v>2503</v>
      </c>
      <c r="D1522" s="6"/>
      <c r="E1522" s="7" t="str">
        <f aca="false">IFERROR(__xludf.dummyfunction("lower(GOOGLETRANSLATE(B1522,""es"",""en""))"),"farmer")</f>
        <v>farmer</v>
      </c>
      <c r="F1522" s="7" t="str">
        <f aca="false">IFERROR(__xludf.dummyfunction("lower(GOOGLETRANSLATE(A1522,""en"",""es""))"),"agricultor")</f>
        <v>agricultor</v>
      </c>
      <c r="H1522" s="0" t="str">
        <f aca="false">A1522&amp;"|"&amp;B1522</f>
        <v>farmer|granjero</v>
      </c>
    </row>
    <row r="1523" customFormat="false" ht="15.75" hidden="false" customHeight="false" outlineLevel="0" collapsed="false">
      <c r="A1523" s="4" t="s">
        <v>2863</v>
      </c>
      <c r="B1523" s="5" t="s">
        <v>2864</v>
      </c>
      <c r="C1523" s="10" t="s">
        <v>2865</v>
      </c>
      <c r="D1523" s="6"/>
      <c r="E1523" s="7" t="str">
        <f aca="false">IFERROR(__xludf.dummyfunction("lower(GOOGLETRANSLATE(B1523,""es"",""en""))"),"the bishop")</f>
        <v>the bishop</v>
      </c>
      <c r="F1523" s="7" t="str">
        <f aca="false">IFERROR(__xludf.dummyfunction("lower(GOOGLETRANSLATE(A1523,""en"",""es""))"),"el obispo")</f>
        <v>el obispo</v>
      </c>
      <c r="H1523" s="0" t="str">
        <f aca="false">A1523&amp;"|"&amp;B1523</f>
        <v>the bishop|el obispo</v>
      </c>
    </row>
    <row r="1524" customFormat="false" ht="15.75" hidden="false" customHeight="false" outlineLevel="0" collapsed="false">
      <c r="A1524" s="4" t="s">
        <v>2866</v>
      </c>
      <c r="B1524" s="5" t="s">
        <v>2867</v>
      </c>
      <c r="C1524" s="10" t="s">
        <v>2868</v>
      </c>
      <c r="D1524" s="6"/>
      <c r="E1524" s="7" t="str">
        <f aca="false">IFERROR(__xludf.dummyfunction("lower(GOOGLETRANSLATE(B1524,""es"",""en""))"),"home")</f>
        <v>home</v>
      </c>
      <c r="F1524" s="7" t="str">
        <f aca="false">IFERROR(__xludf.dummyfunction("lower(GOOGLETRANSLATE(A1524,""en"",""es""))"),"el hogar")</f>
        <v>el hogar</v>
      </c>
      <c r="H1524" s="0" t="str">
        <f aca="false">A1524&amp;"|"&amp;B1524</f>
        <v>the home|el hogar</v>
      </c>
    </row>
    <row r="1525" customFormat="false" ht="15.75" hidden="false" customHeight="false" outlineLevel="0" collapsed="false">
      <c r="A1525" s="4" t="s">
        <v>2869</v>
      </c>
      <c r="B1525" s="5" t="s">
        <v>2870</v>
      </c>
      <c r="C1525" s="10" t="s">
        <v>2871</v>
      </c>
      <c r="D1525" s="6"/>
      <c r="E1525" s="7" t="str">
        <f aca="false">IFERROR(__xludf.dummyfunction("lower(GOOGLETRANSLATE(B1525,""es"",""en""))"),"sledge")</f>
        <v>sledge</v>
      </c>
      <c r="F1525" s="7" t="str">
        <f aca="false">IFERROR(__xludf.dummyfunction("lower(GOOGLETRANSLATE(A1525,""en"",""es""))"),"el trineo")</f>
        <v>el trineo</v>
      </c>
      <c r="H1525" s="0" t="str">
        <f aca="false">A1525&amp;"|"&amp;B1525</f>
        <v>the sled|el trineo</v>
      </c>
    </row>
    <row r="1526" customFormat="false" ht="15.75" hidden="false" customHeight="false" outlineLevel="0" collapsed="false">
      <c r="A1526" s="4" t="s">
        <v>2872</v>
      </c>
      <c r="B1526" s="5" t="s">
        <v>2873</v>
      </c>
      <c r="C1526" s="10" t="s">
        <v>2493</v>
      </c>
      <c r="D1526" s="6"/>
      <c r="E1526" s="7" t="str">
        <f aca="false">IFERROR(__xludf.dummyfunction("lower(GOOGLETRANSLATE(B1526,""es"",""en""))"),"the toy")</f>
        <v>the toy</v>
      </c>
      <c r="F1526" s="7" t="str">
        <f aca="false">IFERROR(__xludf.dummyfunction("lower(GOOGLETRANSLATE(A1526,""en"",""es""))"),"el juguete")</f>
        <v>el juguete</v>
      </c>
      <c r="H1526" s="0" t="str">
        <f aca="false">A1526&amp;"|"&amp;B1526</f>
        <v>the toy|el juguete</v>
      </c>
    </row>
    <row r="1527" customFormat="false" ht="15.75" hidden="false" customHeight="false" outlineLevel="0" collapsed="false">
      <c r="A1527" s="4" t="s">
        <v>2874</v>
      </c>
      <c r="B1527" s="5" t="s">
        <v>2875</v>
      </c>
      <c r="C1527" s="10" t="s">
        <v>2854</v>
      </c>
      <c r="D1527" s="6"/>
      <c r="E1527" s="7" t="str">
        <f aca="false">IFERROR(__xludf.dummyfunction("lower(GOOGLETRANSLATE(B1527,""es"",""en""))"),"inherit")</f>
        <v>inherit</v>
      </c>
      <c r="F1527" s="7" t="str">
        <f aca="false">IFERROR(__xludf.dummyfunction("lower(GOOGLETRANSLATE(A1527,""en"",""es""))"),"heredar")</f>
        <v>heredar</v>
      </c>
      <c r="H1527" s="0" t="str">
        <f aca="false">A1527&amp;"|"&amp;B1527</f>
        <v>to inherit|heredar</v>
      </c>
    </row>
    <row r="1528" customFormat="false" ht="15.75" hidden="false" customHeight="false" outlineLevel="0" collapsed="false">
      <c r="A1528" s="4" t="s">
        <v>2876</v>
      </c>
      <c r="B1528" s="5" t="s">
        <v>2877</v>
      </c>
      <c r="C1528" s="10" t="s">
        <v>2493</v>
      </c>
      <c r="D1528" s="6"/>
      <c r="E1528" s="7" t="str">
        <f aca="false">IFERROR(__xludf.dummyfunction("lower(GOOGLETRANSLATE(B1528,""es"",""en""))"),"the men")</f>
        <v>the men</v>
      </c>
      <c r="F1528" s="7" t="str">
        <f aca="false">IFERROR(__xludf.dummyfunction("lower(GOOGLETRANSLATE(A1528,""en"",""es""))"),"los hombres")</f>
        <v>los hombres</v>
      </c>
      <c r="H1528" s="0" t="str">
        <f aca="false">A1528&amp;"|"&amp;B1528</f>
        <v>the men|los varones</v>
      </c>
    </row>
    <row r="1529" customFormat="false" ht="15.75" hidden="false" customHeight="false" outlineLevel="0" collapsed="false">
      <c r="A1529" s="4" t="s">
        <v>2878</v>
      </c>
      <c r="B1529" s="5" t="s">
        <v>2879</v>
      </c>
      <c r="C1529" s="9"/>
      <c r="D1529" s="6"/>
      <c r="E1529" s="7" t="str">
        <f aca="false">IFERROR(__xludf.dummyfunction("lower(GOOGLETRANSLATE(B1529,""es"",""en""))"),"restless")</f>
        <v>restless</v>
      </c>
      <c r="F1529" s="7" t="str">
        <f aca="false">IFERROR(__xludf.dummyfunction("lower(GOOGLETRANSLATE(A1529,""en"",""es""))"),"inquieto")</f>
        <v>inquieto</v>
      </c>
      <c r="H1529" s="0" t="str">
        <f aca="false">A1529&amp;"|"&amp;B1529</f>
        <v>restless|inquieto</v>
      </c>
    </row>
    <row r="1530" customFormat="false" ht="15.75" hidden="false" customHeight="false" outlineLevel="0" collapsed="false">
      <c r="A1530" s="4" t="s">
        <v>2880</v>
      </c>
      <c r="B1530" s="5" t="s">
        <v>2881</v>
      </c>
      <c r="C1530" s="10" t="s">
        <v>2882</v>
      </c>
      <c r="D1530" s="6"/>
      <c r="E1530" s="7" t="str">
        <f aca="false">IFERROR(__xludf.dummyfunction("lower(GOOGLETRANSLATE(B1530,""es"",""en""))"),"cerrano")</f>
        <v>cerrano</v>
      </c>
      <c r="F1530" s="7" t="str">
        <f aca="false">IFERROR(__xludf.dummyfunction("lower(GOOGLETRANSLATE(A1530,""en"",""es""))"),"cerca")</f>
        <v>cerca</v>
      </c>
      <c r="H1530" s="0" t="str">
        <f aca="false">A1530&amp;"|"&amp;B1530</f>
        <v>near|cerrano</v>
      </c>
    </row>
    <row r="1531" customFormat="false" ht="15.75" hidden="false" customHeight="false" outlineLevel="0" collapsed="false">
      <c r="A1531" s="4" t="s">
        <v>2883</v>
      </c>
      <c r="B1531" s="5" t="s">
        <v>2884</v>
      </c>
      <c r="C1531" s="10" t="s">
        <v>2854</v>
      </c>
      <c r="D1531" s="6"/>
      <c r="E1531" s="7" t="str">
        <f aca="false">IFERROR(__xludf.dummyfunction("lower(GOOGLETRANSLATE(B1531,""es"",""en""))"),"keep")</f>
        <v>keep</v>
      </c>
      <c r="F1531" s="7" t="str">
        <f aca="false">IFERROR(__xludf.dummyfunction("lower(GOOGLETRANSLATE(A1531,""en"",""es""))"),"para mantenerlo")</f>
        <v>para mantenerlo</v>
      </c>
      <c r="H1531" s="0" t="str">
        <f aca="false">A1531&amp;"|"&amp;B1531</f>
        <v>to keep it|mantenerlo</v>
      </c>
    </row>
    <row r="1532" customFormat="false" ht="15.75" hidden="false" customHeight="false" outlineLevel="0" collapsed="false">
      <c r="A1532" s="4" t="s">
        <v>2885</v>
      </c>
      <c r="B1532" s="5" t="s">
        <v>2886</v>
      </c>
      <c r="C1532" s="10" t="s">
        <v>2493</v>
      </c>
      <c r="D1532" s="6"/>
      <c r="E1532" s="7" t="str">
        <f aca="false">IFERROR(__xludf.dummyfunction("lower(GOOGLETRANSLATE(B1532,""es"",""en""))"),"the circus")</f>
        <v>the circus</v>
      </c>
      <c r="F1532" s="7" t="str">
        <f aca="false">IFERROR(__xludf.dummyfunction("lower(GOOGLETRANSLATE(A1532,""en"",""es""))"),"el circo")</f>
        <v>el circo</v>
      </c>
      <c r="H1532" s="0" t="str">
        <f aca="false">A1532&amp;"|"&amp;B1532</f>
        <v>the circus|el circo</v>
      </c>
    </row>
    <row r="1533" customFormat="false" ht="15.75" hidden="false" customHeight="false" outlineLevel="0" collapsed="false">
      <c r="A1533" s="4" t="s">
        <v>2887</v>
      </c>
      <c r="B1533" s="5" t="s">
        <v>2888</v>
      </c>
      <c r="C1533" s="10" t="s">
        <v>2493</v>
      </c>
      <c r="D1533" s="6"/>
      <c r="E1533" s="7" t="str">
        <f aca="false">IFERROR(__xludf.dummyfunction("lower(GOOGLETRANSLATE(B1533,""es"",""en""))"),"the parade")</f>
        <v>the parade</v>
      </c>
      <c r="F1533" s="7" t="str">
        <f aca="false">IFERROR(__xludf.dummyfunction("lower(GOOGLETRANSLATE(A1533,""en"",""es""))"),"el desfile")</f>
        <v>el desfile</v>
      </c>
      <c r="H1533" s="0" t="str">
        <f aca="false">A1533&amp;"|"&amp;B1533</f>
        <v>the parade|el desfile</v>
      </c>
    </row>
    <row r="1534" customFormat="false" ht="15.75" hidden="false" customHeight="false" outlineLevel="0" collapsed="false">
      <c r="A1534" s="4" t="s">
        <v>2889</v>
      </c>
      <c r="B1534" s="5" t="s">
        <v>2890</v>
      </c>
      <c r="C1534" s="10" t="s">
        <v>2493</v>
      </c>
      <c r="D1534" s="6"/>
      <c r="E1534" s="7" t="str">
        <f aca="false">IFERROR(__xludf.dummyfunction("lower(GOOGLETRANSLATE(B1534,""es"",""en""))"),"the kite")</f>
        <v>the kite</v>
      </c>
      <c r="F1534" s="7" t="str">
        <f aca="false">IFERROR(__xludf.dummyfunction("lower(GOOGLETRANSLATE(A1534,""en"",""es""))"),"la cometa")</f>
        <v>la cometa</v>
      </c>
      <c r="H1534" s="0" t="str">
        <f aca="false">A1534&amp;"|"&amp;B1534</f>
        <v>the kite|la cometa</v>
      </c>
    </row>
    <row r="1535" customFormat="false" ht="15.75" hidden="false" customHeight="false" outlineLevel="0" collapsed="false">
      <c r="A1535" s="4" t="s">
        <v>2891</v>
      </c>
      <c r="B1535" s="5" t="s">
        <v>2892</v>
      </c>
      <c r="C1535" s="10" t="s">
        <v>2854</v>
      </c>
      <c r="D1535" s="6"/>
      <c r="E1535" s="7" t="str">
        <f aca="false">IFERROR(__xludf.dummyfunction("lower(GOOGLETRANSLATE(B1535,""es"",""en""))"),"wake up")</f>
        <v>wake up</v>
      </c>
      <c r="F1535" s="7" t="str">
        <f aca="false">IFERROR(__xludf.dummyfunction("lower(GOOGLETRANSLATE(A1535,""en"",""es""))"),"despertarse")</f>
        <v>despertarse</v>
      </c>
      <c r="H1535" s="0" t="str">
        <f aca="false">A1535&amp;"|"&amp;B1535</f>
        <v>to wake up|despertarse</v>
      </c>
    </row>
    <row r="1536" customFormat="false" ht="15.75" hidden="false" customHeight="false" outlineLevel="0" collapsed="false">
      <c r="A1536" s="4" t="s">
        <v>2893</v>
      </c>
      <c r="B1536" s="5" t="s">
        <v>2894</v>
      </c>
      <c r="C1536" s="10" t="s">
        <v>2493</v>
      </c>
      <c r="D1536" s="6"/>
      <c r="E1536" s="7" t="str">
        <f aca="false">IFERROR(__xludf.dummyfunction("lower(GOOGLETRANSLATE(B1536,""es"",""en""))"),"wood")</f>
        <v>wood</v>
      </c>
      <c r="F1536" s="7" t="str">
        <f aca="false">IFERROR(__xludf.dummyfunction("lower(GOOGLETRANSLATE(A1536,""en"",""es""))"),"madera")</f>
        <v>madera</v>
      </c>
      <c r="H1536" s="0" t="str">
        <f aca="false">A1536&amp;"|"&amp;B1536</f>
        <v>wood|madera</v>
      </c>
    </row>
    <row r="1537" customFormat="false" ht="15.75" hidden="false" customHeight="false" outlineLevel="0" collapsed="false">
      <c r="A1537" s="4" t="s">
        <v>2895</v>
      </c>
      <c r="B1537" s="5" t="s">
        <v>2896</v>
      </c>
      <c r="C1537" s="10" t="s">
        <v>2493</v>
      </c>
      <c r="D1537" s="6"/>
      <c r="E1537" s="7" t="str">
        <f aca="false">IFERROR(__xludf.dummyfunction("lower(GOOGLETRANSLATE(B1537,""es"",""en""))"),"propeller")</f>
        <v>propeller</v>
      </c>
      <c r="F1537" s="7" t="str">
        <f aca="false">IFERROR(__xludf.dummyfunction("lower(GOOGLETRANSLATE(A1537,""en"",""es""))"),"hélice")</f>
        <v>hélice</v>
      </c>
      <c r="H1537" s="0" t="str">
        <f aca="false">A1537&amp;"|"&amp;B1537</f>
        <v>propeller|hélice</v>
      </c>
    </row>
    <row r="1538" customFormat="false" ht="15.75" hidden="false" customHeight="false" outlineLevel="0" collapsed="false">
      <c r="A1538" s="4" t="s">
        <v>2897</v>
      </c>
      <c r="B1538" s="5" t="s">
        <v>2898</v>
      </c>
      <c r="C1538" s="10" t="s">
        <v>2854</v>
      </c>
      <c r="D1538" s="6"/>
      <c r="E1538" s="7" t="str">
        <f aca="false">IFERROR(__xludf.dummyfunction("lower(GOOGLETRANSLATE(B1538,""es"",""en""))"),"to plan")</f>
        <v>to plan</v>
      </c>
      <c r="F1538" s="7" t="str">
        <f aca="false">IFERROR(__xludf.dummyfunction("lower(GOOGLETRANSLATE(A1538,""en"",""es""))"),"deslizamiento")</f>
        <v>deslizamiento</v>
      </c>
      <c r="H1538" s="0" t="str">
        <f aca="false">A1538&amp;"|"&amp;B1538</f>
        <v>to glide|planear</v>
      </c>
    </row>
    <row r="1539" customFormat="false" ht="15.75" hidden="false" customHeight="false" outlineLevel="0" collapsed="false">
      <c r="A1539" s="4" t="s">
        <v>2899</v>
      </c>
      <c r="B1539" s="5" t="s">
        <v>2900</v>
      </c>
      <c r="C1539" s="10" t="s">
        <v>2493</v>
      </c>
      <c r="D1539" s="6"/>
      <c r="E1539" s="7" t="str">
        <f aca="false">IFERROR(__xludf.dummyfunction("lower(GOOGLETRANSLATE(B1539,""es"",""en""))"),"the risk")</f>
        <v>the risk</v>
      </c>
      <c r="F1539" s="7" t="str">
        <f aca="false">IFERROR(__xludf.dummyfunction("lower(GOOGLETRANSLATE(A1539,""en"",""es""))"),"el riesgo")</f>
        <v>el riesgo</v>
      </c>
      <c r="H1539" s="0" t="str">
        <f aca="false">A1539&amp;"|"&amp;B1539</f>
        <v>the risk|el riesgo</v>
      </c>
    </row>
    <row r="1540" customFormat="false" ht="15.75" hidden="false" customHeight="false" outlineLevel="0" collapsed="false">
      <c r="A1540" s="4" t="s">
        <v>2901</v>
      </c>
      <c r="B1540" s="5" t="s">
        <v>2902</v>
      </c>
      <c r="C1540" s="10" t="s">
        <v>2493</v>
      </c>
      <c r="D1540" s="6"/>
      <c r="E1540" s="7" t="str">
        <f aca="false">IFERROR(__xludf.dummyfunction("lower(GOOGLETRANSLATE(B1540,""es"",""en""))"),"the argument")</f>
        <v>the argument</v>
      </c>
      <c r="F1540" s="7" t="str">
        <f aca="false">IFERROR(__xludf.dummyfunction("lower(GOOGLETRANSLATE(A1540,""en"",""es""))"),"el argumento")</f>
        <v>el argumento</v>
      </c>
      <c r="H1540" s="0" t="str">
        <f aca="false">A1540&amp;"|"&amp;B1540</f>
        <v>the argument|el argumento</v>
      </c>
    </row>
    <row r="1541" customFormat="false" ht="15.75" hidden="false" customHeight="false" outlineLevel="0" collapsed="false">
      <c r="A1541" s="4" t="s">
        <v>2903</v>
      </c>
      <c r="B1541" s="5" t="s">
        <v>2904</v>
      </c>
      <c r="C1541" s="10" t="s">
        <v>2493</v>
      </c>
      <c r="D1541" s="6"/>
      <c r="E1541" s="7" t="str">
        <f aca="false">IFERROR(__xludf.dummyfunction("lower(GOOGLETRANSLATE(B1541,""es"",""en""))"),"the situation")</f>
        <v>the situation</v>
      </c>
      <c r="F1541" s="7" t="str">
        <f aca="false">IFERROR(__xludf.dummyfunction("lower(GOOGLETRANSLATE(A1541,""en"",""es""))"),"la situación")</f>
        <v>la situación</v>
      </c>
      <c r="H1541" s="0" t="str">
        <f aca="false">A1541&amp;"|"&amp;B1541</f>
        <v>the situation|la situación</v>
      </c>
    </row>
    <row r="1542" customFormat="false" ht="15.75" hidden="false" customHeight="false" outlineLevel="0" collapsed="false">
      <c r="A1542" s="4" t="s">
        <v>2905</v>
      </c>
      <c r="B1542" s="5" t="s">
        <v>2906</v>
      </c>
      <c r="C1542" s="10" t="s">
        <v>2493</v>
      </c>
      <c r="D1542" s="6"/>
      <c r="E1542" s="7" t="str">
        <f aca="false">IFERROR(__xludf.dummyfunction("lower(GOOGLETRANSLATE(B1542,""es"",""en""))"),"the citizen")</f>
        <v>the citizen</v>
      </c>
      <c r="F1542" s="7" t="str">
        <f aca="false">IFERROR(__xludf.dummyfunction("lower(GOOGLETRANSLATE(A1542,""en"",""es""))"),"el ciudadano")</f>
        <v>el ciudadano</v>
      </c>
      <c r="H1542" s="0" t="str">
        <f aca="false">A1542&amp;"|"&amp;B1542</f>
        <v>the citizen|el ciudadano</v>
      </c>
    </row>
    <row r="1543" customFormat="false" ht="15.75" hidden="false" customHeight="false" outlineLevel="0" collapsed="false">
      <c r="A1543" s="4" t="s">
        <v>2907</v>
      </c>
      <c r="B1543" s="5" t="s">
        <v>2908</v>
      </c>
      <c r="C1543" s="10" t="s">
        <v>2493</v>
      </c>
      <c r="D1543" s="6"/>
      <c r="E1543" s="7" t="str">
        <f aca="false">IFERROR(__xludf.dummyfunction("lower(GOOGLETRANSLATE(B1543,""es"",""en""))"),"the security")</f>
        <v>the security</v>
      </c>
      <c r="F1543" s="7" t="str">
        <f aca="false">IFERROR(__xludf.dummyfunction("lower(GOOGLETRANSLATE(A1543,""en"",""es""))"),"la seguridad")</f>
        <v>la seguridad</v>
      </c>
      <c r="H1543" s="0" t="str">
        <f aca="false">A1543&amp;"|"&amp;B1543</f>
        <v>the safety|el seguridad</v>
      </c>
    </row>
    <row r="1544" customFormat="false" ht="15.75" hidden="false" customHeight="false" outlineLevel="0" collapsed="false">
      <c r="A1544" s="4" t="s">
        <v>2909</v>
      </c>
      <c r="B1544" s="5" t="s">
        <v>2910</v>
      </c>
      <c r="C1544" s="10" t="s">
        <v>2493</v>
      </c>
      <c r="D1544" s="6"/>
      <c r="E1544" s="7" t="str">
        <f aca="false">IFERROR(__xludf.dummyfunction("lower(GOOGLETRANSLATE(B1544,""es"",""en""))"),"the capture")</f>
        <v>the capture</v>
      </c>
      <c r="F1544" s="7" t="str">
        <f aca="false">IFERROR(__xludf.dummyfunction("lower(GOOGLETRANSLATE(A1544,""en"",""es""))"),"la captura")</f>
        <v>la captura</v>
      </c>
      <c r="H1544" s="0" t="str">
        <f aca="false">A1544&amp;"|"&amp;B1544</f>
        <v>the capture|la captura</v>
      </c>
    </row>
    <row r="1545" customFormat="false" ht="15.75" hidden="false" customHeight="false" outlineLevel="0" collapsed="false">
      <c r="A1545" s="4" t="s">
        <v>2911</v>
      </c>
      <c r="B1545" s="5" t="s">
        <v>2912</v>
      </c>
      <c r="C1545" s="10" t="s">
        <v>2493</v>
      </c>
      <c r="D1545" s="6"/>
      <c r="E1545" s="7" t="str">
        <f aca="false">IFERROR(__xludf.dummyfunction("lower(GOOGLETRANSLATE(B1545,""es"",""en""))"),"the violence")</f>
        <v>the violence</v>
      </c>
      <c r="F1545" s="7" t="str">
        <f aca="false">IFERROR(__xludf.dummyfunction("lower(GOOGLETRANSLATE(A1545,""en"",""es""))"),"la violencia")</f>
        <v>la violencia</v>
      </c>
      <c r="H1545" s="0" t="str">
        <f aca="false">A1545&amp;"|"&amp;B1545</f>
        <v>the violence|la violencia</v>
      </c>
    </row>
    <row r="1546" customFormat="false" ht="15.75" hidden="false" customHeight="false" outlineLevel="0" collapsed="false">
      <c r="A1546" s="4" t="s">
        <v>2913</v>
      </c>
      <c r="B1546" s="5" t="s">
        <v>2914</v>
      </c>
      <c r="C1546" s="10" t="s">
        <v>2493</v>
      </c>
      <c r="D1546" s="6"/>
      <c r="E1546" s="7" t="str">
        <f aca="false">IFERROR(__xludf.dummyfunction("lower(GOOGLETRANSLATE(B1546,""es"",""en""))"),"the fire")</f>
        <v>the fire</v>
      </c>
      <c r="F1546" s="7" t="str">
        <f aca="false">IFERROR(__xludf.dummyfunction("lower(GOOGLETRANSLATE(A1546,""en"",""es""))"),"el fuego")</f>
        <v>el fuego</v>
      </c>
      <c r="H1546" s="0" t="str">
        <f aca="false">A1546&amp;"|"&amp;B1546</f>
        <v>the fire|el fuego</v>
      </c>
    </row>
    <row r="1547" customFormat="false" ht="15.75" hidden="false" customHeight="false" outlineLevel="0" collapsed="false">
      <c r="A1547" s="4" t="s">
        <v>2915</v>
      </c>
      <c r="B1547" s="5" t="s">
        <v>2916</v>
      </c>
      <c r="C1547" s="10" t="s">
        <v>2493</v>
      </c>
      <c r="D1547" s="6"/>
      <c r="E1547" s="7" t="str">
        <f aca="false">IFERROR(__xludf.dummyfunction("lower(GOOGLETRANSLATE(B1547,""es"",""en""))"),"pleasure")</f>
        <v>pleasure</v>
      </c>
      <c r="F1547" s="7" t="str">
        <f aca="false">IFERROR(__xludf.dummyfunction("lower(GOOGLETRANSLATE(A1547,""en"",""es""))"),"el placer")</f>
        <v>el placer</v>
      </c>
      <c r="H1547" s="0" t="str">
        <f aca="false">A1547&amp;"|"&amp;B1547</f>
        <v>the pleasure|el placer</v>
      </c>
    </row>
    <row r="1548" customFormat="false" ht="15.75" hidden="false" customHeight="false" outlineLevel="0" collapsed="false">
      <c r="A1548" s="4" t="s">
        <v>2917</v>
      </c>
      <c r="B1548" s="5" t="s">
        <v>2918</v>
      </c>
      <c r="C1548" s="10" t="s">
        <v>2493</v>
      </c>
      <c r="D1548" s="6"/>
      <c r="E1548" s="7" t="str">
        <f aca="false">IFERROR(__xludf.dummyfunction("lower(GOOGLETRANSLATE(B1548,""es"",""en""))"),"the newspaper")</f>
        <v>the newspaper</v>
      </c>
      <c r="F1548" s="7" t="str">
        <f aca="false">IFERROR(__xludf.dummyfunction("lower(GOOGLETRANSLATE(A1548,""en"",""es""))"),"el periódico")</f>
        <v>el periódico</v>
      </c>
      <c r="H1548" s="0" t="str">
        <f aca="false">A1548&amp;"|"&amp;B1548</f>
        <v>the newspaper|el diario</v>
      </c>
    </row>
    <row r="1549" customFormat="false" ht="15.75" hidden="false" customHeight="false" outlineLevel="0" collapsed="false">
      <c r="A1549" s="4" t="s">
        <v>2917</v>
      </c>
      <c r="B1549" s="5" t="s">
        <v>2919</v>
      </c>
      <c r="C1549" s="10" t="s">
        <v>2493</v>
      </c>
      <c r="D1549" s="6"/>
      <c r="E1549" s="7" t="str">
        <f aca="false">IFERROR(__xludf.dummyfunction("lower(GOOGLETRANSLATE(B1549,""es"",""en""))"),"the newspaper")</f>
        <v>the newspaper</v>
      </c>
      <c r="F1549" s="7" t="str">
        <f aca="false">IFERROR(__xludf.dummyfunction("lower(GOOGLETRANSLATE(A1549,""en"",""es""))"),"el periódico")</f>
        <v>el periódico</v>
      </c>
      <c r="H1549" s="0" t="str">
        <f aca="false">A1549&amp;"|"&amp;B1549</f>
        <v>the newspaper|el periódico</v>
      </c>
    </row>
    <row r="1550" customFormat="false" ht="15.75" hidden="false" customHeight="false" outlineLevel="0" collapsed="false">
      <c r="A1550" s="4" t="s">
        <v>2920</v>
      </c>
      <c r="B1550" s="5" t="s">
        <v>2921</v>
      </c>
      <c r="C1550" s="10" t="s">
        <v>2510</v>
      </c>
      <c r="D1550" s="6"/>
      <c r="E1550" s="7" t="str">
        <f aca="false">IFERROR(__xludf.dummyfunction("lower(GOOGLETRANSLATE(B1550,""es"",""en""))"),"the painting")</f>
        <v>the painting</v>
      </c>
      <c r="F1550" s="7" t="str">
        <f aca="false">IFERROR(__xludf.dummyfunction("lower(GOOGLETRANSLATE(A1550,""en"",""es""))"),"la pintura")</f>
        <v>la pintura</v>
      </c>
      <c r="H1550" s="0" t="str">
        <f aca="false">A1550&amp;"|"&amp;B1550</f>
        <v>the painting|la pintura</v>
      </c>
    </row>
    <row r="1551" customFormat="false" ht="15.75" hidden="false" customHeight="false" outlineLevel="0" collapsed="false">
      <c r="A1551" s="4" t="s">
        <v>2922</v>
      </c>
      <c r="B1551" s="5" t="s">
        <v>2923</v>
      </c>
      <c r="C1551" s="10" t="s">
        <v>2924</v>
      </c>
      <c r="D1551" s="6"/>
      <c r="E1551" s="7" t="str">
        <f aca="false">IFERROR(__xludf.dummyfunction("lower(GOOGLETRANSLATE(B1551,""es"",""en""))"),"the painter")</f>
        <v>the painter</v>
      </c>
      <c r="F1551" s="7" t="str">
        <f aca="false">IFERROR(__xludf.dummyfunction("lower(GOOGLETRANSLATE(A1551,""en"",""es""))"),"el pintor")</f>
        <v>el pintor</v>
      </c>
      <c r="H1551" s="0" t="str">
        <f aca="false">A1551&amp;"|"&amp;B1551</f>
        <v>the painter|el pintor</v>
      </c>
    </row>
    <row r="1552" customFormat="false" ht="15.75" hidden="false" customHeight="false" outlineLevel="0" collapsed="false">
      <c r="A1552" s="4" t="s">
        <v>2925</v>
      </c>
      <c r="B1552" s="5" t="s">
        <v>2926</v>
      </c>
      <c r="C1552" s="10" t="s">
        <v>2493</v>
      </c>
      <c r="D1552" s="6"/>
      <c r="E1552" s="7" t="str">
        <f aca="false">IFERROR(__xludf.dummyfunction("lower(GOOGLETRANSLATE(B1552,""es"",""en""))"),"the way")</f>
        <v>the way</v>
      </c>
      <c r="F1552" s="7" t="str">
        <f aca="false">IFERROR(__xludf.dummyfunction("lower(GOOGLETRANSLATE(A1552,""en"",""es""))"),"la manera")</f>
        <v>la manera</v>
      </c>
      <c r="H1552" s="0" t="str">
        <f aca="false">A1552&amp;"|"&amp;B1552</f>
        <v>the way|la manera</v>
      </c>
    </row>
    <row r="1553" customFormat="false" ht="15.75" hidden="false" customHeight="false" outlineLevel="0" collapsed="false">
      <c r="A1553" s="4" t="s">
        <v>2927</v>
      </c>
      <c r="B1553" s="5" t="s">
        <v>2928</v>
      </c>
      <c r="C1553" s="10" t="s">
        <v>2510</v>
      </c>
      <c r="D1553" s="6"/>
      <c r="E1553" s="7" t="str">
        <f aca="false">IFERROR(__xludf.dummyfunction("lower(GOOGLETRANSLATE(B1553,""es"",""en""))"),"television")</f>
        <v>television</v>
      </c>
      <c r="F1553" s="7" t="str">
        <f aca="false">IFERROR(__xludf.dummyfunction("lower(GOOGLETRANSLATE(A1553,""en"",""es""))"),"la televisión")</f>
        <v>la televisión</v>
      </c>
      <c r="H1553" s="0" t="str">
        <f aca="false">A1553&amp;"|"&amp;B1553</f>
        <v>the television|la televisión</v>
      </c>
    </row>
    <row r="1554" customFormat="false" ht="15.75" hidden="false" customHeight="false" outlineLevel="0" collapsed="false">
      <c r="A1554" s="4" t="s">
        <v>2929</v>
      </c>
      <c r="B1554" s="5" t="s">
        <v>2930</v>
      </c>
      <c r="C1554" s="10" t="s">
        <v>2755</v>
      </c>
      <c r="D1554" s="6"/>
      <c r="E1554" s="7" t="str">
        <f aca="false">IFERROR(__xludf.dummyfunction("lower(GOOGLETRANSLATE(B1554,""es"",""en""))"),"the hundreds")</f>
        <v>the hundreds</v>
      </c>
      <c r="F1554" s="7" t="str">
        <f aca="false">IFERROR(__xludf.dummyfunction("lower(GOOGLETRANSLATE(A1554,""en"",""es""))"),"los cientos")</f>
        <v>los cientos</v>
      </c>
      <c r="H1554" s="0" t="str">
        <f aca="false">A1554&amp;"|"&amp;B1554</f>
        <v>the hundreds|los cientos</v>
      </c>
    </row>
    <row r="1555" customFormat="false" ht="15.75" hidden="false" customHeight="false" outlineLevel="0" collapsed="false">
      <c r="A1555" s="4" t="s">
        <v>2931</v>
      </c>
      <c r="B1555" s="5" t="s">
        <v>2932</v>
      </c>
      <c r="C1555" s="10" t="s">
        <v>2933</v>
      </c>
      <c r="D1555" s="6"/>
      <c r="E1555" s="7" t="str">
        <f aca="false">IFERROR(__xludf.dummyfunction("lower(GOOGLETRANSLATE(B1555,""es"",""en""))"),"the victim")</f>
        <v>the victim</v>
      </c>
      <c r="F1555" s="7" t="str">
        <f aca="false">IFERROR(__xludf.dummyfunction("lower(GOOGLETRANSLATE(A1555,""en"",""es""))"),"la víctima")</f>
        <v>la víctima</v>
      </c>
      <c r="H1555" s="0" t="str">
        <f aca="false">A1555&amp;"|"&amp;B1555</f>
        <v>the victim|la víctima</v>
      </c>
    </row>
    <row r="1556" customFormat="false" ht="15.75" hidden="false" customHeight="false" outlineLevel="0" collapsed="false">
      <c r="A1556" s="4" t="s">
        <v>2424</v>
      </c>
      <c r="B1556" s="5" t="s">
        <v>2425</v>
      </c>
      <c r="C1556" s="10" t="s">
        <v>2934</v>
      </c>
      <c r="D1556" s="6"/>
      <c r="E1556" s="7" t="str">
        <f aca="false">IFERROR(__xludf.dummyfunction("lower(GOOGLETRANSLATE(B1556,""es"",""en""))"),"the mountain")</f>
        <v>the mountain</v>
      </c>
      <c r="F1556" s="7" t="str">
        <f aca="false">IFERROR(__xludf.dummyfunction("lower(GOOGLETRANSLATE(A1556,""en"",""es""))"),"la montaña")</f>
        <v>la montaña</v>
      </c>
      <c r="H1556" s="0" t="str">
        <f aca="false">A1556&amp;"|"&amp;B1556</f>
        <v>the mountain|la montaña</v>
      </c>
    </row>
    <row r="1557" customFormat="false" ht="15.75" hidden="false" customHeight="false" outlineLevel="0" collapsed="false">
      <c r="A1557" s="4" t="s">
        <v>2837</v>
      </c>
      <c r="B1557" s="5" t="s">
        <v>2838</v>
      </c>
      <c r="C1557" s="10" t="s">
        <v>2518</v>
      </c>
      <c r="D1557" s="6"/>
      <c r="E1557" s="7" t="str">
        <f aca="false">IFERROR(__xludf.dummyfunction("lower(GOOGLETRANSLATE(B1557,""es"",""en""))"),"life")</f>
        <v>life</v>
      </c>
      <c r="F1557" s="7" t="str">
        <f aca="false">IFERROR(__xludf.dummyfunction("lower(GOOGLETRANSLATE(A1557,""en"",""es""))"),"la vida")</f>
        <v>la vida</v>
      </c>
      <c r="H1557" s="0" t="str">
        <f aca="false">A1557&amp;"|"&amp;B1557</f>
        <v>the life|la vida</v>
      </c>
    </row>
    <row r="1558" customFormat="false" ht="15.75" hidden="false" customHeight="false" outlineLevel="0" collapsed="false">
      <c r="A1558" s="4" t="s">
        <v>2935</v>
      </c>
      <c r="B1558" s="5" t="s">
        <v>2936</v>
      </c>
      <c r="C1558" s="10" t="s">
        <v>2493</v>
      </c>
      <c r="D1558" s="6"/>
      <c r="E1558" s="7" t="str">
        <f aca="false">IFERROR(__xludf.dummyfunction("lower(GOOGLETRANSLATE(B1558,""es"",""en""))"),"the vampire")</f>
        <v>the vampire</v>
      </c>
      <c r="F1558" s="7" t="str">
        <f aca="false">IFERROR(__xludf.dummyfunction("lower(GOOGLETRANSLATE(A1558,""en"",""es""))"),"el vampiro")</f>
        <v>el vampiro</v>
      </c>
      <c r="H1558" s="0" t="str">
        <f aca="false">A1558&amp;"|"&amp;B1558</f>
        <v>the vampire|el vampiro</v>
      </c>
    </row>
    <row r="1559" customFormat="false" ht="15.75" hidden="false" customHeight="false" outlineLevel="0" collapsed="false">
      <c r="A1559" s="4" t="s">
        <v>2937</v>
      </c>
      <c r="B1559" s="5" t="s">
        <v>2938</v>
      </c>
      <c r="C1559" s="10" t="s">
        <v>2565</v>
      </c>
      <c r="D1559" s="6"/>
      <c r="E1559" s="7" t="str">
        <f aca="false">IFERROR(__xludf.dummyfunction("lower(GOOGLETRANSLATE(B1559,""es"",""en""))"),"the bat")</f>
        <v>the bat</v>
      </c>
      <c r="F1559" s="7" t="str">
        <f aca="false">IFERROR(__xludf.dummyfunction("lower(GOOGLETRANSLATE(A1559,""en"",""es""))"),"el murciélago")</f>
        <v>el murciélago</v>
      </c>
      <c r="H1559" s="0" t="str">
        <f aca="false">A1559&amp;"|"&amp;B1559</f>
        <v>the bat|el murciélago</v>
      </c>
    </row>
    <row r="1560" customFormat="false" ht="15.75" hidden="false" customHeight="false" outlineLevel="0" collapsed="false">
      <c r="A1560" s="4" t="s">
        <v>2939</v>
      </c>
      <c r="B1560" s="5" t="s">
        <v>2940</v>
      </c>
      <c r="C1560" s="10" t="s">
        <v>2933</v>
      </c>
      <c r="D1560" s="6"/>
      <c r="E1560" s="7" t="str">
        <f aca="false">IFERROR(__xludf.dummyfunction("lower(GOOGLETRANSLATE(B1560,""es"",""en""))"),"the legend")</f>
        <v>the legend</v>
      </c>
      <c r="F1560" s="7" t="str">
        <f aca="false">IFERROR(__xludf.dummyfunction("lower(GOOGLETRANSLATE(A1560,""en"",""es""))"),"la leyenda")</f>
        <v>la leyenda</v>
      </c>
      <c r="H1560" s="0" t="str">
        <f aca="false">A1560&amp;"|"&amp;B1560</f>
        <v>the legend|la leyenda</v>
      </c>
    </row>
    <row r="1561" customFormat="false" ht="15.75" hidden="false" customHeight="false" outlineLevel="0" collapsed="false">
      <c r="A1561" s="4" t="s">
        <v>2941</v>
      </c>
      <c r="B1561" s="5" t="s">
        <v>2942</v>
      </c>
      <c r="C1561" s="9"/>
      <c r="D1561" s="6"/>
      <c r="E1561" s="7" t="str">
        <f aca="false">IFERROR(__xludf.dummyfunction("lower(GOOGLETRANSLATE(B1561,""es"",""en""))"),"after")</f>
        <v>after</v>
      </c>
      <c r="F1561" s="7" t="str">
        <f aca="false">IFERROR(__xludf.dummyfunction("lower(GOOGLETRANSLATE(A1561,""en"",""es""))"),"después")</f>
        <v>después</v>
      </c>
      <c r="H1561" s="0" t="str">
        <f aca="false">A1561&amp;"|"&amp;B1561</f>
        <v>after|tras</v>
      </c>
    </row>
    <row r="1562" customFormat="false" ht="15.75" hidden="false" customHeight="false" outlineLevel="0" collapsed="false">
      <c r="A1562" s="4" t="s">
        <v>2943</v>
      </c>
      <c r="B1562" s="5" t="s">
        <v>2944</v>
      </c>
      <c r="C1562" s="10" t="s">
        <v>2854</v>
      </c>
      <c r="D1562" s="6"/>
      <c r="E1562" s="7" t="str">
        <f aca="false">IFERROR(__xludf.dummyfunction("lower(GOOGLETRANSLATE(B1562,""es"",""en""))"),"find out")</f>
        <v>find out</v>
      </c>
      <c r="F1562" s="7" t="str">
        <f aca="false">IFERROR(__xludf.dummyfunction("lower(GOOGLETRANSLATE(A1562,""en"",""es""))"),"descubrir")</f>
        <v>descubrir</v>
      </c>
      <c r="H1562" s="0" t="str">
        <f aca="false">A1562&amp;"|"&amp;B1562</f>
        <v>to find out|averiguar</v>
      </c>
    </row>
    <row r="1563" customFormat="false" ht="15.75" hidden="false" customHeight="false" outlineLevel="0" collapsed="false">
      <c r="A1563" s="4" t="s">
        <v>2945</v>
      </c>
      <c r="B1563" s="5" t="s">
        <v>776</v>
      </c>
      <c r="C1563" s="10" t="s">
        <v>2493</v>
      </c>
      <c r="D1563" s="6"/>
      <c r="E1563" s="7" t="str">
        <f aca="false">IFERROR(__xludf.dummyfunction("lower(GOOGLETRANSLATE(B1563,""es"",""en""))"),"rule")</f>
        <v>rule</v>
      </c>
      <c r="F1563" s="7" t="str">
        <f aca="false">IFERROR(__xludf.dummyfunction("lower(GOOGLETRANSLATE(A1563,""en"",""es""))"),"la regla")</f>
        <v>la regla</v>
      </c>
      <c r="H1563" s="0" t="str">
        <f aca="false">A1563&amp;"|"&amp;B1563</f>
        <v>the rule|la regla</v>
      </c>
    </row>
    <row r="1564" customFormat="false" ht="15.75" hidden="false" customHeight="false" outlineLevel="0" collapsed="false">
      <c r="A1564" s="4" t="s">
        <v>2946</v>
      </c>
      <c r="B1564" s="5" t="s">
        <v>2947</v>
      </c>
      <c r="C1564" s="10" t="s">
        <v>2493</v>
      </c>
      <c r="D1564" s="6"/>
      <c r="E1564" s="7" t="str">
        <f aca="false">IFERROR(__xludf.dummyfunction("lower(GOOGLETRANSLATE(B1564,""es"",""en""))"),"drones")</f>
        <v>drones</v>
      </c>
      <c r="F1564" s="7" t="str">
        <f aca="false">IFERROR(__xludf.dummyfunction("lower(GOOGLETRANSLATE(A1564,""en"",""es""))"),"aviones no tripulados")</f>
        <v>aviones no tripulados</v>
      </c>
      <c r="G1564" s="11" t="n">
        <v>43833</v>
      </c>
      <c r="H1564" s="0" t="str">
        <f aca="false">A1564&amp;"|"&amp;B1564</f>
        <v>drones|aviones no tripulados</v>
      </c>
    </row>
    <row r="1565" customFormat="false" ht="15.75" hidden="false" customHeight="false" outlineLevel="0" collapsed="false">
      <c r="A1565" s="4" t="s">
        <v>2948</v>
      </c>
      <c r="B1565" s="5" t="s">
        <v>2949</v>
      </c>
      <c r="C1565" s="9"/>
      <c r="D1565" s="6"/>
      <c r="E1565" s="7" t="str">
        <f aca="false">IFERROR(__xludf.dummyfunction("lower(GOOGLETRANSLATE(B1565,""es"",""en""))"),"behind")</f>
        <v>behind</v>
      </c>
      <c r="F1565" s="7" t="str">
        <f aca="false">IFERROR(__xludf.dummyfunction("lower(GOOGLETRANSLATE(A1565,""en"",""es""))"),"detrás")</f>
        <v>detrás</v>
      </c>
      <c r="G1565" s="11" t="n">
        <v>43833</v>
      </c>
      <c r="H1565" s="0" t="str">
        <f aca="false">A1565&amp;"|"&amp;B1565</f>
        <v>behind|detrás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2020-06-19T16:30:39Z</dcterms:modified>
  <cp:revision>1</cp:revision>
  <dc:subject/>
  <dc:title/>
</cp:coreProperties>
</file>