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30e2c93f0efd6/Hochschule/00_Lehre/2020-21 Wintersemester/Entscheidungsökonomik/"/>
    </mc:Choice>
  </mc:AlternateContent>
  <xr:revisionPtr revIDLastSave="15" documentId="8_{EED3E3EE-811A-4376-99FC-633CFCC940E1}" xr6:coauthVersionLast="46" xr6:coauthVersionMax="46" xr10:uidLastSave="{6F1C7241-D318-4E3C-A0B8-5218D551D430}"/>
  <bookViews>
    <workbookView xWindow="44880" yWindow="13665" windowWidth="29040" windowHeight="15840" tabRatio="853" activeTab="9" xr2:uid="{0C3A09D3-138A-4EFC-B161-4BACC46C9A61}"/>
  </bookViews>
  <sheets>
    <sheet name="ReadMeFirst" sheetId="12" r:id="rId1"/>
    <sheet name="Release Notes" sheetId="13" r:id="rId2"/>
    <sheet name="Analyse ET" sheetId="10" r:id="rId3"/>
    <sheet name="Analyse ST" sheetId="6" r:id="rId4"/>
    <sheet name="VÖ - Prospect Theory" sheetId="11" r:id="rId5"/>
    <sheet name="Sonderformen" sheetId="3" r:id="rId6"/>
    <sheet name="Koordinationsprobleme" sheetId="4" r:id="rId7"/>
    <sheet name="Kooperationsprobleme" sheetId="5" r:id="rId8"/>
    <sheet name="Nebenrechnung2" sheetId="1" r:id="rId9"/>
    <sheet name="Nebenrechnung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6" i="1"/>
  <c r="D7" i="1"/>
  <c r="C6" i="1"/>
  <c r="F5" i="1"/>
  <c r="E4" i="1"/>
  <c r="D5" i="1"/>
  <c r="C4" i="1"/>
  <c r="C24" i="6" l="1"/>
  <c r="D25" i="6"/>
  <c r="E24" i="6"/>
  <c r="F25" i="6"/>
  <c r="C26" i="6"/>
  <c r="D27" i="6"/>
  <c r="E26" i="6"/>
  <c r="F27" i="6"/>
  <c r="C43" i="10" l="1"/>
  <c r="D43" i="10"/>
  <c r="E43" i="10"/>
  <c r="C45" i="10"/>
  <c r="D45" i="10"/>
  <c r="E45" i="10"/>
  <c r="C47" i="10"/>
  <c r="H7" i="10" l="1"/>
  <c r="C42" i="10" l="1"/>
  <c r="D42" i="10"/>
  <c r="E42" i="10"/>
  <c r="D47" i="10"/>
  <c r="E47" i="10"/>
  <c r="N15" i="1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B13" i="11"/>
  <c r="C13" i="11"/>
  <c r="D13" i="11"/>
  <c r="B14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F8" i="10"/>
  <c r="G8" i="10"/>
  <c r="I8" i="10"/>
  <c r="F10" i="10"/>
  <c r="G10" i="10"/>
  <c r="I10" i="10"/>
  <c r="F12" i="10"/>
  <c r="G12" i="10"/>
  <c r="I12" i="10"/>
  <c r="C28" i="10"/>
  <c r="I32" i="10"/>
  <c r="H32" i="10"/>
  <c r="F37" i="10"/>
  <c r="G37" i="10" s="1"/>
  <c r="I37" i="10" s="1"/>
  <c r="F35" i="10"/>
  <c r="G35" i="10" s="1"/>
  <c r="H35" i="10" s="1"/>
  <c r="F33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D18" i="10"/>
  <c r="C18" i="10"/>
  <c r="D20" i="10"/>
  <c r="C25" i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J10" i="2" s="1"/>
  <c r="C4" i="2"/>
  <c r="K10" i="2" s="1"/>
  <c r="B5" i="2"/>
  <c r="J11" i="2" s="1"/>
  <c r="C5" i="2"/>
  <c r="K11" i="2" s="1"/>
  <c r="B6" i="2"/>
  <c r="J12" i="2" s="1"/>
  <c r="C6" i="2"/>
  <c r="K12" i="2" s="1"/>
  <c r="B7" i="2"/>
  <c r="J13" i="2" s="1"/>
  <c r="C7" i="2"/>
  <c r="K13" i="2" s="1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B30" i="2" l="1"/>
  <c r="O4" i="2"/>
  <c r="O5" i="2"/>
  <c r="N4" i="2"/>
  <c r="M4" i="2"/>
  <c r="H12" i="10"/>
  <c r="I9" i="10"/>
  <c r="G9" i="10"/>
  <c r="F18" i="10"/>
  <c r="C50" i="10"/>
  <c r="H10" i="10"/>
  <c r="G11" i="10"/>
  <c r="F22" i="10"/>
  <c r="H8" i="10"/>
  <c r="G13" i="10"/>
  <c r="F13" i="10"/>
  <c r="C13" i="2"/>
  <c r="M29" i="1" s="1"/>
  <c r="F44" i="6" s="1"/>
  <c r="F7" i="2"/>
  <c r="F24" i="1" s="1"/>
  <c r="F30" i="6" s="1"/>
  <c r="G26" i="2"/>
  <c r="D5" i="2"/>
  <c r="G5" i="2" s="1"/>
  <c r="H18" i="2" s="1"/>
  <c r="B11" i="2"/>
  <c r="L25" i="1" s="1"/>
  <c r="E40" i="6" s="1"/>
  <c r="D7" i="2"/>
  <c r="G7" i="2" s="1"/>
  <c r="H20" i="2" s="1"/>
  <c r="G28" i="2"/>
  <c r="B13" i="2"/>
  <c r="L28" i="1" s="1"/>
  <c r="E43" i="6" s="1"/>
  <c r="B18" i="2"/>
  <c r="C11" i="2"/>
  <c r="M26" i="1" s="1"/>
  <c r="F41" i="6" s="1"/>
  <c r="F6" i="2"/>
  <c r="D24" i="1" s="1"/>
  <c r="D30" i="6" s="1"/>
  <c r="C10" i="2"/>
  <c r="G25" i="2"/>
  <c r="B10" i="2"/>
  <c r="J25" i="1" s="1"/>
  <c r="C40" i="6" s="1"/>
  <c r="I11" i="10"/>
  <c r="F20" i="10"/>
  <c r="I13" i="10"/>
  <c r="F9" i="10"/>
  <c r="F11" i="10"/>
  <c r="G33" i="10"/>
  <c r="I33" i="10" s="1"/>
  <c r="F38" i="10"/>
  <c r="F34" i="10"/>
  <c r="F36" i="10"/>
  <c r="F47" i="10"/>
  <c r="F43" i="10"/>
  <c r="H37" i="10"/>
  <c r="F45" i="10"/>
  <c r="I35" i="10"/>
  <c r="C12" i="2"/>
  <c r="G27" i="2"/>
  <c r="N5" i="2"/>
  <c r="E5" i="2"/>
  <c r="E6" i="2"/>
  <c r="H6" i="2" s="1"/>
  <c r="H12" i="2" s="1"/>
  <c r="B16" i="2"/>
  <c r="C24" i="1" s="1"/>
  <c r="C30" i="6" s="1"/>
  <c r="B29" i="2"/>
  <c r="M5" i="2"/>
  <c r="F5" i="2"/>
  <c r="A30" i="1" s="1"/>
  <c r="A36" i="6" s="1"/>
  <c r="D4" i="2"/>
  <c r="F4" i="2"/>
  <c r="O9" i="10"/>
  <c r="P9" i="10" s="1"/>
  <c r="E7" i="2"/>
  <c r="D6" i="2"/>
  <c r="B12" i="2"/>
  <c r="E4" i="2"/>
  <c r="C12" i="6" l="1"/>
  <c r="J32" i="6" s="1"/>
  <c r="C12" i="1"/>
  <c r="A26" i="1"/>
  <c r="A32" i="6" s="1"/>
  <c r="A27" i="1"/>
  <c r="A33" i="6" s="1"/>
  <c r="C13" i="6"/>
  <c r="J33" i="6" s="1"/>
  <c r="G4" i="2"/>
  <c r="H17" i="2" s="1"/>
  <c r="C10" i="6"/>
  <c r="J30" i="6" s="1"/>
  <c r="C11" i="6"/>
  <c r="J31" i="6" s="1"/>
  <c r="H9" i="10"/>
  <c r="D10" i="2"/>
  <c r="H13" i="10"/>
  <c r="H11" i="10"/>
  <c r="C52" i="10"/>
  <c r="F21" i="10"/>
  <c r="D13" i="2"/>
  <c r="G13" i="2" s="1"/>
  <c r="G30" i="2"/>
  <c r="F12" i="2"/>
  <c r="B19" i="2"/>
  <c r="F10" i="2"/>
  <c r="D11" i="2"/>
  <c r="E27" i="1" s="1"/>
  <c r="E33" i="6" s="1"/>
  <c r="F11" i="2"/>
  <c r="K26" i="1"/>
  <c r="D41" i="6" s="1"/>
  <c r="F19" i="10"/>
  <c r="F23" i="10"/>
  <c r="H33" i="10"/>
  <c r="I36" i="10"/>
  <c r="I34" i="10"/>
  <c r="I38" i="10"/>
  <c r="F46" i="10"/>
  <c r="C54" i="10"/>
  <c r="C56" i="10" s="1"/>
  <c r="F44" i="10"/>
  <c r="F48" i="10"/>
  <c r="F13" i="2"/>
  <c r="K29" i="1"/>
  <c r="D44" i="6" s="1"/>
  <c r="H5" i="2"/>
  <c r="C10" i="1"/>
  <c r="B17" i="2"/>
  <c r="E24" i="1" s="1"/>
  <c r="E30" i="6" s="1"/>
  <c r="C13" i="1"/>
  <c r="E11" i="2"/>
  <c r="D12" i="2"/>
  <c r="C30" i="1" s="1"/>
  <c r="C36" i="6" s="1"/>
  <c r="E12" i="2"/>
  <c r="E13" i="2"/>
  <c r="J28" i="1"/>
  <c r="C43" i="6" s="1"/>
  <c r="E10" i="2"/>
  <c r="G6" i="2"/>
  <c r="H4" i="2"/>
  <c r="I7" i="2" s="1"/>
  <c r="Q7" i="2" s="1"/>
  <c r="C11" i="1"/>
  <c r="H7" i="2"/>
  <c r="F30" i="2" l="1"/>
  <c r="L30" i="2" s="1"/>
  <c r="K4" i="2"/>
  <c r="L4" i="2"/>
  <c r="A29" i="1"/>
  <c r="A35" i="6" s="1"/>
  <c r="I4" i="2"/>
  <c r="H11" i="2"/>
  <c r="J5" i="2"/>
  <c r="J6" i="2"/>
  <c r="H13" i="2"/>
  <c r="J7" i="2"/>
  <c r="J4" i="2"/>
  <c r="I6" i="2"/>
  <c r="Q6" i="2" s="1"/>
  <c r="I5" i="2"/>
  <c r="H34" i="10"/>
  <c r="C51" i="10"/>
  <c r="C55" i="10"/>
  <c r="B57" i="10" s="1"/>
  <c r="C57" i="10"/>
  <c r="C58" i="10" s="1"/>
  <c r="E30" i="1"/>
  <c r="E36" i="6" s="1"/>
  <c r="L30" i="1"/>
  <c r="E45" i="6" s="1"/>
  <c r="L27" i="1"/>
  <c r="E42" i="6" s="1"/>
  <c r="G11" i="2"/>
  <c r="H36" i="10"/>
  <c r="H38" i="10"/>
  <c r="B23" i="2"/>
  <c r="B22" i="2"/>
  <c r="J27" i="1"/>
  <c r="C42" i="6" s="1"/>
  <c r="G10" i="2"/>
  <c r="H19" i="2"/>
  <c r="L5" i="2"/>
  <c r="C27" i="1"/>
  <c r="C33" i="6" s="1"/>
  <c r="H10" i="2"/>
  <c r="G12" i="2"/>
  <c r="J30" i="1"/>
  <c r="C45" i="6" s="1"/>
  <c r="R4" i="2" l="1"/>
  <c r="R5" i="2"/>
  <c r="I30" i="2"/>
  <c r="F16" i="2"/>
  <c r="J33" i="1" s="1"/>
  <c r="J39" i="6" s="1"/>
  <c r="G16" i="2"/>
  <c r="H16" i="2"/>
  <c r="Q4" i="2"/>
  <c r="P4" i="2"/>
  <c r="C16" i="6"/>
  <c r="C17" i="6" s="1"/>
  <c r="C14" i="6"/>
  <c r="J34" i="6" s="1"/>
  <c r="Q5" i="2"/>
  <c r="C16" i="1"/>
  <c r="C14" i="1"/>
  <c r="B26" i="2"/>
  <c r="P5" i="2"/>
  <c r="C18" i="1" l="1"/>
  <c r="J36" i="6" s="1"/>
  <c r="P2" i="2"/>
  <c r="C19" i="1" s="1"/>
  <c r="C18" i="6"/>
  <c r="C17" i="1"/>
  <c r="J35" i="6"/>
  <c r="G19" i="2"/>
  <c r="L19" i="2" s="1"/>
  <c r="J34" i="1"/>
  <c r="G17" i="2"/>
  <c r="L17" i="2" s="1"/>
  <c r="G20" i="2"/>
  <c r="L20" i="2" s="1"/>
  <c r="G18" i="2"/>
  <c r="L18" i="2" s="1"/>
  <c r="F31" i="2"/>
  <c r="G22" i="2" l="1"/>
  <c r="F22" i="2" s="1"/>
  <c r="J40" i="6"/>
  <c r="J38" i="1"/>
  <c r="J44" i="6" s="1"/>
  <c r="J37" i="1"/>
  <c r="J43" i="6" s="1"/>
  <c r="C19" i="6"/>
  <c r="J35" i="1" l="1"/>
  <c r="J41" i="6" s="1"/>
</calcChain>
</file>

<file path=xl/sharedStrings.xml><?xml version="1.0" encoding="utf-8"?>
<sst xmlns="http://schemas.openxmlformats.org/spreadsheetml/2006/main" count="430" uniqueCount="183">
  <si>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</si>
  <si>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</si>
  <si>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</si>
  <si>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</si>
  <si>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</si>
  <si>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</si>
  <si>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</si>
  <si>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</si>
  <si>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</si>
  <si>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</si>
  <si>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</si>
  <si>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</si>
  <si>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</si>
  <si>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</si>
  <si>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</si>
  <si>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</si>
  <si>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</si>
  <si>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</si>
  <si>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</si>
  <si>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</si>
  <si>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</si>
  <si>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</si>
  <si>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</si>
  <si>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</si>
  <si>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</si>
  <si>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</si>
  <si>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</si>
  <si>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</si>
  <si>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</si>
  <si>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</si>
  <si>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</si>
  <si>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</si>
  <si>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</si>
  <si>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</si>
  <si>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</si>
  <si>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</si>
  <si>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</si>
  <si>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</si>
  <si>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</si>
  <si>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</si>
  <si>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</si>
  <si>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</si>
  <si>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</si>
  <si>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</si>
  <si>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</si>
  <si>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</si>
  <si>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</si>
  <si>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</si>
  <si>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</si>
  <si>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</si>
  <si>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</si>
  <si>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</si>
  <si>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</si>
  <si>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</si>
  <si>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</si>
  <si>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</si>
  <si>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</si>
  <si>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</si>
  <si>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</si>
  <si>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</si>
  <si>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</si>
  <si>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</si>
  <si>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</si>
  <si>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</si>
  <si>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</si>
  <si>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</si>
  <si>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</si>
  <si>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</si>
  <si>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</si>
  <si>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</si>
  <si>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</si>
  <si>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Spielanalyse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</si>
  <si>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</si>
  <si>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</si>
  <si>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</si>
  <si>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</si>
  <si>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</si>
  <si>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</si>
  <si>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</si>
  <si>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</si>
  <si>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</si>
  <si>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</si>
  <si>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</si>
  <si>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</si>
  <si>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</si>
  <si>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</si>
  <si>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</si>
  <si>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</si>
  <si>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</si>
  <si>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</si>
  <si>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</si>
  <si>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</si>
  <si>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</si>
  <si>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</si>
  <si>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</si>
  <si>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</si>
  <si>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</si>
  <si>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</si>
  <si>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</si>
  <si>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</si>
  <si>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</si>
  <si>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</si>
  <si>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</si>
  <si>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</si>
  <si>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</si>
  <si>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</si>
  <si>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</si>
  <si>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</si>
  <si>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</si>
  <si>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</si>
  <si>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</si>
  <si>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</si>
  <si>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</si>
  <si>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</si>
  <si>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</si>
  <si>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</si>
  <si>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</si>
  <si>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</si>
  <si>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</si>
  <si>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</si>
  <si>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</si>
  <si>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</si>
  <si>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</si>
  <si>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</si>
  <si>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</si>
  <si>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</si>
  <si>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</si>
  <si>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</si>
  <si>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</si>
  <si>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</si>
  <si>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</si>
  <si>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</si>
  <si>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</si>
  <si>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</si>
  <si>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</si>
  <si>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</si>
  <si>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</si>
  <si>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</si>
  <si>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</si>
  <si>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</si>
  <si>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</si>
  <si>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</si>
  <si>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</si>
  <si>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</si>
  <si>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</si>
  <si>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</si>
  <si>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</si>
  <si>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</si>
  <si>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</si>
  <si>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</si>
  <si>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</si>
  <si>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</si>
  <si>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</si>
  <si>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</si>
  <si>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</si>
  <si>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</si>
  <si>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</si>
  <si>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</si>
  <si>
    <t>Bayes-Kriterium und μσ-Prinzip:</t>
  </si>
  <si>
    <r>
      <t xml:space="preserve">NP: </t>
    </r>
    <r>
      <rPr>
        <sz val="12"/>
        <color theme="1"/>
        <rFont val="Futura Lt BT"/>
        <family val="2"/>
      </rPr>
      <t>(0 setzen und einsetzen)</t>
    </r>
  </si>
  <si>
    <t>Maximum</t>
  </si>
  <si>
    <t>Falke Taube oder Chicken Run</t>
  </si>
  <si>
    <t>Nutzenmatrix:</t>
  </si>
  <si>
    <t>Risikoscheu:</t>
  </si>
  <si>
    <t>Risikofreudig:</t>
  </si>
  <si>
    <t>gewählte Alternative:</t>
  </si>
  <si>
    <r>
      <rPr>
        <i/>
        <u/>
        <sz val="20"/>
        <color theme="1"/>
        <rFont val="Futura Lt BT"/>
        <family val="2"/>
      </rPr>
      <t xml:space="preserve">Hinweis: </t>
    </r>
    <r>
      <rPr>
        <sz val="20"/>
        <color theme="1"/>
        <rFont val="Futura Lt BT"/>
        <family val="2"/>
      </rPr>
      <t>Hier wird der Erwartungswert der ermittelten Alternative aufgrund des Erwartungsnutzenwerts gewählt.</t>
    </r>
  </si>
  <si>
    <t>schwaches Kooperationsproblem?</t>
  </si>
  <si>
    <t>starkes Kooperationsproblem?</t>
  </si>
  <si>
    <t>KOOR? Mit Fallnennung</t>
  </si>
  <si>
    <t>Wenn gegenüber, dann gleiche Auszahlungswerte?</t>
  </si>
  <si>
    <t>Antikoordinationsspiel?</t>
  </si>
  <si>
    <t>Spielerläuterung: (zum selbstausfüllen, beispielhaft befüllt)</t>
  </si>
  <si>
    <t>{A1B1}</t>
  </si>
  <si>
    <t>{A1B2}</t>
  </si>
  <si>
    <t>{A2B1}</t>
  </si>
  <si>
    <t>{A2B2}</t>
  </si>
  <si>
    <t>Hier Werte eintragen!!</t>
  </si>
  <si>
    <t>Release Notes:</t>
  </si>
  <si>
    <t>Änderungen zu den vorhergehenden Versionen (ab Version v.1.7) werden hier angegeben.</t>
  </si>
  <si>
    <t>Neuestes Release:</t>
  </si>
  <si>
    <t>v.1.8</t>
  </si>
  <si>
    <t>Fehler in der Anzeige des Kooperationsproblems Fall1 zu Fall2 wurde behoben. Ab sofort werden die beiden Fälle korrekt angezeigt.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</si>
</sst>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"/>
    <numFmt numFmtId="166" formatCode="0.00000"/>
    <numFmt numFmtId="167" formatCode="0.0%"/>
  </numFmts>
  <fonts count="29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  <font>
      <sz val="12"/>
      <color theme="1"/>
      <name val="Futura Lt BT"/>
      <family val="2"/>
    </font>
    <font>
      <i/>
      <u/>
      <sz val="20"/>
      <color theme="1"/>
      <name val="Futura Lt BT"/>
      <family val="2"/>
    </font>
    <font>
      <b/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/>
      </bottom>
      <diagonal/>
    </border>
    <border>
      <left/>
      <right/>
      <top style="medium">
        <color theme="0" tint="-0.499984740745262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499984740745262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thin">
        <color theme="0"/>
      </bottom>
      <diagonal/>
    </border>
    <border>
      <left style="medium">
        <color theme="0" tint="-0.499984740745262"/>
      </left>
      <right/>
      <top/>
      <bottom style="medium">
        <color theme="0"/>
      </bottom>
      <diagonal/>
    </border>
    <border>
      <left/>
      <right style="medium">
        <color theme="0" tint="-0.499984740745262"/>
      </right>
      <top/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/>
      </right>
      <top style="medium">
        <color theme="0" tint="-0.499984740745262"/>
      </top>
      <bottom/>
      <diagonal/>
    </border>
    <border>
      <left style="medium">
        <color theme="0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 style="medium">
        <color theme="0" tint="-0.14999847407452621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14999847407452621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6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 style="thin">
        <color theme="0"/>
      </right>
      <top style="thin">
        <color theme="0"/>
      </top>
      <bottom style="medium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6"/>
      </bottom>
      <diagonal/>
    </border>
    <border>
      <left style="thin">
        <color theme="0"/>
      </left>
      <right style="medium">
        <color theme="6"/>
      </right>
      <top style="thin">
        <color theme="0"/>
      </top>
      <bottom style="medium">
        <color theme="6"/>
      </bottom>
      <diagonal/>
    </border>
    <border>
      <left/>
      <right style="thin">
        <color theme="0"/>
      </right>
      <top style="medium">
        <color theme="6"/>
      </top>
      <bottom style="thin">
        <color theme="0"/>
      </bottom>
      <diagonal/>
    </border>
    <border>
      <left style="medium">
        <color theme="6"/>
      </left>
      <right/>
      <top style="medium">
        <color theme="6"/>
      </top>
      <bottom style="thin">
        <color theme="0"/>
      </bottom>
      <diagonal/>
    </border>
    <border>
      <left style="thin">
        <color theme="0"/>
      </left>
      <right/>
      <top style="medium">
        <color theme="6"/>
      </top>
      <bottom style="thin">
        <color theme="0"/>
      </bottom>
      <diagonal/>
    </border>
    <border>
      <left/>
      <right style="medium">
        <color theme="6"/>
      </right>
      <top style="medium">
        <color theme="6"/>
      </top>
      <bottom style="thin">
        <color theme="0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324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1" xfId="0" applyFont="1" applyFill="1" applyBorder="1"/>
    <xf numFmtId="0" fontId="12" fillId="5" borderId="40" xfId="0" applyFont="1" applyFill="1" applyBorder="1" applyAlignment="1">
      <alignment horizontal="left"/>
    </xf>
    <xf numFmtId="0" fontId="12" fillId="5" borderId="46" xfId="0" applyFont="1" applyFill="1" applyBorder="1" applyAlignment="1">
      <alignment horizontal="left" vertical="center"/>
    </xf>
    <xf numFmtId="0" fontId="12" fillId="5" borderId="44" xfId="0" applyFont="1" applyFill="1" applyBorder="1"/>
    <xf numFmtId="0" fontId="12" fillId="5" borderId="43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2" fillId="5" borderId="45" xfId="0" applyFont="1" applyFill="1" applyBorder="1" applyAlignment="1">
      <alignment horizontal="left" vertical="center"/>
    </xf>
    <xf numFmtId="0" fontId="12" fillId="5" borderId="39" xfId="0" applyFont="1" applyFill="1" applyBorder="1"/>
    <xf numFmtId="0" fontId="12" fillId="5" borderId="38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left" vertical="center"/>
    </xf>
    <xf numFmtId="0" fontId="12" fillId="5" borderId="53" xfId="0" applyFont="1" applyFill="1" applyBorder="1" applyAlignment="1">
      <alignment horizontal="left"/>
    </xf>
    <xf numFmtId="0" fontId="12" fillId="5" borderId="54" xfId="0" applyFont="1" applyFill="1" applyBorder="1" applyAlignment="1">
      <alignment horizontal="left"/>
    </xf>
    <xf numFmtId="0" fontId="12" fillId="5" borderId="54" xfId="0" applyFont="1" applyFill="1" applyBorder="1" applyAlignment="1">
      <alignment horizontal="left" vertical="center"/>
    </xf>
    <xf numFmtId="0" fontId="13" fillId="10" borderId="56" xfId="0" applyFont="1" applyFill="1" applyBorder="1" applyAlignment="1">
      <alignment horizontal="center" vertical="center"/>
    </xf>
    <xf numFmtId="0" fontId="13" fillId="10" borderId="57" xfId="0" applyFont="1" applyFill="1" applyBorder="1" applyAlignment="1">
      <alignment horizontal="center"/>
    </xf>
    <xf numFmtId="0" fontId="15" fillId="10" borderId="5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55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/>
    </xf>
    <xf numFmtId="0" fontId="12" fillId="5" borderId="54" xfId="0" applyFont="1" applyFill="1" applyBorder="1" applyAlignment="1">
      <alignment horizontal="center"/>
    </xf>
    <xf numFmtId="0" fontId="13" fillId="5" borderId="53" xfId="0" applyFont="1" applyFill="1" applyBorder="1" applyAlignment="1">
      <alignment horizontal="center" vertical="center"/>
    </xf>
    <xf numFmtId="0" fontId="13" fillId="5" borderId="53" xfId="0" applyFont="1" applyFill="1" applyBorder="1" applyAlignment="1">
      <alignment horizontal="center"/>
    </xf>
    <xf numFmtId="0" fontId="13" fillId="5" borderId="54" xfId="0" applyFont="1" applyFill="1" applyBorder="1" applyAlignment="1">
      <alignment horizontal="center"/>
    </xf>
    <xf numFmtId="165" fontId="12" fillId="5" borderId="55" xfId="0" applyNumberFormat="1" applyFont="1" applyFill="1" applyBorder="1" applyAlignment="1">
      <alignment horizontal="center"/>
    </xf>
    <xf numFmtId="0" fontId="12" fillId="5" borderId="54" xfId="0" applyFont="1" applyFill="1" applyBorder="1" applyAlignment="1">
      <alignment horizontal="center" vertical="center"/>
    </xf>
    <xf numFmtId="0" fontId="12" fillId="5" borderId="52" xfId="0" applyFont="1" applyFill="1" applyBorder="1"/>
    <xf numFmtId="0" fontId="12" fillId="5" borderId="52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58" xfId="1" applyFont="1" applyFill="1" applyBorder="1" applyAlignment="1">
      <alignment horizontal="center"/>
    </xf>
    <xf numFmtId="9" fontId="15" fillId="10" borderId="59" xfId="1" applyFont="1" applyFill="1" applyBorder="1" applyAlignment="1">
      <alignment horizontal="center"/>
    </xf>
    <xf numFmtId="9" fontId="12" fillId="5" borderId="0" xfId="1" applyFont="1" applyFill="1"/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65" xfId="0" applyFont="1" applyFill="1" applyBorder="1"/>
    <xf numFmtId="0" fontId="13" fillId="10" borderId="66" xfId="0" applyFont="1" applyFill="1" applyBorder="1" applyAlignment="1">
      <alignment horizontal="right"/>
    </xf>
    <xf numFmtId="0" fontId="13" fillId="10" borderId="67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68" xfId="0" applyFont="1" applyFill="1" applyBorder="1" applyAlignment="1">
      <alignment horizontal="left"/>
    </xf>
    <xf numFmtId="0" fontId="13" fillId="10" borderId="69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70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94" xfId="0" applyFont="1" applyFill="1" applyBorder="1"/>
    <xf numFmtId="0" fontId="12" fillId="5" borderId="96" xfId="0" applyFont="1" applyFill="1" applyBorder="1"/>
    <xf numFmtId="0" fontId="17" fillId="10" borderId="94" xfId="0" applyFont="1" applyFill="1" applyBorder="1"/>
    <xf numFmtId="0" fontId="12" fillId="5" borderId="97" xfId="0" applyFont="1" applyFill="1" applyBorder="1"/>
    <xf numFmtId="0" fontId="16" fillId="10" borderId="100" xfId="0" applyFont="1" applyFill="1" applyBorder="1" applyAlignment="1">
      <alignment horizontal="left" vertical="center"/>
    </xf>
    <xf numFmtId="0" fontId="17" fillId="10" borderId="101" xfId="0" applyFont="1" applyFill="1" applyBorder="1"/>
    <xf numFmtId="0" fontId="16" fillId="10" borderId="100" xfId="0" applyFont="1" applyFill="1" applyBorder="1" applyAlignment="1">
      <alignment horizontal="left"/>
    </xf>
    <xf numFmtId="0" fontId="17" fillId="10" borderId="102" xfId="0" applyFont="1" applyFill="1" applyBorder="1"/>
    <xf numFmtId="0" fontId="12" fillId="5" borderId="101" xfId="0" applyFont="1" applyFill="1" applyBorder="1" applyAlignment="1">
      <alignment horizontal="left" vertical="center"/>
    </xf>
    <xf numFmtId="0" fontId="12" fillId="5" borderId="99" xfId="0" applyFont="1" applyFill="1" applyBorder="1"/>
    <xf numFmtId="0" fontId="12" fillId="5" borderId="104" xfId="0" applyFont="1" applyFill="1" applyBorder="1" applyAlignment="1">
      <alignment horizontal="left"/>
    </xf>
    <xf numFmtId="0" fontId="12" fillId="5" borderId="102" xfId="0" applyFont="1" applyFill="1" applyBorder="1"/>
    <xf numFmtId="0" fontId="23" fillId="5" borderId="0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left"/>
    </xf>
    <xf numFmtId="0" fontId="13" fillId="10" borderId="0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left"/>
    </xf>
    <xf numFmtId="0" fontId="15" fillId="10" borderId="0" xfId="0" applyFont="1" applyFill="1" applyBorder="1" applyAlignment="1">
      <alignment horizontal="center"/>
    </xf>
    <xf numFmtId="0" fontId="12" fillId="10" borderId="0" xfId="0" applyFont="1" applyFill="1" applyBorder="1"/>
    <xf numFmtId="2" fontId="12" fillId="5" borderId="105" xfId="0" applyNumberFormat="1" applyFont="1" applyFill="1" applyBorder="1" applyAlignment="1">
      <alignment horizontal="center"/>
    </xf>
    <xf numFmtId="0" fontId="13" fillId="5" borderId="106" xfId="0" applyFont="1" applyFill="1" applyBorder="1" applyAlignment="1">
      <alignment horizontal="center" vertical="center"/>
    </xf>
    <xf numFmtId="0" fontId="13" fillId="5" borderId="106" xfId="0" applyFont="1" applyFill="1" applyBorder="1" applyAlignment="1">
      <alignment horizontal="center"/>
    </xf>
    <xf numFmtId="165" fontId="12" fillId="5" borderId="105" xfId="0" applyNumberFormat="1" applyFont="1" applyFill="1" applyBorder="1" applyAlignment="1">
      <alignment horizontal="center" vertical="center"/>
    </xf>
    <xf numFmtId="0" fontId="12" fillId="5" borderId="106" xfId="0" applyFont="1" applyFill="1" applyBorder="1" applyAlignment="1">
      <alignment horizontal="center" vertical="center"/>
    </xf>
    <xf numFmtId="2" fontId="13" fillId="5" borderId="106" xfId="0" applyNumberFormat="1" applyFont="1" applyFill="1" applyBorder="1" applyAlignment="1">
      <alignment horizontal="center" vertical="center"/>
    </xf>
    <xf numFmtId="0" fontId="12" fillId="5" borderId="106" xfId="0" applyFont="1" applyFill="1" applyBorder="1" applyAlignment="1">
      <alignment horizontal="center"/>
    </xf>
    <xf numFmtId="2" fontId="13" fillId="5" borderId="106" xfId="0" applyNumberFormat="1" applyFont="1" applyFill="1" applyBorder="1" applyAlignment="1">
      <alignment horizontal="center"/>
    </xf>
    <xf numFmtId="167" fontId="15" fillId="10" borderId="0" xfId="1" applyNumberFormat="1" applyFont="1" applyFill="1" applyBorder="1" applyAlignment="1">
      <alignment horizontal="center"/>
    </xf>
    <xf numFmtId="167" fontId="15" fillId="10" borderId="0" xfId="0" applyNumberFormat="1" applyFont="1" applyFill="1" applyBorder="1" applyAlignment="1">
      <alignment horizontal="center"/>
    </xf>
    <xf numFmtId="9" fontId="12" fillId="5" borderId="0" xfId="0" applyNumberFormat="1" applyFont="1" applyFill="1" applyBorder="1"/>
    <xf numFmtId="0" fontId="19" fillId="10" borderId="58" xfId="0" applyFont="1" applyFill="1" applyBorder="1" applyAlignment="1">
      <alignment horizontal="center"/>
    </xf>
    <xf numFmtId="0" fontId="19" fillId="10" borderId="59" xfId="0" applyFont="1" applyFill="1" applyBorder="1" applyAlignment="1">
      <alignment horizontal="center"/>
    </xf>
    <xf numFmtId="0" fontId="13" fillId="4" borderId="108" xfId="0" applyFont="1" applyFill="1" applyBorder="1" applyAlignment="1">
      <alignment horizontal="left"/>
    </xf>
    <xf numFmtId="0" fontId="13" fillId="4" borderId="107" xfId="0" applyFont="1" applyFill="1" applyBorder="1" applyAlignment="1">
      <alignment horizontal="left"/>
    </xf>
    <xf numFmtId="0" fontId="15" fillId="10" borderId="34" xfId="0" applyFont="1" applyFill="1" applyBorder="1" applyAlignment="1"/>
    <xf numFmtId="0" fontId="1" fillId="7" borderId="107" xfId="0" applyFont="1" applyFill="1" applyBorder="1"/>
    <xf numFmtId="0" fontId="1" fillId="7" borderId="109" xfId="0" applyFont="1" applyFill="1" applyBorder="1"/>
    <xf numFmtId="0" fontId="1" fillId="7" borderId="111" xfId="0" applyFont="1" applyFill="1" applyBorder="1"/>
    <xf numFmtId="0" fontId="1" fillId="7" borderId="112" xfId="0" applyFont="1" applyFill="1" applyBorder="1"/>
    <xf numFmtId="0" fontId="16" fillId="10" borderId="35" xfId="0" applyFont="1" applyFill="1" applyBorder="1" applyAlignment="1">
      <alignment horizontal="right"/>
    </xf>
    <xf numFmtId="0" fontId="16" fillId="10" borderId="79" xfId="0" applyFont="1" applyFill="1" applyBorder="1" applyAlignment="1">
      <alignment horizontal="right"/>
    </xf>
    <xf numFmtId="0" fontId="12" fillId="5" borderId="0" xfId="0" applyFont="1" applyFill="1" applyBorder="1" applyAlignment="1">
      <alignment horizontal="left" vertical="top" wrapText="1"/>
    </xf>
    <xf numFmtId="2" fontId="12" fillId="5" borderId="0" xfId="0" applyNumberFormat="1" applyFont="1" applyFill="1" applyBorder="1" applyAlignment="1">
      <alignment horizontal="center"/>
    </xf>
    <xf numFmtId="0" fontId="12" fillId="5" borderId="52" xfId="0" applyFon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14" fillId="10" borderId="71" xfId="0" applyFont="1" applyFill="1" applyBorder="1" applyAlignment="1">
      <alignment horizontal="center"/>
    </xf>
    <xf numFmtId="0" fontId="14" fillId="10" borderId="72" xfId="0" applyFont="1" applyFill="1" applyBorder="1" applyAlignment="1">
      <alignment horizontal="center"/>
    </xf>
    <xf numFmtId="0" fontId="14" fillId="10" borderId="73" xfId="0" applyFont="1" applyFill="1" applyBorder="1" applyAlignment="1">
      <alignment horizontal="center"/>
    </xf>
    <xf numFmtId="0" fontId="12" fillId="10" borderId="74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49" xfId="0" applyFont="1" applyFill="1" applyBorder="1" applyAlignment="1">
      <alignment horizontal="center"/>
    </xf>
    <xf numFmtId="0" fontId="15" fillId="5" borderId="50" xfId="0" applyFont="1" applyFill="1" applyBorder="1" applyAlignment="1">
      <alignment horizontal="center"/>
    </xf>
    <xf numFmtId="0" fontId="15" fillId="5" borderId="75" xfId="0" applyFont="1" applyFill="1" applyBorder="1" applyAlignment="1">
      <alignment horizontal="center"/>
    </xf>
    <xf numFmtId="0" fontId="15" fillId="5" borderId="47" xfId="0" applyFont="1" applyFill="1" applyBorder="1" applyAlignment="1">
      <alignment horizontal="center"/>
    </xf>
    <xf numFmtId="0" fontId="15" fillId="5" borderId="48" xfId="0" applyFont="1" applyFill="1" applyBorder="1" applyAlignment="1">
      <alignment horizontal="center"/>
    </xf>
    <xf numFmtId="0" fontId="15" fillId="5" borderId="85" xfId="0" applyFont="1" applyFill="1" applyBorder="1" applyAlignment="1">
      <alignment horizontal="center"/>
    </xf>
    <xf numFmtId="0" fontId="13" fillId="10" borderId="89" xfId="0" applyFont="1" applyFill="1" applyBorder="1" applyAlignment="1">
      <alignment horizontal="right"/>
    </xf>
    <xf numFmtId="0" fontId="13" fillId="10" borderId="90" xfId="0" applyFont="1" applyFill="1" applyBorder="1" applyAlignment="1">
      <alignment horizontal="right"/>
    </xf>
    <xf numFmtId="0" fontId="13" fillId="10" borderId="91" xfId="0" applyFont="1" applyFill="1" applyBorder="1" applyAlignment="1">
      <alignment horizontal="center" vertical="center"/>
    </xf>
    <xf numFmtId="0" fontId="13" fillId="10" borderId="90" xfId="0" applyFont="1" applyFill="1" applyBorder="1" applyAlignment="1">
      <alignment horizontal="center" vertical="center"/>
    </xf>
    <xf numFmtId="0" fontId="13" fillId="10" borderId="91" xfId="0" applyFont="1" applyFill="1" applyBorder="1" applyAlignment="1">
      <alignment horizontal="center"/>
    </xf>
    <xf numFmtId="0" fontId="13" fillId="10" borderId="92" xfId="0" applyFont="1" applyFill="1" applyBorder="1" applyAlignment="1">
      <alignment horizontal="center"/>
    </xf>
    <xf numFmtId="0" fontId="13" fillId="10" borderId="78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3" fillId="10" borderId="93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95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6" fillId="10" borderId="98" xfId="0" applyFont="1" applyFill="1" applyBorder="1" applyAlignment="1">
      <alignment horizontal="left"/>
    </xf>
    <xf numFmtId="0" fontId="16" fillId="10" borderId="99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16" fillId="10" borderId="78" xfId="0" applyFont="1" applyFill="1" applyBorder="1" applyAlignment="1">
      <alignment horizontal="left"/>
    </xf>
    <xf numFmtId="0" fontId="16" fillId="10" borderId="42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5" fillId="10" borderId="79" xfId="0" applyFont="1" applyFill="1" applyBorder="1" applyAlignment="1">
      <alignment horizontal="center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80" xfId="0" applyFont="1" applyFill="1" applyBorder="1" applyAlignment="1">
      <alignment horizontal="left"/>
    </xf>
    <xf numFmtId="0" fontId="12" fillId="10" borderId="81" xfId="0" applyFont="1" applyFill="1" applyBorder="1" applyAlignment="1">
      <alignment horizontal="left"/>
    </xf>
    <xf numFmtId="0" fontId="15" fillId="5" borderId="86" xfId="0" applyFont="1" applyFill="1" applyBorder="1" applyAlignment="1">
      <alignment horizontal="center"/>
    </xf>
    <xf numFmtId="0" fontId="15" fillId="5" borderId="87" xfId="0" applyFont="1" applyFill="1" applyBorder="1" applyAlignment="1">
      <alignment horizontal="center"/>
    </xf>
    <xf numFmtId="0" fontId="15" fillId="5" borderId="88" xfId="0" applyFont="1" applyFill="1" applyBorder="1" applyAlignment="1">
      <alignment horizontal="center"/>
    </xf>
    <xf numFmtId="0" fontId="12" fillId="10" borderId="76" xfId="0" applyFont="1" applyFill="1" applyBorder="1" applyAlignment="1">
      <alignment horizontal="left"/>
    </xf>
    <xf numFmtId="0" fontId="12" fillId="10" borderId="62" xfId="0" applyFont="1" applyFill="1" applyBorder="1" applyAlignment="1">
      <alignment horizontal="left"/>
    </xf>
    <xf numFmtId="0" fontId="15" fillId="5" borderId="63" xfId="0" applyFont="1" applyFill="1" applyBorder="1" applyAlignment="1">
      <alignment horizontal="center"/>
    </xf>
    <xf numFmtId="0" fontId="15" fillId="5" borderId="64" xfId="0" applyFont="1" applyFill="1" applyBorder="1" applyAlignment="1">
      <alignment horizontal="center"/>
    </xf>
    <xf numFmtId="0" fontId="15" fillId="5" borderId="77" xfId="0" applyFont="1" applyFill="1" applyBorder="1" applyAlignment="1">
      <alignment horizontal="center"/>
    </xf>
    <xf numFmtId="0" fontId="24" fillId="10" borderId="78" xfId="0" applyFont="1" applyFill="1" applyBorder="1" applyAlignment="1">
      <alignment horizontal="left"/>
    </xf>
    <xf numFmtId="0" fontId="24" fillId="10" borderId="51" xfId="0" applyFont="1" applyFill="1" applyBorder="1" applyAlignment="1">
      <alignment horizontal="left"/>
    </xf>
    <xf numFmtId="0" fontId="24" fillId="10" borderId="79" xfId="0" applyFont="1" applyFill="1" applyBorder="1" applyAlignment="1">
      <alignment horizontal="left"/>
    </xf>
    <xf numFmtId="0" fontId="15" fillId="5" borderId="82" xfId="0" applyFont="1" applyFill="1" applyBorder="1" applyAlignment="1">
      <alignment horizontal="center"/>
    </xf>
    <xf numFmtId="0" fontId="15" fillId="5" borderId="83" xfId="0" applyFont="1" applyFill="1" applyBorder="1" applyAlignment="1">
      <alignment horizontal="center"/>
    </xf>
    <xf numFmtId="0" fontId="15" fillId="5" borderId="84" xfId="0" applyFont="1" applyFill="1" applyBorder="1" applyAlignment="1">
      <alignment horizontal="center"/>
    </xf>
    <xf numFmtId="0" fontId="13" fillId="4" borderId="110" xfId="0" applyFont="1" applyFill="1" applyBorder="1" applyAlignment="1">
      <alignment horizontal="left"/>
    </xf>
    <xf numFmtId="0" fontId="13" fillId="4" borderId="111" xfId="0" applyFont="1" applyFill="1" applyBorder="1" applyAlignment="1">
      <alignment horizontal="left"/>
    </xf>
    <xf numFmtId="0" fontId="28" fillId="4" borderId="114" xfId="0" applyFont="1" applyFill="1" applyBorder="1" applyAlignment="1">
      <alignment horizontal="center"/>
    </xf>
    <xf numFmtId="0" fontId="28" fillId="4" borderId="113" xfId="0" applyFont="1" applyFill="1" applyBorder="1" applyAlignment="1">
      <alignment horizontal="center"/>
    </xf>
    <xf numFmtId="0" fontId="13" fillId="4" borderId="115" xfId="0" applyFont="1" applyFill="1" applyBorder="1" applyAlignment="1">
      <alignment horizontal="center" vertical="center"/>
    </xf>
    <xf numFmtId="0" fontId="13" fillId="4" borderId="113" xfId="0" applyFont="1" applyFill="1" applyBorder="1" applyAlignment="1">
      <alignment horizontal="center" vertical="center"/>
    </xf>
    <xf numFmtId="0" fontId="13" fillId="4" borderId="115" xfId="0" applyFont="1" applyFill="1" applyBorder="1" applyAlignment="1">
      <alignment horizontal="center"/>
    </xf>
    <xf numFmtId="0" fontId="13" fillId="4" borderId="116" xfId="0" applyFont="1" applyFill="1" applyBorder="1" applyAlignment="1">
      <alignment horizontal="center"/>
    </xf>
    <xf numFmtId="0" fontId="1" fillId="8" borderId="60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61" xfId="0" applyFont="1" applyFill="1" applyBorder="1" applyAlignment="1">
      <alignment horizontal="left"/>
    </xf>
    <xf numFmtId="0" fontId="15" fillId="10" borderId="98" xfId="0" applyFont="1" applyFill="1" applyBorder="1" applyAlignment="1">
      <alignment horizontal="left"/>
    </xf>
    <xf numFmtId="0" fontId="15" fillId="10" borderId="103" xfId="0" applyFont="1" applyFill="1" applyBorder="1" applyAlignment="1">
      <alignment horizontal="left"/>
    </xf>
    <xf numFmtId="0" fontId="18" fillId="5" borderId="47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/>
    </xf>
    <xf numFmtId="0" fontId="18" fillId="5" borderId="85" xfId="0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center" vertical="top" wrapText="1"/>
    </xf>
    <xf numFmtId="0" fontId="0" fillId="6" borderId="12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0" borderId="0" xfId="0" applyAlignment="1">
      <alignment horizontal="center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4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zoomScale="50" zoomScaleNormal="50" workbookViewId="0">
      <selection activeCell="B16" sqref="B16"/>
    </sheetView>
  </sheetViews>
  <sheetFormatPr baseColWidth="10" defaultColWidth="10.77734375" defaultRowHeight="25.5" x14ac:dyDescent="0.75"/>
  <cols>
    <col min="1" max="1" width="4.44140625" style="16" customWidth="1"/>
    <col min="2" max="2" width="247.21875" style="16" bestFit="1" customWidth="1"/>
    <col min="3" max="16384" width="10.77734375" style="16"/>
  </cols>
  <sheetData>
    <row r="1" spans="2:2" x14ac:dyDescent="0.75">
      <c r="B1" s="33" t="s">
        <v>157</v>
      </c>
    </row>
    <row r="2" spans="2:2" x14ac:dyDescent="0.75">
      <c r="B2" s="16" t="s">
        <v>154</v>
      </c>
    </row>
    <row r="3" spans="2:2" x14ac:dyDescent="0.75">
      <c r="B3" s="16" t="s">
        <v>155</v>
      </c>
    </row>
    <row r="4" spans="2:2" x14ac:dyDescent="0.75">
      <c r="B4" s="16" t="s">
        <v>156</v>
      </c>
    </row>
    <row r="6" spans="2:2" x14ac:dyDescent="0.75">
      <c r="B6" s="16" t="s">
        <v>153</v>
      </c>
    </row>
    <row r="7" spans="2:2" x14ac:dyDescent="0.75">
      <c r="B7" s="16" t="s">
        <v>152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R31"/>
  <sheetViews>
    <sheetView tabSelected="1" topLeftCell="J1" zoomScale="60" zoomScaleNormal="60" workbookViewId="0">
      <selection activeCell="R6" sqref="R6"/>
    </sheetView>
  </sheetViews>
  <sheetFormatPr baseColWidth="10" defaultColWidth="10.6640625" defaultRowHeight="25.5" x14ac:dyDescent="0.75"/>
  <cols>
    <col min="4" max="4" width="11.92578125" bestFit="1" customWidth="1"/>
    <col min="5" max="5" width="20.03515625" customWidth="1"/>
    <col min="6" max="6" width="11.0703125" bestFit="1" customWidth="1"/>
    <col min="7" max="7" width="6.77734375" customWidth="1"/>
    <col min="8" max="8" width="6.21875" bestFit="1" customWidth="1"/>
    <col min="9" max="9" width="29.21875" bestFit="1" customWidth="1"/>
    <col min="10" max="10" width="26.14453125" bestFit="1" customWidth="1"/>
    <col min="11" max="11" width="26.14453125" customWidth="1"/>
    <col min="12" max="12" width="20.2578125" bestFit="1" customWidth="1"/>
    <col min="13" max="13" width="29.109375" bestFit="1" customWidth="1"/>
    <col min="14" max="14" width="40.515625" bestFit="1" customWidth="1"/>
    <col min="15" max="15" width="40.515625" customWidth="1"/>
  </cols>
  <sheetData>
    <row r="1" spans="1:18" x14ac:dyDescent="0.75">
      <c r="B1" s="323" t="s">
        <v>80</v>
      </c>
      <c r="C1" s="323"/>
    </row>
    <row r="2" spans="1:18" x14ac:dyDescent="0.75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167</v>
      </c>
      <c r="J2" t="s">
        <v>168</v>
      </c>
      <c r="K2" t="s">
        <v>171</v>
      </c>
      <c r="L2" t="s">
        <v>60</v>
      </c>
      <c r="P2" t="str">
        <f>CONCATENATE(P4,P5)</f>
        <v/>
      </c>
    </row>
    <row r="3" spans="1:18" x14ac:dyDescent="0.75">
      <c r="L3" t="s">
        <v>61</v>
      </c>
      <c r="M3" t="s">
        <v>62</v>
      </c>
      <c r="N3" t="s">
        <v>63</v>
      </c>
      <c r="O3" t="s">
        <v>170</v>
      </c>
      <c r="Q3" t="s">
        <v>64</v>
      </c>
      <c r="R3" t="s">
        <v>169</v>
      </c>
    </row>
    <row r="4" spans="1:18" x14ac:dyDescent="0.75">
      <c r="A4" t="s">
        <v>19</v>
      </c>
      <c r="B4">
        <f>Nebenrechnung2!C4</f>
        <v>0</v>
      </c>
      <c r="C4">
        <f>Nebenrechnung2!D5</f>
        <v>0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Pareto","A1B1")</f>
        <v>Kein Pareto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/>
      </c>
      <c r="I4" t="str">
        <f>IF(AND(G4="N",G7="N",B4&lt;&gt;C4),"KOOP","")</f>
        <v/>
      </c>
      <c r="J4" t="str">
        <f>IF(AND(G4="N",H4="",H5="P",H6="P",H7="P"),"KOOP","")</f>
        <v/>
      </c>
      <c r="K4" t="str">
        <f>IF(AND(G4="",G5="",G6="",G7="",COUNTIF(H4:H7,"P")=3),"Koordinationsproblem Fall 4","")</f>
        <v/>
      </c>
      <c r="L4" t="str">
        <f>IF(AND(G4="N",G7="N"),"Ja","Nein")</f>
        <v>Nein</v>
      </c>
      <c r="M4" t="str">
        <f>IF(AND(B4=C4,B7=C7),"Ja","Nein")</f>
        <v>Ja</v>
      </c>
      <c r="N4" t="str">
        <f>IF(AND(B4=C7,B7=C4),"Ja","Nein")</f>
        <v>Ja</v>
      </c>
      <c r="O4" t="str">
        <f>IF(AND(B4=B7,C7=C4),"Ja","Nein")</f>
        <v>Ja</v>
      </c>
      <c r="P4" t="str">
        <f>IF(AND(I4="KOOP",L4="Ja",M4="Ja"),"OK",IF(AND(I4="KOOP",L4="Ja",N4="Ja"),"MK",""))</f>
        <v/>
      </c>
      <c r="Q4" t="str">
        <f>IF(AND(I4="",L4="Ja",M4="Ja"),"ohne Interessenkonflikt",IF(AND(I4="KOOP",L4="Ja",N4="Ja"),"mit Interessenkonflikt",""))</f>
        <v/>
      </c>
      <c r="R4" t="str">
        <f>IF(K4&lt;&gt;"",K4,IF(AND(I4="",L4="Ja",M4="Ja"),IF(O4="Ja","Koordinationsproblem Fall 1","Koordinationsproblem Fall 2"),IF(AND(I4="KOOP",L4="Ja",N4="Ja"),"Koordinationsproblem Fall 3","")))</f>
        <v/>
      </c>
    </row>
    <row r="5" spans="1:18" x14ac:dyDescent="0.75">
      <c r="A5" t="s">
        <v>22</v>
      </c>
      <c r="B5">
        <f>Nebenrechnung2!E4</f>
        <v>2</v>
      </c>
      <c r="C5">
        <f>Nebenrechnung2!F5</f>
        <v>2</v>
      </c>
      <c r="D5" t="str">
        <f>IF(AND(B5&gt;B7,C5&gt;C4),"Nash GG","Kein Nash GG")</f>
        <v>Nash GG</v>
      </c>
      <c r="E5" t="str">
        <f>IF(OR(AND(B4&gt;B5,C4&gt;=C5),AND(B6&gt;B5,C6&gt;=C5),AND(B7&gt;B5,C7&gt;=C5),AND(B4&gt;=B5,C4&gt;C5),AND(B6&gt;=B5,C6&gt;C5),AND(B7&gt;=B5,C7&gt;C5)),"Kein Pareto","A1B2")</f>
        <v>A1B2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>N</v>
      </c>
      <c r="H5" t="str">
        <f t="shared" ref="H5:H7" si="1">IF(E5&lt;&gt;"Kein Pareto","P","")</f>
        <v>P</v>
      </c>
      <c r="I5" t="str">
        <f>IF(AND(G5="N",G6="N",B5&lt;&gt;C5),"KOOP","")</f>
        <v/>
      </c>
      <c r="J5" t="str">
        <f>IF(AND(G5="N",H5="",H4="P",H6="P",H7="P"),"KOOP","")</f>
        <v/>
      </c>
      <c r="L5" t="str">
        <f>IF(AND(G5="N",G6="N"),"Ja","Nein")</f>
        <v>Ja</v>
      </c>
      <c r="M5" t="str">
        <f>IF(AND(B5=C5,B6=C6),"Ja","Nein")</f>
        <v>Ja</v>
      </c>
      <c r="N5" t="str">
        <f>IF(AND(B5=C6,B6=C5),"Ja","Nein")</f>
        <v>Nein</v>
      </c>
      <c r="O5" t="str">
        <f>IF(AND(B5=B6,C6=C5),"Ja","Nein")</f>
        <v>Nein</v>
      </c>
      <c r="P5" t="str">
        <f>IF(AND(I5="KOOP",L5="Ja",M5="Ja"),"OK",IF(AND(I5="KOOP",L5="Ja",N5="Ja"),"MK",""))</f>
        <v/>
      </c>
      <c r="Q5" t="str">
        <f>IF(AND(I5="",L5="Ja",M5="Ja"),"ohne Interessenkonflikt",IF(AND(I5="KOOP",L5="Ja",N5="Ja"),"mit Interessenkonflikt",""))</f>
        <v>ohne Interessenkonflikt</v>
      </c>
      <c r="R5" t="str">
        <f>IF(AND(I5="",L5="Ja",M5="Ja"),IF(O5="Ja","Koordinationsproblem Fall 1","Koordinationsproblem Fall 2"),IF(AND(I5="KOOP",L5="Ja",N5="Ja"),"Koordinationsproblem Fall 3",""))</f>
        <v>Koordinationsproblem Fall 2</v>
      </c>
    </row>
    <row r="6" spans="1:18" x14ac:dyDescent="0.75">
      <c r="A6" t="s">
        <v>20</v>
      </c>
      <c r="B6">
        <f>Nebenrechnung2!C6</f>
        <v>1</v>
      </c>
      <c r="C6">
        <f>Nebenrechnung2!D7</f>
        <v>1</v>
      </c>
      <c r="D6" t="str">
        <f>IF(AND(B6&gt;B4,C6&gt;C7),"Nash GG","Kein Nash GG")</f>
        <v>Nash GG</v>
      </c>
      <c r="E6" t="str">
        <f>IF(OR(AND(B4&gt;B6,C4&gt;=C6),AND(B5&gt;B6,C5&gt;=C6),AND(B7&gt;B6,C7&gt;=C6),AND(B4&gt;=B6,C4&gt;C6),AND(B5&gt;=B6,C5&gt;C6),AND(B7&gt;=B6,C7&gt;C6)),"Kein Pareto","A2B1")</f>
        <v>Kein Pareto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>N</v>
      </c>
      <c r="H6" t="str">
        <f t="shared" si="1"/>
        <v/>
      </c>
      <c r="I6" t="str">
        <f>IF(AND(G6="N",H5="P",B6&lt;&gt;C6),"KOOP","")</f>
        <v/>
      </c>
      <c r="J6" t="str">
        <f>IF(AND(G6="N",H6="",H5="P",H4="P",H7="P"),"KOOP","")</f>
        <v/>
      </c>
      <c r="Q6" t="str">
        <f>IF(AND(I6="",L6="Ja",M6="Ja"),"ohne Interessenkonflikt",IF(AND(I6="KOOP",L6="Ja",N6="Ja"),"mit Interessenkonflikt",""))</f>
        <v/>
      </c>
    </row>
    <row r="7" spans="1:18" x14ac:dyDescent="0.75">
      <c r="A7" t="s">
        <v>21</v>
      </c>
      <c r="B7">
        <f>Nebenrechnung2!E6</f>
        <v>0</v>
      </c>
      <c r="C7">
        <f>Nebenrechnung2!F7</f>
        <v>0</v>
      </c>
      <c r="D7" t="str">
        <f>IF(AND(B7&gt;B5,C7&gt;C6),"Nash GG","Kein Nash GG")</f>
        <v>Kein Nash GG</v>
      </c>
      <c r="E7" t="str">
        <f>IF(OR(AND(B4&gt;B7,C4&gt;=C7),AND(B5&gt;B7,C5&gt;=C7),AND(B6&gt;B7,C6&gt;=C7),AND(B4&gt;=B7,C4&gt;C7),AND(B5&gt;=B7,C5&gt;C7),AND(B6&gt;=B7,C6&gt;C7)),"Kein Pareto","A2B2")</f>
        <v>Kein Pareto</v>
      </c>
      <c r="F7" t="str">
        <f>IF(AND(C5&gt;C4,C7&gt;C6),"Strikte Dominanz in B2",IF(OR(C5&lt;C4,C7&lt;C6),"Nein",IF(AND(C5=C4,C7=C6),"Nein","Schwache Dominanz in B2")))</f>
        <v>Nein</v>
      </c>
      <c r="G7" t="str">
        <f t="shared" si="0"/>
        <v/>
      </c>
      <c r="H7" t="str">
        <f t="shared" si="1"/>
        <v/>
      </c>
      <c r="I7" t="str">
        <f>IF(AND(G7="N",H4="P",B7&lt;&gt;C7),"KOOP","")</f>
        <v/>
      </c>
      <c r="J7" t="str">
        <f>IF(AND(G7="N",H7="",H5="P",H6="P",H4="P"),"KOOP","")</f>
        <v/>
      </c>
      <c r="Q7" t="str">
        <f>IF(AND(I7="",L7="Ja",M7="Ja"),"ohne Interessenkonflikt",IF(AND(I7="KOOP",L7="Ja",N7="Ja"),"mit Interessenkonflikt",""))</f>
        <v/>
      </c>
    </row>
    <row r="8" spans="1:18" x14ac:dyDescent="0.75">
      <c r="G8" t="str">
        <f t="shared" ref="G8" si="2">IF(D8="Nash GG","N","")</f>
        <v/>
      </c>
    </row>
    <row r="9" spans="1:18" x14ac:dyDescent="0.75">
      <c r="B9" t="s">
        <v>81</v>
      </c>
      <c r="G9" t="s">
        <v>83</v>
      </c>
    </row>
    <row r="10" spans="1:18" x14ac:dyDescent="0.75">
      <c r="A10" t="s">
        <v>19</v>
      </c>
      <c r="B10">
        <f>B4-C4</f>
        <v>0</v>
      </c>
      <c r="C10">
        <f>C4-B4</f>
        <v>0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Kein Pareto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/>
      </c>
      <c r="I10" t="s">
        <v>173</v>
      </c>
      <c r="J10">
        <f>B4</f>
        <v>0</v>
      </c>
      <c r="K10">
        <f>C4</f>
        <v>0</v>
      </c>
    </row>
    <row r="11" spans="1:18" x14ac:dyDescent="0.75">
      <c r="A11" t="s">
        <v>22</v>
      </c>
      <c r="B11">
        <f t="shared" ref="B11:B13" si="5">B5-C5</f>
        <v>0</v>
      </c>
      <c r="C11">
        <f t="shared" ref="C11:C13" si="6">C5-B5</f>
        <v>0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Kein Pareto</v>
      </c>
      <c r="F11" t="str">
        <f t="shared" si="3"/>
        <v>Nein</v>
      </c>
      <c r="G11" t="str">
        <f t="shared" si="4"/>
        <v/>
      </c>
      <c r="H11" t="str">
        <f t="shared" ref="H11:H13" si="7">H5</f>
        <v>P</v>
      </c>
      <c r="I11" t="s">
        <v>174</v>
      </c>
      <c r="J11">
        <f t="shared" ref="J11:K11" si="8">B5</f>
        <v>2</v>
      </c>
      <c r="K11">
        <f t="shared" si="8"/>
        <v>2</v>
      </c>
    </row>
    <row r="12" spans="1:18" x14ac:dyDescent="0.75">
      <c r="A12" t="s">
        <v>20</v>
      </c>
      <c r="B12">
        <f t="shared" si="5"/>
        <v>0</v>
      </c>
      <c r="C12">
        <f t="shared" si="6"/>
        <v>0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Kein Pareto</v>
      </c>
      <c r="F12" t="str">
        <f t="shared" si="3"/>
        <v>Nein</v>
      </c>
      <c r="G12" t="str">
        <f>IF(D12="Nash GG","K","")</f>
        <v/>
      </c>
      <c r="H12" t="str">
        <f t="shared" si="7"/>
        <v/>
      </c>
      <c r="I12" t="s">
        <v>175</v>
      </c>
      <c r="J12">
        <f t="shared" ref="J12:K12" si="9">B6</f>
        <v>1</v>
      </c>
      <c r="K12">
        <f t="shared" si="9"/>
        <v>1</v>
      </c>
    </row>
    <row r="13" spans="1:18" x14ac:dyDescent="0.75">
      <c r="A13" t="s">
        <v>21</v>
      </c>
      <c r="B13">
        <f t="shared" si="5"/>
        <v>0</v>
      </c>
      <c r="C13">
        <f t="shared" si="6"/>
        <v>0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Nein</v>
      </c>
      <c r="G13" t="str">
        <f t="shared" si="4"/>
        <v/>
      </c>
      <c r="H13" t="str">
        <f t="shared" si="7"/>
        <v/>
      </c>
      <c r="I13" t="s">
        <v>176</v>
      </c>
      <c r="J13">
        <f t="shared" ref="J13:K13" si="10">B7</f>
        <v>0</v>
      </c>
      <c r="K13">
        <f t="shared" si="10"/>
        <v>0</v>
      </c>
    </row>
    <row r="15" spans="1:18" x14ac:dyDescent="0.75">
      <c r="A15" t="s">
        <v>37</v>
      </c>
      <c r="E15" t="s">
        <v>84</v>
      </c>
    </row>
    <row r="16" spans="1:18" x14ac:dyDescent="0.75">
      <c r="A16" t="s">
        <v>7</v>
      </c>
      <c r="B16" s="17">
        <f>(-1*(B5)+B7)/(B4-B5-B6+B7)</f>
        <v>0.66666666666666663</v>
      </c>
      <c r="C16" s="17"/>
      <c r="E16" t="s">
        <v>85</v>
      </c>
      <c r="F16" t="str">
        <f>_xlfn.IFNA(VLOOKUP("K",$G$10:I13,3,FALSE),"Kein Nash GG in der Differenzmatrix")</f>
        <v>Kein Nash GG in der Differenzmatrix</v>
      </c>
      <c r="G16" t="str">
        <f>_xlfn.IFNA(VLOOKUP("K",$G$10:$K$13,4,FALSE),"")</f>
        <v/>
      </c>
      <c r="H16" t="str">
        <f>_xlfn.IFNA(VLOOKUP("K",$G$10:$K$13,5,FALSE),"")</f>
        <v/>
      </c>
    </row>
    <row r="17" spans="1:12" x14ac:dyDescent="0.75">
      <c r="A17" t="s">
        <v>27</v>
      </c>
      <c r="B17" s="17">
        <f>1-B16</f>
        <v>0.33333333333333337</v>
      </c>
      <c r="C17" s="17"/>
      <c r="E17" t="s">
        <v>86</v>
      </c>
      <c r="F17" t="str">
        <f>A4</f>
        <v>SK 1</v>
      </c>
      <c r="G17" t="e">
        <f>(B4-$G$16)*(C4-$H$16)</f>
        <v>#VALUE!</v>
      </c>
      <c r="H17" t="str">
        <f>G4</f>
        <v/>
      </c>
      <c r="I17" t="s">
        <v>92</v>
      </c>
      <c r="L17" t="str">
        <f>IF(H17="N",G17,"")</f>
        <v/>
      </c>
    </row>
    <row r="18" spans="1:12" x14ac:dyDescent="0.75">
      <c r="A18" t="s">
        <v>6</v>
      </c>
      <c r="B18" s="17">
        <f>(-C6+C7)/(C4-C6-C5+C7)</f>
        <v>0.33333333333333331</v>
      </c>
      <c r="F18" t="str">
        <f t="shared" ref="F18:F20" si="11">A5</f>
        <v>SK 2</v>
      </c>
      <c r="G18" t="e">
        <f t="shared" ref="G18:G20" si="12">(B5-$G$16)*(C5-$H$16)</f>
        <v>#VALUE!</v>
      </c>
      <c r="H18" t="str">
        <f t="shared" ref="H18:H20" si="13">G5</f>
        <v>N</v>
      </c>
      <c r="L18" t="e">
        <f t="shared" ref="L18:L20" si="14">IF(H18="N",G18,"")</f>
        <v>#VALUE!</v>
      </c>
    </row>
    <row r="19" spans="1:12" x14ac:dyDescent="0.75">
      <c r="A19" t="s">
        <v>28</v>
      </c>
      <c r="B19" s="17">
        <f>1-B18</f>
        <v>0.66666666666666674</v>
      </c>
      <c r="F19" t="str">
        <f t="shared" si="11"/>
        <v>SK 3</v>
      </c>
      <c r="G19" t="e">
        <f t="shared" si="12"/>
        <v>#VALUE!</v>
      </c>
      <c r="H19" t="str">
        <f t="shared" si="13"/>
        <v>N</v>
      </c>
      <c r="L19" t="e">
        <f t="shared" si="14"/>
        <v>#VALUE!</v>
      </c>
    </row>
    <row r="20" spans="1:12" x14ac:dyDescent="0.75">
      <c r="F20" t="str">
        <f t="shared" si="11"/>
        <v>SK 4</v>
      </c>
      <c r="G20" t="e">
        <f t="shared" si="12"/>
        <v>#VALUE!</v>
      </c>
      <c r="H20" t="str">
        <f t="shared" si="13"/>
        <v/>
      </c>
      <c r="L20" t="str">
        <f t="shared" si="14"/>
        <v/>
      </c>
    </row>
    <row r="21" spans="1:12" x14ac:dyDescent="0.75">
      <c r="A21" t="s">
        <v>38</v>
      </c>
    </row>
    <row r="22" spans="1:12" x14ac:dyDescent="0.75">
      <c r="A22" t="s">
        <v>1</v>
      </c>
      <c r="B22">
        <f>B4*B16*B18+B5*B17*B18+B6*B16*B19+B7*B17*B19</f>
        <v>0.66666666666666674</v>
      </c>
      <c r="E22" t="s">
        <v>91</v>
      </c>
      <c r="F22" t="e">
        <f>IF(G22=G17,F17,IF(G22=G18,F18,IF(G22=G19,F19,F20)))</f>
        <v>#VALUE!</v>
      </c>
      <c r="G22" t="str">
        <f>IFERROR(MAX(G16:G20),"")</f>
        <v/>
      </c>
    </row>
    <row r="23" spans="1:12" x14ac:dyDescent="0.75">
      <c r="A23" t="s">
        <v>0</v>
      </c>
      <c r="B23">
        <f>C4*B16*B18+C5*B18*B17+C6*B19*B16+C7*B17*B19</f>
        <v>0.66666666666666674</v>
      </c>
    </row>
    <row r="24" spans="1:12" x14ac:dyDescent="0.75">
      <c r="E24" t="s">
        <v>93</v>
      </c>
    </row>
    <row r="25" spans="1:12" x14ac:dyDescent="0.75">
      <c r="A25" t="s">
        <v>39</v>
      </c>
      <c r="E25" t="s">
        <v>94</v>
      </c>
      <c r="F25" t="str">
        <f>A4</f>
        <v>SK 1</v>
      </c>
      <c r="G25">
        <f>B4+C4</f>
        <v>0</v>
      </c>
    </row>
    <row r="26" spans="1:12" x14ac:dyDescent="0.75">
      <c r="A26" t="s">
        <v>40</v>
      </c>
      <c r="B26" t="str">
        <f>IF(OR(AND(B4&gt;=B22,C4&gt;=B23),AND(B5&gt;=B22,C5&gt;=B23),AND(B6&gt;=B22,C6&gt;=B23)),"Kein Pareto","Pareto in A2B2")</f>
        <v>Kein Pareto</v>
      </c>
      <c r="F26" t="str">
        <f t="shared" ref="F26:F28" si="15">A5</f>
        <v>SK 2</v>
      </c>
      <c r="G26">
        <f t="shared" ref="G26:G28" si="16">B5+C5</f>
        <v>4</v>
      </c>
    </row>
    <row r="27" spans="1:12" x14ac:dyDescent="0.75">
      <c r="F27" t="str">
        <f t="shared" si="15"/>
        <v>SK 3</v>
      </c>
      <c r="G27">
        <f t="shared" si="16"/>
        <v>2</v>
      </c>
    </row>
    <row r="28" spans="1:12" x14ac:dyDescent="0.75">
      <c r="A28" t="s">
        <v>41</v>
      </c>
      <c r="F28" t="str">
        <f t="shared" si="15"/>
        <v>SK 4</v>
      </c>
      <c r="G28">
        <f t="shared" si="16"/>
        <v>0</v>
      </c>
    </row>
    <row r="29" spans="1:12" x14ac:dyDescent="0.75">
      <c r="A29" t="s">
        <v>42</v>
      </c>
      <c r="B29" t="str">
        <f>IF(OR(AND(B4=C4,B5=C6,C5=B6,B7=C7),AND(B4=C7,C4=B7,B5=C5,B6=C6)),"Spiegelsymmetrie","")</f>
        <v>Spiegelsymmetrie</v>
      </c>
      <c r="I29" t="s">
        <v>1</v>
      </c>
      <c r="L29" t="s">
        <v>0</v>
      </c>
    </row>
    <row r="30" spans="1:12" x14ac:dyDescent="0.75">
      <c r="A30" t="s">
        <v>43</v>
      </c>
      <c r="B30" t="str">
        <f>IF(AND(B4=C7,C4=B7,B5=C6,C5=B6),"Punktsymmetrie (beinhaltet doppelte Spiegelsymm.)","")</f>
        <v/>
      </c>
      <c r="E30" t="s">
        <v>95</v>
      </c>
      <c r="F30" t="str">
        <f>IF(G30=G25,F25,IF(G30=G26,F26,IF(G30=G27,F27,F28)))</f>
        <v>SK 2</v>
      </c>
      <c r="G30">
        <f>MAX(G25:G28)</f>
        <v>4</v>
      </c>
      <c r="I30">
        <f>LOOKUP(F30,A4:A7,B4:B7)</f>
        <v>2</v>
      </c>
      <c r="L30">
        <f>LOOKUP(F30,A4:A7,C4:C7)</f>
        <v>2</v>
      </c>
    </row>
    <row r="31" spans="1:12" x14ac:dyDescent="0.75">
      <c r="E31" t="s">
        <v>99</v>
      </c>
      <c r="F31" t="str">
        <f>CONCATENATE("NP=(",I30,"-",G16,"-az)*(",L30,"-",H16,"+az)")</f>
        <v>NP=(2--az)*(2-+az)</v>
      </c>
    </row>
  </sheetData>
  <mergeCells count="1">
    <mergeCell ref="B1:C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8D54-24B0-41A3-9F13-F040CB66008B}">
  <dimension ref="B2:B9"/>
  <sheetViews>
    <sheetView workbookViewId="0">
      <selection activeCell="B4" sqref="B4"/>
    </sheetView>
  </sheetViews>
  <sheetFormatPr baseColWidth="10" defaultRowHeight="25.5" x14ac:dyDescent="0.75"/>
  <cols>
    <col min="1" max="16384" width="10.6640625" style="16"/>
  </cols>
  <sheetData>
    <row r="2" spans="2:2" x14ac:dyDescent="0.75">
      <c r="B2" s="33" t="s">
        <v>178</v>
      </c>
    </row>
    <row r="4" spans="2:2" x14ac:dyDescent="0.75">
      <c r="B4" s="16" t="s">
        <v>179</v>
      </c>
    </row>
    <row r="7" spans="2:2" x14ac:dyDescent="0.75">
      <c r="B7" s="33" t="s">
        <v>180</v>
      </c>
    </row>
    <row r="8" spans="2:2" x14ac:dyDescent="0.75">
      <c r="B8" s="16" t="s">
        <v>181</v>
      </c>
    </row>
    <row r="9" spans="2:2" x14ac:dyDescent="0.75">
      <c r="B9" s="16" t="s">
        <v>182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9"/>
  <sheetViews>
    <sheetView topLeftCell="B1" zoomScale="80" zoomScaleNormal="80" workbookViewId="0">
      <selection activeCell="C50" sqref="C50:D50"/>
    </sheetView>
  </sheetViews>
  <sheetFormatPr baseColWidth="10" defaultColWidth="10.77734375" defaultRowHeight="24.75" x14ac:dyDescent="0.65"/>
  <cols>
    <col min="1" max="1" width="10.77734375" style="40"/>
    <col min="2" max="2" width="20.44140625" style="40" customWidth="1"/>
    <col min="3" max="3" width="10.44140625" style="40" customWidth="1"/>
    <col min="4" max="4" width="11.40625" style="40" customWidth="1"/>
    <col min="5" max="5" width="10.0703125" style="40" customWidth="1"/>
    <col min="6" max="6" width="10.73828125" style="40" customWidth="1"/>
    <col min="7" max="7" width="10.77734375" style="40"/>
    <col min="8" max="9" width="13.44140625" style="40" customWidth="1"/>
    <col min="10" max="10" width="9.0703125" style="40" customWidth="1"/>
    <col min="11" max="11" width="2.77734375" style="40" customWidth="1"/>
    <col min="12" max="12" width="2.58984375" style="40" customWidth="1"/>
    <col min="13" max="13" width="20.109375" style="40" customWidth="1"/>
    <col min="14" max="16384" width="10.77734375" style="40"/>
  </cols>
  <sheetData>
    <row r="1" spans="2:21" ht="25.15" thickBot="1" x14ac:dyDescent="0.7"/>
    <row r="2" spans="2:21" x14ac:dyDescent="0.65">
      <c r="B2" s="81"/>
      <c r="C2" s="82"/>
      <c r="D2" s="82"/>
      <c r="E2" s="82"/>
      <c r="F2" s="82"/>
      <c r="G2" s="82"/>
      <c r="H2" s="82"/>
      <c r="I2" s="82"/>
      <c r="J2" s="83"/>
      <c r="M2" s="81"/>
      <c r="N2" s="82"/>
      <c r="O2" s="82"/>
      <c r="P2" s="82"/>
      <c r="Q2" s="82"/>
      <c r="R2" s="82"/>
      <c r="S2" s="82"/>
      <c r="T2" s="82"/>
      <c r="U2" s="83"/>
    </row>
    <row r="3" spans="2:21" x14ac:dyDescent="0.65">
      <c r="B3" s="84" t="s">
        <v>115</v>
      </c>
      <c r="C3" s="85"/>
      <c r="D3" s="85"/>
      <c r="E3" s="85"/>
      <c r="F3" s="85"/>
      <c r="G3" s="85"/>
      <c r="H3" s="85"/>
      <c r="I3" s="85"/>
      <c r="J3" s="86"/>
      <c r="M3" s="84" t="s">
        <v>130</v>
      </c>
      <c r="N3" s="85"/>
      <c r="O3" s="85"/>
      <c r="P3" s="85"/>
      <c r="Q3" s="85"/>
      <c r="R3" s="85"/>
      <c r="S3" s="85"/>
      <c r="T3" s="85"/>
      <c r="U3" s="86"/>
    </row>
    <row r="4" spans="2:21" x14ac:dyDescent="0.65">
      <c r="B4" s="87" t="s">
        <v>120</v>
      </c>
      <c r="C4" s="73">
        <v>0.2</v>
      </c>
      <c r="D4" s="85"/>
      <c r="E4" s="85"/>
      <c r="F4" s="85"/>
      <c r="G4" s="85"/>
      <c r="H4" s="85"/>
      <c r="I4" s="85"/>
      <c r="J4" s="86"/>
      <c r="M4" s="87" t="s">
        <v>116</v>
      </c>
      <c r="N4" s="74" t="s">
        <v>117</v>
      </c>
      <c r="O4" s="85"/>
      <c r="P4" s="85"/>
      <c r="Q4" s="85"/>
      <c r="R4" s="85"/>
      <c r="S4" s="85"/>
      <c r="T4" s="85"/>
      <c r="U4" s="86"/>
    </row>
    <row r="5" spans="2:21" x14ac:dyDescent="0.65">
      <c r="B5" s="96" t="s">
        <v>162</v>
      </c>
      <c r="C5" s="166">
        <v>0.12</v>
      </c>
      <c r="D5" s="166">
        <v>0.68</v>
      </c>
      <c r="E5" s="166">
        <v>0.2</v>
      </c>
      <c r="F5" s="85"/>
      <c r="G5" s="85"/>
      <c r="H5" s="85"/>
      <c r="I5" s="85"/>
      <c r="J5" s="86"/>
      <c r="M5" s="87" t="s">
        <v>118</v>
      </c>
      <c r="N5" s="73">
        <v>10</v>
      </c>
      <c r="O5" s="73">
        <f ca="1">RANDBETWEEN(1,10)</f>
        <v>6</v>
      </c>
      <c r="P5" s="85"/>
      <c r="Q5" s="85"/>
      <c r="R5" s="85"/>
      <c r="S5" s="85"/>
      <c r="T5" s="85"/>
      <c r="U5" s="86"/>
    </row>
    <row r="6" spans="2:21" ht="29.25" x14ac:dyDescent="0.95">
      <c r="B6" s="88" t="s">
        <v>108</v>
      </c>
      <c r="C6" s="60" t="s">
        <v>109</v>
      </c>
      <c r="D6" s="60" t="s">
        <v>110</v>
      </c>
      <c r="E6" s="61" t="s">
        <v>111</v>
      </c>
      <c r="F6" s="61" t="s">
        <v>122</v>
      </c>
      <c r="G6" s="61" t="s">
        <v>123</v>
      </c>
      <c r="H6" s="61" t="s">
        <v>124</v>
      </c>
      <c r="I6" s="61" t="s">
        <v>125</v>
      </c>
      <c r="J6" s="86"/>
      <c r="M6" s="87" t="s">
        <v>119</v>
      </c>
      <c r="N6" s="73">
        <v>100</v>
      </c>
      <c r="O6" s="73">
        <f ca="1">RANDBETWEEN(2,10)</f>
        <v>5</v>
      </c>
      <c r="P6" s="85"/>
      <c r="Q6" s="85"/>
      <c r="R6" s="85"/>
      <c r="S6" s="85"/>
      <c r="T6" s="85"/>
      <c r="U6" s="86"/>
    </row>
    <row r="7" spans="2:21" x14ac:dyDescent="0.65">
      <c r="B7" s="89" t="s">
        <v>107</v>
      </c>
      <c r="C7" s="167"/>
      <c r="D7" s="167"/>
      <c r="E7" s="168"/>
      <c r="F7" s="62"/>
      <c r="G7" s="62"/>
      <c r="H7" s="62" t="str">
        <f>CONCATENATE("λ: ",C4)</f>
        <v>λ: 0,2</v>
      </c>
      <c r="I7" s="62"/>
      <c r="J7" s="86"/>
      <c r="M7" s="102" t="s">
        <v>126</v>
      </c>
      <c r="N7" s="85"/>
      <c r="O7" s="85"/>
      <c r="P7" s="85"/>
      <c r="Q7" s="85"/>
      <c r="R7" s="85"/>
      <c r="S7" s="85"/>
      <c r="T7" s="85"/>
      <c r="U7" s="86"/>
    </row>
    <row r="8" spans="2:21" ht="29.25" x14ac:dyDescent="0.95">
      <c r="B8" s="90" t="s">
        <v>112</v>
      </c>
      <c r="C8" s="64">
        <v>2400</v>
      </c>
      <c r="D8" s="64">
        <v>800</v>
      </c>
      <c r="E8" s="64">
        <v>1200</v>
      </c>
      <c r="F8" s="71">
        <f>MAX(C8:E8)</f>
        <v>2400</v>
      </c>
      <c r="G8" s="71">
        <f>MIN(C8:E8)</f>
        <v>800</v>
      </c>
      <c r="H8" s="71">
        <f>F8*$C$4+(1-$C$4)*G8</f>
        <v>1120</v>
      </c>
      <c r="I8" s="71">
        <f>SUM(C8:E8)/3</f>
        <v>1466.6666666666667</v>
      </c>
      <c r="J8" s="86"/>
      <c r="M8" s="88" t="s">
        <v>108</v>
      </c>
      <c r="N8" s="60" t="s">
        <v>109</v>
      </c>
      <c r="O8" s="60" t="s">
        <v>110</v>
      </c>
      <c r="P8" s="61" t="s">
        <v>111</v>
      </c>
      <c r="Q8" s="85"/>
      <c r="R8" s="85"/>
      <c r="S8" s="85"/>
      <c r="T8" s="85"/>
      <c r="U8" s="86"/>
    </row>
    <row r="9" spans="2:21" ht="25.15" thickBot="1" x14ac:dyDescent="0.7">
      <c r="B9" s="91"/>
      <c r="C9" s="56"/>
      <c r="D9" s="56"/>
      <c r="E9" s="56"/>
      <c r="F9" s="68" t="str">
        <f>IF(AND(F8&gt;F10,F8&gt;F12),"Maximax","")</f>
        <v>Maximax</v>
      </c>
      <c r="G9" s="68" t="str">
        <f>IF(AND(G8&gt;G10,G8&gt;G12),"Maximin","")</f>
        <v>Maximin</v>
      </c>
      <c r="H9" s="68" t="str">
        <f>IF(AND(H8&gt;H10,H8&gt;H12),"Hurwicz","")</f>
        <v>Hurwicz</v>
      </c>
      <c r="I9" s="68" t="str">
        <f>IF(AND(I8&gt;I10,I8&gt;I12),"Laplace","")</f>
        <v>Laplace</v>
      </c>
      <c r="J9" s="86"/>
      <c r="M9" s="89" t="s">
        <v>107</v>
      </c>
      <c r="N9" s="77">
        <f ca="1">(RANDBETWEEN(1,66))/100</f>
        <v>0.05</v>
      </c>
      <c r="O9" s="77">
        <f ca="1">(1-N9)*(O5/O6)</f>
        <v>1.1399999999999999</v>
      </c>
      <c r="P9" s="78">
        <f ca="1">1-N9-O9</f>
        <v>-0.18999999999999995</v>
      </c>
      <c r="Q9" s="85"/>
      <c r="R9" s="85"/>
      <c r="S9" s="85"/>
      <c r="T9" s="85"/>
      <c r="U9" s="86"/>
    </row>
    <row r="10" spans="2:21" ht="29.25" x14ac:dyDescent="0.95">
      <c r="B10" s="92" t="s">
        <v>113</v>
      </c>
      <c r="C10" s="64">
        <v>100</v>
      </c>
      <c r="D10" s="64">
        <v>600</v>
      </c>
      <c r="E10" s="64">
        <v>300</v>
      </c>
      <c r="F10" s="71">
        <f>MAX(C10:E10)</f>
        <v>600</v>
      </c>
      <c r="G10" s="71">
        <f>MIN(C10:E10)</f>
        <v>100</v>
      </c>
      <c r="H10" s="71">
        <f>F10*$C$4+(1-$C$4)*G10</f>
        <v>200</v>
      </c>
      <c r="I10" s="71">
        <f>SUM(C10:E10)/3</f>
        <v>333.33333333333331</v>
      </c>
      <c r="J10" s="86"/>
      <c r="M10" s="90" t="s">
        <v>112</v>
      </c>
      <c r="N10" s="64">
        <f ca="1">RANDBETWEEN($N$5,$N$6)</f>
        <v>21</v>
      </c>
      <c r="O10" s="64">
        <f ca="1">RANDBETWEEN($N$5,$N$6)</f>
        <v>67</v>
      </c>
      <c r="P10" s="64">
        <f ca="1">RANDBETWEEN($N$5,$N$6)</f>
        <v>29</v>
      </c>
      <c r="Q10" s="85"/>
      <c r="R10" s="85"/>
      <c r="S10" s="85"/>
      <c r="T10" s="85"/>
      <c r="U10" s="86"/>
    </row>
    <row r="11" spans="2:21" ht="25.15" thickBot="1" x14ac:dyDescent="0.7">
      <c r="B11" s="91"/>
      <c r="C11" s="56"/>
      <c r="D11" s="56"/>
      <c r="E11" s="57"/>
      <c r="F11" s="69" t="str">
        <f>IF(AND(F10&gt;F8,F10&gt;F12),"Maximax","")</f>
        <v/>
      </c>
      <c r="G11" s="69" t="str">
        <f>IF(AND(G10&gt;G8,G10&gt;G12),"Maximin","")</f>
        <v/>
      </c>
      <c r="H11" s="69" t="str">
        <f>IF(AND(H10&gt;H8,H10&gt;H12),"Hurwicz","")</f>
        <v/>
      </c>
      <c r="I11" s="69" t="str">
        <f>IF(AND(I10&gt;I8,I10&gt;I12),"Laplace","")</f>
        <v/>
      </c>
      <c r="J11" s="86"/>
      <c r="M11" s="91"/>
      <c r="N11" s="56"/>
      <c r="O11" s="56"/>
      <c r="P11" s="56"/>
      <c r="Q11" s="85"/>
      <c r="R11" s="85"/>
      <c r="S11" s="85"/>
      <c r="T11" s="85"/>
      <c r="U11" s="86"/>
    </row>
    <row r="12" spans="2:21" ht="29.25" x14ac:dyDescent="0.95">
      <c r="B12" s="92" t="s">
        <v>114</v>
      </c>
      <c r="C12" s="64">
        <v>300</v>
      </c>
      <c r="D12" s="64">
        <v>300</v>
      </c>
      <c r="E12" s="64">
        <v>400</v>
      </c>
      <c r="F12" s="71">
        <f>MAX(C12:E12)</f>
        <v>400</v>
      </c>
      <c r="G12" s="71">
        <f>MIN(C12:E12)</f>
        <v>300</v>
      </c>
      <c r="H12" s="71">
        <f>F12*$C$4+(1-$C$4)*G12</f>
        <v>320</v>
      </c>
      <c r="I12" s="71">
        <f>SUM(C12:E12)/3</f>
        <v>333.33333333333331</v>
      </c>
      <c r="J12" s="86"/>
      <c r="M12" s="92" t="s">
        <v>113</v>
      </c>
      <c r="N12" s="64">
        <f ca="1">RANDBETWEEN($N$5,$N$6)</f>
        <v>12</v>
      </c>
      <c r="O12" s="64">
        <f ca="1">RANDBETWEEN($N$5,$N$6)</f>
        <v>79</v>
      </c>
      <c r="P12" s="64">
        <f ca="1">RANDBETWEEN($N$5,$N$6)</f>
        <v>30</v>
      </c>
      <c r="Q12" s="85"/>
      <c r="R12" s="85"/>
      <c r="S12" s="85"/>
      <c r="T12" s="85"/>
      <c r="U12" s="86"/>
    </row>
    <row r="13" spans="2:21" ht="25.15" thickBot="1" x14ac:dyDescent="0.7">
      <c r="B13" s="91"/>
      <c r="C13" s="59"/>
      <c r="D13" s="59"/>
      <c r="E13" s="58"/>
      <c r="F13" s="70" t="str">
        <f>IF(AND(F12&gt;F8,F12&gt;F10),"Maximax","")</f>
        <v/>
      </c>
      <c r="G13" s="70" t="str">
        <f>IF(AND(G12&gt;G10,G12&gt;G8),"Maximin","")</f>
        <v/>
      </c>
      <c r="H13" s="70" t="str">
        <f>IF(AND(H12&gt;H8,H12&gt;H10),"Hurwicz","")</f>
        <v/>
      </c>
      <c r="I13" s="70" t="str">
        <f>IF(AND(I12&gt;I8,I12&gt;I10),"Laplace","")</f>
        <v/>
      </c>
      <c r="J13" s="86"/>
      <c r="M13" s="93"/>
      <c r="N13" s="56"/>
      <c r="O13" s="56"/>
      <c r="P13" s="57"/>
      <c r="Q13" s="85"/>
      <c r="R13" s="85"/>
      <c r="S13" s="85"/>
      <c r="T13" s="85"/>
      <c r="U13" s="86"/>
    </row>
    <row r="14" spans="2:21" ht="29.25" x14ac:dyDescent="0.95">
      <c r="B14" s="95"/>
      <c r="C14" s="41"/>
      <c r="D14" s="41"/>
      <c r="E14" s="54"/>
      <c r="F14" s="85"/>
      <c r="G14" s="85"/>
      <c r="H14" s="85"/>
      <c r="I14" s="85"/>
      <c r="J14" s="86"/>
      <c r="M14" s="92" t="s">
        <v>114</v>
      </c>
      <c r="N14" s="64">
        <f ca="1">RANDBETWEEN($N$5,$N$6)</f>
        <v>79</v>
      </c>
      <c r="O14" s="64">
        <f ca="1">RANDBETWEEN($N$5,$N$6)</f>
        <v>30</v>
      </c>
      <c r="P14" s="64">
        <f ca="1">RANDBETWEEN($N$5,$N$6)</f>
        <v>27</v>
      </c>
      <c r="Q14" s="85"/>
      <c r="R14" s="85"/>
      <c r="S14" s="85"/>
      <c r="T14" s="85"/>
      <c r="U14" s="86"/>
    </row>
    <row r="15" spans="2:21" x14ac:dyDescent="0.65">
      <c r="B15" s="96" t="s">
        <v>121</v>
      </c>
      <c r="C15" s="148"/>
      <c r="D15" s="148"/>
      <c r="E15" s="149"/>
      <c r="F15" s="85"/>
      <c r="G15" s="54"/>
      <c r="H15" s="54"/>
      <c r="I15" s="55"/>
      <c r="J15" s="97"/>
      <c r="K15" s="55"/>
      <c r="M15" s="94"/>
      <c r="N15" s="59"/>
      <c r="O15" s="59"/>
      <c r="P15" s="58"/>
      <c r="Q15" s="85"/>
      <c r="R15" s="85"/>
      <c r="S15" s="85"/>
      <c r="T15" s="85"/>
      <c r="U15" s="86"/>
    </row>
    <row r="16" spans="2:21" ht="29.25" x14ac:dyDescent="0.95">
      <c r="B16" s="88" t="s">
        <v>108</v>
      </c>
      <c r="C16" s="60" t="s">
        <v>109</v>
      </c>
      <c r="D16" s="60" t="s">
        <v>110</v>
      </c>
      <c r="E16" s="61" t="s">
        <v>111</v>
      </c>
      <c r="F16" s="61" t="s">
        <v>128</v>
      </c>
      <c r="G16" s="85"/>
      <c r="H16" s="85"/>
      <c r="I16" s="85"/>
      <c r="J16" s="86"/>
      <c r="M16" s="102"/>
      <c r="N16" s="85"/>
      <c r="O16" s="85"/>
      <c r="P16" s="85"/>
      <c r="Q16" s="85"/>
      <c r="R16" s="85"/>
      <c r="S16" s="85"/>
      <c r="T16" s="85"/>
      <c r="U16" s="86"/>
    </row>
    <row r="17" spans="2:21" x14ac:dyDescent="0.65">
      <c r="B17" s="89" t="s">
        <v>107</v>
      </c>
      <c r="C17" s="167"/>
      <c r="D17" s="167"/>
      <c r="E17" s="168"/>
      <c r="F17" s="62"/>
      <c r="G17" s="85"/>
      <c r="H17" s="85"/>
      <c r="I17" s="85"/>
      <c r="J17" s="86"/>
      <c r="M17" s="102" t="s">
        <v>127</v>
      </c>
      <c r="N17" s="85"/>
      <c r="O17" s="85"/>
      <c r="P17" s="85"/>
      <c r="Q17" s="85"/>
      <c r="R17" s="85"/>
      <c r="S17" s="85"/>
      <c r="T17" s="85"/>
      <c r="U17" s="86"/>
    </row>
    <row r="18" spans="2:21" ht="29.25" x14ac:dyDescent="0.95">
      <c r="B18" s="90" t="s">
        <v>112</v>
      </c>
      <c r="C18" s="64">
        <f>MAX(C$8,C$10,C$12)-C8</f>
        <v>0</v>
      </c>
      <c r="D18" s="64">
        <f>MAX(D$8,D$10,D$12)-D8</f>
        <v>0</v>
      </c>
      <c r="E18" s="64">
        <f>MAX(E$8,E$10,E$12)-E8</f>
        <v>0</v>
      </c>
      <c r="F18" s="71">
        <f>MAX(C18:E18)</f>
        <v>0</v>
      </c>
      <c r="G18" s="85"/>
      <c r="H18" s="85"/>
      <c r="I18" s="85"/>
      <c r="J18" s="86"/>
      <c r="M18" s="102"/>
      <c r="N18" s="85"/>
      <c r="O18" s="85"/>
      <c r="P18" s="85"/>
      <c r="Q18" s="85"/>
      <c r="R18" s="85"/>
      <c r="S18" s="85"/>
      <c r="T18" s="85"/>
      <c r="U18" s="86"/>
    </row>
    <row r="19" spans="2:21" ht="25.15" thickBot="1" x14ac:dyDescent="0.7">
      <c r="B19" s="91"/>
      <c r="C19" s="65"/>
      <c r="D19" s="65"/>
      <c r="E19" s="65"/>
      <c r="F19" s="68" t="str">
        <f>IF(AND(F18&lt;F20,F18&lt;F22),"SN","")</f>
        <v>SN</v>
      </c>
      <c r="G19" s="85"/>
      <c r="H19" s="85"/>
      <c r="I19" s="85"/>
      <c r="J19" s="86"/>
      <c r="M19" s="102"/>
      <c r="N19" s="85"/>
      <c r="O19" s="85"/>
      <c r="P19" s="85"/>
      <c r="Q19" s="85"/>
      <c r="R19" s="85"/>
      <c r="S19" s="85"/>
      <c r="T19" s="85"/>
      <c r="U19" s="86"/>
    </row>
    <row r="20" spans="2:21" ht="29.25" x14ac:dyDescent="0.95">
      <c r="B20" s="92" t="s">
        <v>113</v>
      </c>
      <c r="C20" s="64">
        <f>MAX(C$8,C$10,C$12)-C10</f>
        <v>2300</v>
      </c>
      <c r="D20" s="64">
        <f>MAX(D$8,D$10,D$12)-D10</f>
        <v>200</v>
      </c>
      <c r="E20" s="64">
        <f>MAX(E$8,E$10,E$12)-E10</f>
        <v>900</v>
      </c>
      <c r="F20" s="71">
        <f>MAX(C20:E20)</f>
        <v>2300</v>
      </c>
      <c r="G20" s="85"/>
      <c r="H20" s="85"/>
      <c r="I20" s="85"/>
      <c r="J20" s="86"/>
      <c r="M20" s="102"/>
      <c r="N20" s="85"/>
      <c r="O20" s="85"/>
      <c r="P20" s="85"/>
      <c r="Q20" s="85"/>
      <c r="R20" s="85"/>
      <c r="S20" s="85"/>
      <c r="T20" s="85"/>
      <c r="U20" s="86"/>
    </row>
    <row r="21" spans="2:21" ht="25.15" thickBot="1" x14ac:dyDescent="0.7">
      <c r="B21" s="91"/>
      <c r="C21" s="65"/>
      <c r="D21" s="65"/>
      <c r="E21" s="66"/>
      <c r="F21" s="69" t="str">
        <f>IF(AND(F20&lt;F18,F20&lt;F22),"SN","")</f>
        <v/>
      </c>
      <c r="G21" s="85"/>
      <c r="H21" s="85"/>
      <c r="I21" s="85"/>
      <c r="J21" s="86"/>
      <c r="M21" s="102"/>
      <c r="N21" s="85"/>
      <c r="O21" s="85"/>
      <c r="P21" s="85"/>
      <c r="Q21" s="85"/>
      <c r="R21" s="85"/>
      <c r="S21" s="85"/>
      <c r="T21" s="85"/>
      <c r="U21" s="86"/>
    </row>
    <row r="22" spans="2:21" ht="29.25" x14ac:dyDescent="0.95">
      <c r="B22" s="92" t="s">
        <v>114</v>
      </c>
      <c r="C22" s="64">
        <f>MAX(C$8,C$10,C$12)-C12</f>
        <v>2100</v>
      </c>
      <c r="D22" s="64">
        <f>MAX(D$8,D$10,D$12)-D12</f>
        <v>500</v>
      </c>
      <c r="E22" s="64">
        <f>MAX(E$8,E$10,E$12)-E12</f>
        <v>800</v>
      </c>
      <c r="F22" s="71">
        <f>MAX(C22:E22)</f>
        <v>2100</v>
      </c>
      <c r="G22" s="85"/>
      <c r="H22" s="85"/>
      <c r="I22" s="85"/>
      <c r="J22" s="86"/>
      <c r="M22" s="102"/>
      <c r="N22" s="85"/>
      <c r="O22" s="85"/>
      <c r="P22" s="85"/>
      <c r="Q22" s="85"/>
      <c r="R22" s="85"/>
      <c r="S22" s="85"/>
      <c r="T22" s="85"/>
      <c r="U22" s="86"/>
    </row>
    <row r="23" spans="2:21" ht="25.15" thickBot="1" x14ac:dyDescent="0.7">
      <c r="B23" s="91"/>
      <c r="C23" s="72"/>
      <c r="D23" s="72"/>
      <c r="E23" s="67"/>
      <c r="F23" s="70" t="str">
        <f>IF(AND(F22&lt;F18,F22&lt;F20),"SN","")</f>
        <v/>
      </c>
      <c r="G23" s="85"/>
      <c r="H23" s="85"/>
      <c r="I23" s="85"/>
      <c r="J23" s="86"/>
      <c r="M23" s="102"/>
      <c r="N23" s="85"/>
      <c r="O23" s="85"/>
      <c r="P23" s="85"/>
      <c r="Q23" s="85"/>
      <c r="R23" s="85"/>
      <c r="S23" s="85"/>
      <c r="T23" s="85"/>
      <c r="U23" s="86"/>
    </row>
    <row r="24" spans="2:21" ht="25.15" thickBot="1" x14ac:dyDescent="0.7">
      <c r="B24" s="98"/>
      <c r="C24" s="99"/>
      <c r="D24" s="99"/>
      <c r="E24" s="99"/>
      <c r="F24" s="99"/>
      <c r="G24" s="99"/>
      <c r="H24" s="99"/>
      <c r="I24" s="99"/>
      <c r="J24" s="100"/>
      <c r="M24" s="103"/>
      <c r="N24" s="99"/>
      <c r="O24" s="99"/>
      <c r="P24" s="99"/>
      <c r="Q24" s="99"/>
      <c r="R24" s="99"/>
      <c r="S24" s="99"/>
      <c r="T24" s="99"/>
      <c r="U24" s="100"/>
    </row>
    <row r="25" spans="2:21" x14ac:dyDescent="0.65">
      <c r="B25" s="101" t="s">
        <v>129</v>
      </c>
      <c r="C25" s="82"/>
      <c r="D25" s="82"/>
      <c r="E25" s="82"/>
      <c r="F25" s="82"/>
      <c r="G25" s="82"/>
      <c r="H25" s="82"/>
      <c r="I25" s="82"/>
      <c r="J25" s="83"/>
      <c r="M25" s="79"/>
    </row>
    <row r="26" spans="2:21" x14ac:dyDescent="0.65">
      <c r="B26" s="87" t="s">
        <v>131</v>
      </c>
      <c r="C26" s="180">
        <v>2</v>
      </c>
      <c r="D26" s="180"/>
      <c r="E26" s="85"/>
      <c r="F26" s="85"/>
      <c r="G26" s="85"/>
      <c r="H26" s="85"/>
      <c r="I26" s="85"/>
      <c r="J26" s="86"/>
      <c r="M26" s="79"/>
    </row>
    <row r="27" spans="2:21" x14ac:dyDescent="0.65">
      <c r="B27" s="87" t="s">
        <v>132</v>
      </c>
      <c r="C27" s="180">
        <v>2</v>
      </c>
      <c r="D27" s="180"/>
      <c r="E27" s="85"/>
      <c r="F27" s="85"/>
      <c r="G27" s="85"/>
      <c r="H27" s="85"/>
      <c r="I27" s="85"/>
      <c r="J27" s="86"/>
    </row>
    <row r="28" spans="2:21" x14ac:dyDescent="0.65">
      <c r="B28" s="87" t="s">
        <v>133</v>
      </c>
      <c r="C28" s="180" t="str">
        <f>CONCATENATE("RNF(eij)=Wurzel(",C27,"xeij)")</f>
        <v>RNF(eij)=Wurzel(2xeij)</v>
      </c>
      <c r="D28" s="180"/>
      <c r="E28" s="85"/>
      <c r="F28" s="85"/>
      <c r="G28" s="85"/>
      <c r="H28" s="85"/>
      <c r="I28" s="85"/>
      <c r="J28" s="86"/>
    </row>
    <row r="29" spans="2:21" x14ac:dyDescent="0.65">
      <c r="B29" s="135"/>
      <c r="C29" s="134"/>
      <c r="D29" s="134"/>
      <c r="E29" s="85"/>
      <c r="F29" s="85"/>
      <c r="G29" s="85"/>
      <c r="H29" s="85"/>
      <c r="I29" s="85"/>
      <c r="J29" s="86"/>
    </row>
    <row r="30" spans="2:21" x14ac:dyDescent="0.65">
      <c r="B30" s="149" t="s">
        <v>158</v>
      </c>
      <c r="C30" s="85"/>
      <c r="D30" s="85"/>
      <c r="E30" s="85"/>
      <c r="F30" s="85"/>
      <c r="G30" s="85"/>
      <c r="H30" s="85"/>
      <c r="I30" s="85"/>
      <c r="J30" s="86"/>
    </row>
    <row r="31" spans="2:21" ht="29.25" x14ac:dyDescent="0.95">
      <c r="B31" s="150" t="s">
        <v>108</v>
      </c>
      <c r="C31" s="151" t="s">
        <v>109</v>
      </c>
      <c r="D31" s="151" t="s">
        <v>110</v>
      </c>
      <c r="E31" s="152" t="s">
        <v>111</v>
      </c>
      <c r="F31" s="152" t="s">
        <v>100</v>
      </c>
      <c r="G31" s="152" t="s">
        <v>101</v>
      </c>
      <c r="H31" s="152" t="s">
        <v>102</v>
      </c>
      <c r="I31" s="152" t="s">
        <v>103</v>
      </c>
      <c r="J31" s="86"/>
    </row>
    <row r="32" spans="2:21" x14ac:dyDescent="0.65">
      <c r="B32" s="153" t="s">
        <v>107</v>
      </c>
      <c r="C32" s="164">
        <v>0.95</v>
      </c>
      <c r="D32" s="164">
        <v>0.05</v>
      </c>
      <c r="E32" s="164">
        <v>0</v>
      </c>
      <c r="F32" s="154"/>
      <c r="G32" s="154"/>
      <c r="H32" s="154" t="str">
        <f>CONCATENATE("Ф = μ - ",$C$26,"σ")</f>
        <v>Ф = μ - 2σ</v>
      </c>
      <c r="I32" s="154" t="str">
        <f>CONCATENATE("Ф = μ + ",$C$26,"σ")</f>
        <v>Ф = μ + 2σ</v>
      </c>
      <c r="J32" s="86"/>
    </row>
    <row r="33" spans="2:10" ht="29.25" x14ac:dyDescent="0.95">
      <c r="B33" s="90" t="s">
        <v>112</v>
      </c>
      <c r="C33" s="64">
        <v>6</v>
      </c>
      <c r="D33" s="64">
        <v>1</v>
      </c>
      <c r="E33" s="64"/>
      <c r="F33" s="156">
        <f>(C33*$C$32)+(D33*$D$32)+($E$32*E33)</f>
        <v>5.7499999999999991</v>
      </c>
      <c r="G33" s="156">
        <f>SQRT($C$32*POWER(C33-$F33,2)+$D$32*POWER(D33-$F33,2)+E32*POWER(E33-$F33,2))</f>
        <v>1.0897247358851685</v>
      </c>
      <c r="H33" s="156">
        <f>F33-($C$26*G33)</f>
        <v>3.5705505282296621</v>
      </c>
      <c r="I33" s="156">
        <f>F33+($C$26*G33)</f>
        <v>7.9294494717703365</v>
      </c>
      <c r="J33" s="86"/>
    </row>
    <row r="34" spans="2:10" ht="25.15" thickBot="1" x14ac:dyDescent="0.7">
      <c r="B34" s="91"/>
      <c r="C34" s="56"/>
      <c r="D34" s="56"/>
      <c r="E34" s="56"/>
      <c r="F34" s="157" t="str">
        <f>IF(AND(F33&gt;F35,F33&gt;F37),"Maximum","")</f>
        <v>Maximum</v>
      </c>
      <c r="G34" s="157"/>
      <c r="H34" s="157" t="str">
        <f>IF(AND(H33&gt;H35,H33&gt;H37),"Maximum","")</f>
        <v>Maximum</v>
      </c>
      <c r="I34" s="157" t="str">
        <f>IF(AND(I33&gt;I35,I33&gt;I37),"Maximum","")</f>
        <v>Maximum</v>
      </c>
      <c r="J34" s="86"/>
    </row>
    <row r="35" spans="2:10" ht="29.25" x14ac:dyDescent="0.95">
      <c r="B35" s="92" t="s">
        <v>113</v>
      </c>
      <c r="C35" s="64">
        <v>2</v>
      </c>
      <c r="D35" s="64">
        <v>4</v>
      </c>
      <c r="E35" s="64"/>
      <c r="F35" s="156">
        <f>(C35*$C$32)+(D35*$D$32)+($E$32*E35)</f>
        <v>2.1</v>
      </c>
      <c r="G35" s="156">
        <f>SQRT($C$32*POWER(C35-$F35,2)+$D$32*POWER(D35-$F35,2)+$E$32*POWER(E35-$F35,2))</f>
        <v>0.43588989435406733</v>
      </c>
      <c r="H35" s="156">
        <f>F35-($C$26*G35)</f>
        <v>1.2282202112918654</v>
      </c>
      <c r="I35" s="156">
        <f>F35+($C$26*G35)</f>
        <v>2.971779788708135</v>
      </c>
      <c r="J35" s="86"/>
    </row>
    <row r="36" spans="2:10" ht="25.15" thickBot="1" x14ac:dyDescent="0.7">
      <c r="B36" s="91"/>
      <c r="C36" s="56"/>
      <c r="D36" s="56"/>
      <c r="E36" s="57"/>
      <c r="F36" s="158" t="str">
        <f>IF(AND(F35&gt;F33,F35&gt;F37),"Maximum","")</f>
        <v/>
      </c>
      <c r="G36" s="158"/>
      <c r="H36" s="158" t="str">
        <f>IF(AND(H35&gt;H33,H35&gt;H37),"Maximum","")</f>
        <v/>
      </c>
      <c r="I36" s="158" t="str">
        <f>IF(AND(I35&gt;I33,I35&gt;I37),"Maximum","")</f>
        <v/>
      </c>
      <c r="J36" s="86"/>
    </row>
    <row r="37" spans="2:10" ht="29.25" x14ac:dyDescent="0.95">
      <c r="B37" s="92" t="s">
        <v>114</v>
      </c>
      <c r="C37" s="64"/>
      <c r="D37" s="64"/>
      <c r="E37" s="64"/>
      <c r="F37" s="156">
        <f>(C37*$C$32)+(D37*$D$32)+($E$32*E37)</f>
        <v>0</v>
      </c>
      <c r="G37" s="156">
        <f>SQRT($C$32*POWER(C37-$F37,2)+$D$32*POWER(D37-$F37,2)+$E$32*POWER(E37-$F37,2))</f>
        <v>0</v>
      </c>
      <c r="H37" s="156">
        <f>F37-($C$26*G37)</f>
        <v>0</v>
      </c>
      <c r="I37" s="156">
        <f>F37+($C$26*G37)</f>
        <v>0</v>
      </c>
      <c r="J37" s="86"/>
    </row>
    <row r="38" spans="2:10" ht="25.15" thickBot="1" x14ac:dyDescent="0.7">
      <c r="B38" s="91"/>
      <c r="C38" s="59"/>
      <c r="D38" s="59"/>
      <c r="E38" s="58"/>
      <c r="F38" s="158" t="str">
        <f>IF(AND(F37&gt;F33,F37&gt;F35),"Maximum","")</f>
        <v/>
      </c>
      <c r="G38" s="158"/>
      <c r="H38" s="158" t="str">
        <f>IF(AND(H37&gt;H33,H37&gt;H35),"Maximum","")</f>
        <v/>
      </c>
      <c r="I38" s="158" t="str">
        <f>IF(AND(I37&gt;I33,I37&gt;I35),"Maximum","")</f>
        <v/>
      </c>
      <c r="J38" s="86"/>
    </row>
    <row r="39" spans="2:10" x14ac:dyDescent="0.65">
      <c r="B39" s="85"/>
      <c r="C39" s="85"/>
      <c r="D39" s="85"/>
      <c r="E39" s="85"/>
      <c r="F39" s="85"/>
      <c r="G39" s="85"/>
      <c r="H39" s="85"/>
      <c r="I39" s="85"/>
      <c r="J39" s="86"/>
    </row>
    <row r="40" spans="2:10" x14ac:dyDescent="0.65">
      <c r="B40" s="149" t="s">
        <v>134</v>
      </c>
      <c r="C40" s="75"/>
      <c r="D40" s="75"/>
      <c r="E40" s="76"/>
      <c r="F40" s="85"/>
      <c r="G40" s="85"/>
      <c r="H40" s="85"/>
      <c r="I40" s="85"/>
      <c r="J40" s="86"/>
    </row>
    <row r="41" spans="2:10" ht="29.25" x14ac:dyDescent="0.95">
      <c r="B41" s="150" t="s">
        <v>108</v>
      </c>
      <c r="C41" s="151" t="s">
        <v>109</v>
      </c>
      <c r="D41" s="151" t="s">
        <v>110</v>
      </c>
      <c r="E41" s="152" t="s">
        <v>111</v>
      </c>
      <c r="F41" s="152" t="s">
        <v>160</v>
      </c>
      <c r="G41" s="85"/>
      <c r="H41" s="85"/>
      <c r="I41" s="85"/>
      <c r="J41" s="86"/>
    </row>
    <row r="42" spans="2:10" x14ac:dyDescent="0.65">
      <c r="B42" s="153" t="s">
        <v>107</v>
      </c>
      <c r="C42" s="165">
        <f>C32</f>
        <v>0.95</v>
      </c>
      <c r="D42" s="165">
        <f t="shared" ref="D42:E42" si="0">D32</f>
        <v>0.05</v>
      </c>
      <c r="E42" s="165">
        <f t="shared" si="0"/>
        <v>0</v>
      </c>
      <c r="F42" s="154"/>
      <c r="G42" s="85"/>
      <c r="H42" s="85"/>
      <c r="I42" s="85"/>
      <c r="J42" s="86"/>
    </row>
    <row r="43" spans="2:10" ht="29.25" x14ac:dyDescent="0.95">
      <c r="B43" s="90" t="s">
        <v>112</v>
      </c>
      <c r="C43" s="159">
        <f>SQRT($C$27*C33)</f>
        <v>3.4641016151377544</v>
      </c>
      <c r="D43" s="159">
        <f>SQRT($C$27*D33)</f>
        <v>1.4142135623730951</v>
      </c>
      <c r="E43" s="159">
        <f>SQRT($C$27*E33)</f>
        <v>0</v>
      </c>
      <c r="F43" s="156">
        <f>(C43*$C$42)+(D43*$D$42)+($E$42*E43)</f>
        <v>3.3616072124995213</v>
      </c>
      <c r="G43" s="85"/>
      <c r="H43" s="85"/>
      <c r="I43" s="85"/>
      <c r="J43" s="86"/>
    </row>
    <row r="44" spans="2:10" ht="25.15" thickBot="1" x14ac:dyDescent="0.7">
      <c r="B44" s="91"/>
      <c r="C44" s="160"/>
      <c r="D44" s="160"/>
      <c r="E44" s="160"/>
      <c r="F44" s="161" t="str">
        <f>IF(AND(F43&gt;F45,F43&gt;F47),"Maximum","")</f>
        <v>Maximum</v>
      </c>
      <c r="G44" s="85"/>
      <c r="H44" s="85"/>
      <c r="I44" s="85"/>
      <c r="J44" s="86"/>
    </row>
    <row r="45" spans="2:10" ht="29.25" x14ac:dyDescent="0.95">
      <c r="B45" s="92" t="s">
        <v>113</v>
      </c>
      <c r="C45" s="159">
        <f>SQRT($C$27*C35)</f>
        <v>2</v>
      </c>
      <c r="D45" s="159">
        <f>SQRT($C$27*D35)</f>
        <v>2.8284271247461903</v>
      </c>
      <c r="E45" s="159">
        <f>SQRT($C$27*E35)</f>
        <v>0</v>
      </c>
      <c r="F45" s="156">
        <f>(C45*$C$42)+(D45*$D$42)+($E$42*E45)</f>
        <v>2.0414213562373096</v>
      </c>
      <c r="G45" s="85"/>
      <c r="H45" s="85"/>
      <c r="I45" s="85"/>
      <c r="J45" s="86"/>
    </row>
    <row r="46" spans="2:10" ht="25.15" thickBot="1" x14ac:dyDescent="0.7">
      <c r="B46" s="91"/>
      <c r="C46" s="160"/>
      <c r="D46" s="160"/>
      <c r="E46" s="162"/>
      <c r="F46" s="163" t="str">
        <f>IF(AND(F45&gt;F43,F45&gt;F47),"Maximum","")</f>
        <v/>
      </c>
      <c r="G46" s="85"/>
      <c r="H46" s="85"/>
      <c r="I46" s="85"/>
      <c r="J46" s="86"/>
    </row>
    <row r="47" spans="2:10" ht="29.25" x14ac:dyDescent="0.95">
      <c r="B47" s="92" t="s">
        <v>114</v>
      </c>
      <c r="C47" s="159">
        <f>SQRT($C$27*C37)</f>
        <v>0</v>
      </c>
      <c r="D47" s="159">
        <f>SQRT($C$27*D37)</f>
        <v>0</v>
      </c>
      <c r="E47" s="159">
        <f>SQRT($C$27*E37)</f>
        <v>0</v>
      </c>
      <c r="F47" s="156">
        <f>(C47*$C$42)+(D47*$D$42)+($E$42*E47)</f>
        <v>0</v>
      </c>
      <c r="G47" s="85"/>
      <c r="H47" s="85"/>
      <c r="I47" s="85"/>
      <c r="J47" s="86"/>
    </row>
    <row r="48" spans="2:10" ht="25.15" thickBot="1" x14ac:dyDescent="0.7">
      <c r="B48" s="91"/>
      <c r="C48" s="160"/>
      <c r="D48" s="160"/>
      <c r="E48" s="162"/>
      <c r="F48" s="163" t="str">
        <f>IF(AND(F47&gt;F43,F47&gt;F45),"Maximum","")</f>
        <v/>
      </c>
      <c r="G48" s="85"/>
      <c r="H48" s="85"/>
      <c r="I48" s="85"/>
      <c r="J48" s="86"/>
    </row>
    <row r="49" spans="2:10" x14ac:dyDescent="0.65">
      <c r="B49" s="85"/>
      <c r="C49" s="85"/>
      <c r="D49" s="85"/>
      <c r="E49" s="85"/>
      <c r="F49" s="85"/>
      <c r="G49" s="85"/>
      <c r="H49" s="85"/>
      <c r="I49" s="85"/>
      <c r="J49" s="86"/>
    </row>
    <row r="50" spans="2:10" x14ac:dyDescent="0.65">
      <c r="B50" s="155" t="s">
        <v>105</v>
      </c>
      <c r="C50" s="179" t="str">
        <f>IF(F33=MAX(F33,F35,F37),CONCATENATE("A1 mit ",F33),IF(F35=MAX(F33,F35,F37),CONCATENATE("A2 mit ",F35),CONCATENATE("A3 mit ",F37)))</f>
        <v>A1 mit 5,75</v>
      </c>
      <c r="D50" s="179"/>
      <c r="E50" s="85"/>
      <c r="F50" s="85"/>
      <c r="G50" s="85"/>
      <c r="H50" s="85"/>
      <c r="I50" s="85"/>
      <c r="J50" s="86"/>
    </row>
    <row r="51" spans="2:10" x14ac:dyDescent="0.65">
      <c r="B51" s="155" t="s">
        <v>163</v>
      </c>
      <c r="C51" s="179">
        <f>MAX(H33,H35,H37)</f>
        <v>3.5705505282296621</v>
      </c>
      <c r="D51" s="179"/>
      <c r="E51" s="85"/>
      <c r="F51" s="85"/>
      <c r="G51" s="85"/>
      <c r="H51" s="85"/>
      <c r="I51" s="85"/>
      <c r="J51" s="86"/>
    </row>
    <row r="52" spans="2:10" x14ac:dyDescent="0.65">
      <c r="B52" s="155" t="s">
        <v>164</v>
      </c>
      <c r="C52" s="179">
        <f>MAX(I33,I35,I37)</f>
        <v>7.9294494717703365</v>
      </c>
      <c r="D52" s="179"/>
      <c r="E52" s="85"/>
      <c r="F52" s="85"/>
      <c r="G52" s="85"/>
      <c r="H52" s="85"/>
      <c r="I52" s="85"/>
      <c r="J52" s="86"/>
    </row>
    <row r="53" spans="2:10" x14ac:dyDescent="0.65">
      <c r="B53" s="85"/>
      <c r="C53" s="85"/>
      <c r="D53" s="85"/>
      <c r="E53" s="85"/>
      <c r="F53" s="85"/>
      <c r="G53" s="85"/>
      <c r="H53" s="85"/>
      <c r="I53" s="85"/>
      <c r="J53" s="86"/>
    </row>
    <row r="54" spans="2:10" x14ac:dyDescent="0.65">
      <c r="B54" s="155" t="s">
        <v>104</v>
      </c>
      <c r="C54" s="179">
        <f>MAX(F43,F45,F47)</f>
        <v>3.3616072124995213</v>
      </c>
      <c r="D54" s="179"/>
      <c r="E54" s="85"/>
      <c r="F54" s="85"/>
      <c r="G54" s="85"/>
      <c r="H54" s="85"/>
      <c r="I54" s="85"/>
      <c r="J54" s="86"/>
    </row>
    <row r="55" spans="2:10" x14ac:dyDescent="0.65">
      <c r="B55" s="155" t="s">
        <v>165</v>
      </c>
      <c r="C55" s="179" t="str">
        <f>IF(F43=C54,"A1",IF(F45=C54,"A2","A3"))</f>
        <v>A1</v>
      </c>
      <c r="D55" s="179"/>
      <c r="E55" s="85"/>
      <c r="F55" s="85"/>
      <c r="G55" s="85"/>
      <c r="H55" s="85"/>
      <c r="I55" s="85"/>
      <c r="J55" s="86"/>
    </row>
    <row r="56" spans="2:10" x14ac:dyDescent="0.65">
      <c r="B56" s="155" t="s">
        <v>135</v>
      </c>
      <c r="C56" s="179">
        <f>(POWER(C54,2))/C27</f>
        <v>5.6502015255644009</v>
      </c>
      <c r="D56" s="179"/>
      <c r="E56" s="85"/>
      <c r="F56" s="85"/>
      <c r="G56" s="85"/>
      <c r="H56" s="85"/>
      <c r="I56" s="85"/>
      <c r="J56" s="86"/>
    </row>
    <row r="57" spans="2:10" x14ac:dyDescent="0.65">
      <c r="B57" s="155" t="str">
        <f>CONCATENATE("Erwartungswert aus ",C55,":")</f>
        <v>Erwartungswert aus A1:</v>
      </c>
      <c r="C57" s="179">
        <f>IF(F43=C54,F33,IF(F45=C54,F35,F37))</f>
        <v>5.7499999999999991</v>
      </c>
      <c r="D57" s="179"/>
      <c r="E57" s="178" t="s">
        <v>166</v>
      </c>
      <c r="F57" s="178"/>
      <c r="G57" s="178"/>
      <c r="H57" s="178"/>
      <c r="I57" s="178"/>
      <c r="J57" s="86"/>
    </row>
    <row r="58" spans="2:10" x14ac:dyDescent="0.65">
      <c r="B58" s="155" t="s">
        <v>106</v>
      </c>
      <c r="C58" s="179">
        <f>C57-C56</f>
        <v>9.9798474435598195E-2</v>
      </c>
      <c r="D58" s="179"/>
      <c r="E58" s="178"/>
      <c r="F58" s="178"/>
      <c r="G58" s="178"/>
      <c r="H58" s="178"/>
      <c r="I58" s="178"/>
      <c r="J58" s="86"/>
    </row>
    <row r="59" spans="2:10" ht="25.15" thickBot="1" x14ac:dyDescent="0.7">
      <c r="B59" s="98"/>
      <c r="C59" s="99"/>
      <c r="D59" s="99"/>
      <c r="E59" s="99"/>
      <c r="F59" s="99"/>
      <c r="G59" s="99"/>
      <c r="H59" s="99"/>
      <c r="I59" s="99"/>
      <c r="J59" s="100"/>
    </row>
  </sheetData>
  <mergeCells count="12">
    <mergeCell ref="C52:D52"/>
    <mergeCell ref="C55:D55"/>
    <mergeCell ref="C26:D26"/>
    <mergeCell ref="C27:D27"/>
    <mergeCell ref="C28:D28"/>
    <mergeCell ref="C50:D50"/>
    <mergeCell ref="C51:D51"/>
    <mergeCell ref="E57:I58"/>
    <mergeCell ref="C58:D58"/>
    <mergeCell ref="C57:D57"/>
    <mergeCell ref="C54:D54"/>
    <mergeCell ref="C56:D56"/>
  </mergeCells>
  <pageMargins left="0.7" right="0.7" top="0.78740157499999996" bottom="0.78740157499999996" header="0.3" footer="0.3"/>
  <pageSetup paperSize="9" orientation="portrait" r:id="rId1"/>
  <ignoredErrors>
    <ignoredError sqref="H36:I36 F9:I9 F11:I11 F19 F21 F34 F36 H34:I34 F44 F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60"/>
  <sheetViews>
    <sheetView topLeftCell="A21" zoomScale="66" zoomScaleNormal="40" workbookViewId="0">
      <selection activeCell="J24" sqref="J24"/>
    </sheetView>
  </sheetViews>
  <sheetFormatPr baseColWidth="10" defaultColWidth="10.77734375" defaultRowHeight="25.5" x14ac:dyDescent="0.75"/>
  <cols>
    <col min="1" max="1" width="10.77734375" style="16"/>
    <col min="2" max="2" width="1.703125" style="16" customWidth="1"/>
    <col min="3" max="3" width="8.21875" style="16" customWidth="1"/>
    <col min="4" max="4" width="7.40625" style="16" customWidth="1"/>
    <col min="5" max="5" width="10.8125" style="16" customWidth="1"/>
    <col min="6" max="6" width="7.92578125" style="16" customWidth="1"/>
    <col min="7" max="7" width="2" style="16" customWidth="1"/>
    <col min="8" max="8" width="10.77734375" style="16"/>
    <col min="9" max="9" width="11.92578125" style="16" customWidth="1"/>
    <col min="10" max="10" width="10.77734375" style="16"/>
    <col min="11" max="11" width="9.0703125" style="16" customWidth="1"/>
    <col min="12" max="12" width="9.62890625" style="16" customWidth="1"/>
    <col min="13" max="13" width="11.21875" style="16" customWidth="1"/>
    <col min="14" max="14" width="2.77734375" style="16" customWidth="1"/>
    <col min="15" max="16384" width="10.77734375" style="16"/>
  </cols>
  <sheetData>
    <row r="1" spans="1:6" ht="28.9" hidden="1" thickBot="1" x14ac:dyDescent="0.9">
      <c r="A1" s="23" t="s">
        <v>68</v>
      </c>
    </row>
    <row r="2" spans="1:6" ht="29.25" hidden="1" x14ac:dyDescent="1">
      <c r="A2" s="185" t="s">
        <v>0</v>
      </c>
      <c r="B2" s="186"/>
      <c r="C2" s="187" t="s">
        <v>3</v>
      </c>
      <c r="D2" s="188"/>
      <c r="E2" s="189" t="s">
        <v>2</v>
      </c>
      <c r="F2" s="190"/>
    </row>
    <row r="3" spans="1:6" ht="25.9" hidden="1" thickBot="1" x14ac:dyDescent="0.8">
      <c r="A3" s="191" t="s">
        <v>1</v>
      </c>
      <c r="B3" s="192"/>
      <c r="C3" s="193"/>
      <c r="D3" s="194"/>
      <c r="E3" s="193"/>
      <c r="F3" s="194"/>
    </row>
    <row r="4" spans="1:6" ht="29.25" hidden="1" x14ac:dyDescent="1">
      <c r="A4" s="195" t="s">
        <v>4</v>
      </c>
      <c r="B4" s="196"/>
      <c r="C4" s="6">
        <f>Nebenrechnung2!C4</f>
        <v>0</v>
      </c>
      <c r="D4" s="1"/>
      <c r="E4" s="11">
        <f>Nebenrechnung2!E4</f>
        <v>2</v>
      </c>
      <c r="F4" s="1"/>
    </row>
    <row r="5" spans="1:6" ht="25.9" hidden="1" thickBot="1" x14ac:dyDescent="0.8">
      <c r="A5" s="197"/>
      <c r="B5" s="198"/>
      <c r="C5" s="7"/>
      <c r="D5" s="2">
        <f>Nebenrechnung2!D5</f>
        <v>0</v>
      </c>
      <c r="E5" s="12"/>
      <c r="F5" s="2">
        <f>Nebenrechnung2!F5</f>
        <v>2</v>
      </c>
    </row>
    <row r="6" spans="1:6" ht="29.25" hidden="1" x14ac:dyDescent="1">
      <c r="A6" s="195" t="s">
        <v>5</v>
      </c>
      <c r="B6" s="196"/>
      <c r="C6" s="8">
        <f>Nebenrechnung2!C6</f>
        <v>1</v>
      </c>
      <c r="D6" s="3"/>
      <c r="E6" s="13">
        <f>Nebenrechnung2!E6</f>
        <v>0</v>
      </c>
      <c r="F6" s="3"/>
    </row>
    <row r="7" spans="1:6" ht="25.9" hidden="1" thickBot="1" x14ac:dyDescent="0.8">
      <c r="A7" s="191"/>
      <c r="B7" s="192"/>
      <c r="C7" s="10"/>
      <c r="D7" s="5">
        <f>Nebenrechnung2!D7</f>
        <v>1</v>
      </c>
      <c r="E7" s="15"/>
      <c r="F7" s="5">
        <f>Nebenrechnung2!F7</f>
        <v>0</v>
      </c>
    </row>
    <row r="8" spans="1:6" ht="398.25" hidden="1" customHeight="1" thickBot="1" x14ac:dyDescent="0.9">
      <c r="A8" s="23" t="s">
        <v>9</v>
      </c>
    </row>
    <row r="9" spans="1:6" ht="25.9" hidden="1" thickBot="1" x14ac:dyDescent="0.8">
      <c r="A9" s="199" t="s">
        <v>44</v>
      </c>
      <c r="B9" s="200"/>
      <c r="C9" s="200"/>
      <c r="D9" s="200"/>
      <c r="E9" s="200"/>
      <c r="F9" s="201"/>
    </row>
    <row r="10" spans="1:6" hidden="1" x14ac:dyDescent="0.75">
      <c r="A10" s="181" t="s">
        <v>10</v>
      </c>
      <c r="B10" s="182"/>
      <c r="C10" s="183" t="str">
        <f>CONCATENATE(IF(Nebenrechnung!D4="Nash GG","{A1B1} ",""),IF(Nebenrechnung!D5="Nash GG","{A1B2} ",""),IF(Nebenrechnung!D6="Nash GG","{A2B1}",""),IF(Nebenrechnung!D7="Nash GG","{A2B2}",""))</f>
        <v>{A1B2} {A2B1}</v>
      </c>
      <c r="D10" s="183"/>
      <c r="E10" s="183"/>
      <c r="F10" s="184"/>
    </row>
    <row r="11" spans="1:6" hidden="1" x14ac:dyDescent="0.75">
      <c r="A11" s="213" t="s">
        <v>11</v>
      </c>
      <c r="B11" s="214"/>
      <c r="C11" s="215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A1B2  </v>
      </c>
      <c r="D11" s="215"/>
      <c r="E11" s="215"/>
      <c r="F11" s="216"/>
    </row>
    <row r="12" spans="1:6" hidden="1" x14ac:dyDescent="0.75">
      <c r="A12" s="213" t="s">
        <v>12</v>
      </c>
      <c r="B12" s="214"/>
      <c r="C12" s="215" t="str">
        <f>IF(Nebenrechnung!B30&lt;&gt;"",Nebenrechnung!B30,Nebenrechnung!B29)</f>
        <v>Spiegelsymmetrie</v>
      </c>
      <c r="D12" s="215"/>
      <c r="E12" s="215"/>
      <c r="F12" s="216"/>
    </row>
    <row r="13" spans="1:6" hidden="1" x14ac:dyDescent="0.75">
      <c r="A13" s="213" t="s">
        <v>13</v>
      </c>
      <c r="B13" s="214"/>
      <c r="C13" s="215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215"/>
      <c r="E13" s="215"/>
      <c r="F13" s="216"/>
    </row>
    <row r="14" spans="1:6" ht="25.9" hidden="1" thickBot="1" x14ac:dyDescent="0.8">
      <c r="A14" s="217" t="s">
        <v>14</v>
      </c>
      <c r="B14" s="218"/>
      <c r="C14" s="219" t="str">
        <f>CONCATENATE("{",IFERROR(ROUND(Nebenrechnung!B22,3),""),";",IFERROR(ROUND(Nebenrechnung!B23,3),""),"}")</f>
        <v>{0,667;0,667}</v>
      </c>
      <c r="D14" s="219"/>
      <c r="E14" s="219"/>
      <c r="F14" s="220"/>
    </row>
    <row r="15" spans="1:6" hidden="1" x14ac:dyDescent="0.75">
      <c r="A15" s="221" t="s">
        <v>45</v>
      </c>
      <c r="B15" s="222"/>
      <c r="C15" s="222"/>
      <c r="D15" s="222"/>
      <c r="E15" s="222"/>
      <c r="F15" s="223"/>
    </row>
    <row r="16" spans="1:6" hidden="1" x14ac:dyDescent="0.75">
      <c r="A16" s="202" t="s">
        <v>15</v>
      </c>
      <c r="B16" s="203"/>
      <c r="C16" s="204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04"/>
      <c r="E16" s="204"/>
      <c r="F16" s="205"/>
    </row>
    <row r="17" spans="1:13" hidden="1" x14ac:dyDescent="0.75">
      <c r="A17" s="224" t="s">
        <v>17</v>
      </c>
      <c r="B17" s="225"/>
      <c r="C17" s="210" t="str">
        <f>IF(C16="schwaches Kooperationsproblem","Finde eine korrelierende Strategie, Absprachen",IF(C16="starkes Kooperationsproblem","Absprachen"," - "))</f>
        <v xml:space="preserve"> - </v>
      </c>
      <c r="D17" s="211"/>
      <c r="E17" s="211"/>
      <c r="F17" s="212"/>
    </row>
    <row r="18" spans="1:13" hidden="1" x14ac:dyDescent="0.75">
      <c r="A18" s="202" t="s">
        <v>16</v>
      </c>
      <c r="B18" s="203"/>
      <c r="C18" s="204" t="str">
        <f>CONCATENATE(Nebenrechnung!R4,Nebenrechnung!R5)</f>
        <v>Koordinationsproblem Fall 2</v>
      </c>
      <c r="D18" s="204"/>
      <c r="E18" s="204"/>
      <c r="F18" s="205"/>
    </row>
    <row r="19" spans="1:13" ht="25.9" hidden="1" thickBot="1" x14ac:dyDescent="0.8">
      <c r="A19" s="206" t="s">
        <v>18</v>
      </c>
      <c r="B19" s="207"/>
      <c r="C19" s="208" t="str">
        <f>IF(Nebenrechnung!P2="OK","Kommunikation erforderlich",IF(Nebenrechnung!P2="MK","Verhandlung erforderlich"," - "))</f>
        <v xml:space="preserve"> - </v>
      </c>
      <c r="D19" s="208"/>
      <c r="E19" s="208"/>
      <c r="F19" s="209"/>
    </row>
    <row r="20" spans="1:13" ht="25.9" hidden="1" thickBot="1" x14ac:dyDescent="0.8">
      <c r="A20" s="291" t="s">
        <v>8</v>
      </c>
      <c r="B20" s="292"/>
      <c r="C20" s="288"/>
      <c r="D20" s="289"/>
      <c r="E20" s="289"/>
      <c r="F20" s="290"/>
    </row>
    <row r="21" spans="1:13" ht="25.9" thickBot="1" x14ac:dyDescent="0.8">
      <c r="A21" s="26"/>
      <c r="B21" s="26"/>
      <c r="C21" s="27"/>
      <c r="D21" s="27"/>
      <c r="E21" s="27"/>
      <c r="F21" s="27"/>
    </row>
    <row r="22" spans="1:13" ht="29.25" x14ac:dyDescent="0.95">
      <c r="A22" s="237" t="s">
        <v>0</v>
      </c>
      <c r="B22" s="238"/>
      <c r="C22" s="239" t="s">
        <v>136</v>
      </c>
      <c r="D22" s="240"/>
      <c r="E22" s="241" t="s">
        <v>137</v>
      </c>
      <c r="F22" s="242"/>
      <c r="H22" s="282" t="s">
        <v>177</v>
      </c>
      <c r="I22" s="283"/>
      <c r="J22" s="284" t="s">
        <v>136</v>
      </c>
      <c r="K22" s="285"/>
      <c r="L22" s="286" t="s">
        <v>137</v>
      </c>
      <c r="M22" s="287"/>
    </row>
    <row r="23" spans="1:13" ht="29.65" thickBot="1" x14ac:dyDescent="1">
      <c r="A23" s="243" t="s">
        <v>1</v>
      </c>
      <c r="B23" s="244"/>
      <c r="C23" s="255"/>
      <c r="D23" s="256"/>
      <c r="E23" s="255"/>
      <c r="F23" s="257"/>
      <c r="H23" s="169" t="s">
        <v>112</v>
      </c>
      <c r="I23" s="170"/>
      <c r="J23" s="172">
        <v>0</v>
      </c>
      <c r="K23" s="172">
        <v>0</v>
      </c>
      <c r="L23" s="172">
        <v>2</v>
      </c>
      <c r="M23" s="173">
        <v>2</v>
      </c>
    </row>
    <row r="24" spans="1:13" ht="29.65" thickBot="1" x14ac:dyDescent="1">
      <c r="A24" s="245" t="s">
        <v>112</v>
      </c>
      <c r="B24" s="246"/>
      <c r="C24" s="41">
        <f>Nebenrechnung2!C4</f>
        <v>0</v>
      </c>
      <c r="D24" s="42"/>
      <c r="E24" s="43">
        <f>Nebenrechnung2!E4</f>
        <v>2</v>
      </c>
      <c r="F24" s="136"/>
      <c r="H24" s="280" t="s">
        <v>113</v>
      </c>
      <c r="I24" s="281"/>
      <c r="J24" s="174">
        <v>1</v>
      </c>
      <c r="K24" s="174">
        <v>1</v>
      </c>
      <c r="L24" s="174">
        <v>0</v>
      </c>
      <c r="M24" s="175">
        <v>0</v>
      </c>
    </row>
    <row r="25" spans="1:13" ht="25.9" thickBot="1" x14ac:dyDescent="0.8">
      <c r="A25" s="247"/>
      <c r="B25" s="248"/>
      <c r="C25" s="44"/>
      <c r="D25" s="45">
        <f>Nebenrechnung2!D5</f>
        <v>0</v>
      </c>
      <c r="E25" s="46"/>
      <c r="F25" s="137">
        <f>Nebenrechnung2!F5</f>
        <v>2</v>
      </c>
    </row>
    <row r="26" spans="1:13" ht="29.25" x14ac:dyDescent="0.95">
      <c r="A26" s="245" t="s">
        <v>113</v>
      </c>
      <c r="B26" s="246"/>
      <c r="C26" s="50">
        <f>Nebenrechnung2!C6</f>
        <v>1</v>
      </c>
      <c r="D26" s="51"/>
      <c r="E26" s="52">
        <f>Nebenrechnung2!E6</f>
        <v>0</v>
      </c>
      <c r="F26" s="139"/>
    </row>
    <row r="27" spans="1:13" ht="25.9" thickBot="1" x14ac:dyDescent="0.8">
      <c r="A27" s="293"/>
      <c r="B27" s="294"/>
      <c r="C27" s="144"/>
      <c r="D27" s="145">
        <f>Nebenrechnung2!D7</f>
        <v>1</v>
      </c>
      <c r="E27" s="146"/>
      <c r="F27" s="147">
        <f>Nebenrechnung2!F7</f>
        <v>0</v>
      </c>
    </row>
    <row r="28" spans="1:13" ht="28.15" thickBot="1" x14ac:dyDescent="0.8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29.65" thickBot="1" x14ac:dyDescent="1">
      <c r="A29" s="237" t="s">
        <v>0</v>
      </c>
      <c r="B29" s="238"/>
      <c r="C29" s="239" t="s">
        <v>136</v>
      </c>
      <c r="D29" s="240"/>
      <c r="E29" s="241" t="s">
        <v>137</v>
      </c>
      <c r="F29" s="242"/>
      <c r="G29" s="40"/>
      <c r="H29" s="226" t="s">
        <v>71</v>
      </c>
      <c r="I29" s="227"/>
      <c r="J29" s="227"/>
      <c r="K29" s="227"/>
      <c r="L29" s="227"/>
      <c r="M29" s="228"/>
    </row>
    <row r="30" spans="1:13" ht="25.9" thickBot="1" x14ac:dyDescent="0.8">
      <c r="A30" s="243" t="s">
        <v>1</v>
      </c>
      <c r="B30" s="244"/>
      <c r="C30" s="171" t="str">
        <f>Nebenrechnung2!C24</f>
        <v>b = 0,67</v>
      </c>
      <c r="D30" s="176" t="str">
        <f>Nebenrechnung2!D24</f>
        <v/>
      </c>
      <c r="E30" s="171" t="str">
        <f>Nebenrechnung2!E24</f>
        <v>(1-b) = 0,33</v>
      </c>
      <c r="F30" s="177" t="str">
        <f>Nebenrechnung2!F24</f>
        <v/>
      </c>
      <c r="G30" s="40"/>
      <c r="H30" s="229" t="s">
        <v>10</v>
      </c>
      <c r="I30" s="230"/>
      <c r="J30" s="231" t="str">
        <f>C10</f>
        <v>{A1B2} {A2B1}</v>
      </c>
      <c r="K30" s="232"/>
      <c r="L30" s="232"/>
      <c r="M30" s="233"/>
    </row>
    <row r="31" spans="1:13" ht="29.65" thickBot="1" x14ac:dyDescent="1">
      <c r="A31" s="245" t="s">
        <v>112</v>
      </c>
      <c r="B31" s="246"/>
      <c r="C31" s="41">
        <f>Nebenrechnung2!C25</f>
        <v>0</v>
      </c>
      <c r="D31" s="42"/>
      <c r="E31" s="43">
        <f>Nebenrechnung2!E25</f>
        <v>2</v>
      </c>
      <c r="F31" s="136"/>
      <c r="G31" s="40"/>
      <c r="H31" s="229" t="s">
        <v>11</v>
      </c>
      <c r="I31" s="230"/>
      <c r="J31" s="234" t="str">
        <f t="shared" ref="J31:J34" si="0">C11</f>
        <v xml:space="preserve"> A1B2  </v>
      </c>
      <c r="K31" s="235"/>
      <c r="L31" s="235"/>
      <c r="M31" s="236"/>
    </row>
    <row r="32" spans="1:13" ht="25.9" thickBot="1" x14ac:dyDescent="0.8">
      <c r="A32" s="247" t="str">
        <f>Nebenrechnung2!A26:B26</f>
        <v>a = 0,33</v>
      </c>
      <c r="B32" s="248"/>
      <c r="C32" s="44"/>
      <c r="D32" s="45">
        <f>Nebenrechnung2!D26</f>
        <v>0</v>
      </c>
      <c r="E32" s="46"/>
      <c r="F32" s="137">
        <f>Nebenrechnung2!F26</f>
        <v>2</v>
      </c>
      <c r="G32" s="40"/>
      <c r="H32" s="229" t="s">
        <v>12</v>
      </c>
      <c r="I32" s="230"/>
      <c r="J32" s="234" t="str">
        <f t="shared" si="0"/>
        <v>Spiegelsymmetrie</v>
      </c>
      <c r="K32" s="235"/>
      <c r="L32" s="235"/>
      <c r="M32" s="236"/>
    </row>
    <row r="33" spans="1:13" ht="25.9" thickBot="1" x14ac:dyDescent="0.8">
      <c r="A33" s="253" t="str">
        <f>Nebenrechnung2!A27:B27</f>
        <v/>
      </c>
      <c r="B33" s="254"/>
      <c r="C33" s="47" t="str">
        <f>Nebenrechnung2!C27</f>
        <v xml:space="preserve">  </v>
      </c>
      <c r="D33" s="48"/>
      <c r="E33" s="49" t="str">
        <f>Nebenrechnung2!E27</f>
        <v xml:space="preserve">N P </v>
      </c>
      <c r="F33" s="138"/>
      <c r="G33" s="40"/>
      <c r="H33" s="229" t="s">
        <v>13</v>
      </c>
      <c r="I33" s="230"/>
      <c r="J33" s="295" t="str">
        <f t="shared" si="0"/>
        <v xml:space="preserve"> </v>
      </c>
      <c r="K33" s="296"/>
      <c r="L33" s="296"/>
      <c r="M33" s="297"/>
    </row>
    <row r="34" spans="1:13" ht="29.65" thickBot="1" x14ac:dyDescent="1">
      <c r="A34" s="245" t="s">
        <v>113</v>
      </c>
      <c r="B34" s="246"/>
      <c r="C34" s="50">
        <f>Nebenrechnung2!C28</f>
        <v>1</v>
      </c>
      <c r="D34" s="51"/>
      <c r="E34" s="52">
        <f>Nebenrechnung2!E28</f>
        <v>0</v>
      </c>
      <c r="F34" s="139"/>
      <c r="G34" s="40"/>
      <c r="H34" s="229" t="s">
        <v>14</v>
      </c>
      <c r="I34" s="230"/>
      <c r="J34" s="234" t="str">
        <f t="shared" si="0"/>
        <v>{0,667;0,667}</v>
      </c>
      <c r="K34" s="235"/>
      <c r="L34" s="235"/>
      <c r="M34" s="236"/>
    </row>
    <row r="35" spans="1:13" ht="25.9" thickBot="1" x14ac:dyDescent="0.8">
      <c r="A35" s="247" t="str">
        <f>Nebenrechnung2!A29:B29</f>
        <v>(1-a) = 0,67</v>
      </c>
      <c r="B35" s="248"/>
      <c r="C35" s="44"/>
      <c r="D35" s="45">
        <f>Nebenrechnung2!D29</f>
        <v>1</v>
      </c>
      <c r="E35" s="46"/>
      <c r="F35" s="137">
        <f>Nebenrechnung2!F29</f>
        <v>0</v>
      </c>
      <c r="G35" s="40"/>
      <c r="H35" s="229" t="s">
        <v>59</v>
      </c>
      <c r="I35" s="230"/>
      <c r="J35" s="234" t="str">
        <f>Nebenrechnung2!C16</f>
        <v xml:space="preserve"> kein Kooperationsproblem</v>
      </c>
      <c r="K35" s="235"/>
      <c r="L35" s="235"/>
      <c r="M35" s="236"/>
    </row>
    <row r="36" spans="1:13" ht="25.9" thickBot="1" x14ac:dyDescent="0.8">
      <c r="A36" s="249" t="str">
        <f>Nebenrechnung2!A30:B30</f>
        <v/>
      </c>
      <c r="B36" s="250"/>
      <c r="C36" s="140" t="str">
        <f>Nebenrechnung2!C30</f>
        <v xml:space="preserve">N  </v>
      </c>
      <c r="D36" s="141"/>
      <c r="E36" s="142" t="str">
        <f>Nebenrechnung2!E30</f>
        <v xml:space="preserve">  </v>
      </c>
      <c r="F36" s="143"/>
      <c r="G36" s="40"/>
      <c r="H36" s="264" t="s">
        <v>60</v>
      </c>
      <c r="I36" s="265"/>
      <c r="J36" s="266" t="str">
        <f>Nebenrechnung2!C18</f>
        <v>Koordinationsproblem Fall 2</v>
      </c>
      <c r="K36" s="267"/>
      <c r="L36" s="267"/>
      <c r="M36" s="268"/>
    </row>
    <row r="37" spans="1:13" ht="25.9" thickBot="1" x14ac:dyDescent="0.8">
      <c r="A37" s="63" t="s">
        <v>82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29.65" thickBot="1" x14ac:dyDescent="1">
      <c r="A38" s="237" t="s">
        <v>0</v>
      </c>
      <c r="B38" s="238"/>
      <c r="C38" s="239" t="s">
        <v>136</v>
      </c>
      <c r="D38" s="240"/>
      <c r="E38" s="241" t="s">
        <v>137</v>
      </c>
      <c r="F38" s="242"/>
      <c r="H38" s="226" t="s">
        <v>87</v>
      </c>
      <c r="I38" s="227"/>
      <c r="J38" s="227"/>
      <c r="K38" s="227"/>
      <c r="L38" s="227"/>
      <c r="M38" s="228"/>
    </row>
    <row r="39" spans="1:13" ht="25.9" thickBot="1" x14ac:dyDescent="0.8">
      <c r="A39" s="243" t="s">
        <v>1</v>
      </c>
      <c r="B39" s="244"/>
      <c r="C39" s="255"/>
      <c r="D39" s="256"/>
      <c r="E39" s="255"/>
      <c r="F39" s="257"/>
      <c r="H39" s="229" t="s">
        <v>88</v>
      </c>
      <c r="I39" s="230"/>
      <c r="J39" s="231" t="str">
        <f>Nebenrechnung2!J33</f>
        <v>Kein Nash GG in der Differenzmatrix</v>
      </c>
      <c r="K39" s="232"/>
      <c r="L39" s="232"/>
      <c r="M39" s="233"/>
    </row>
    <row r="40" spans="1:13" ht="29.65" thickBot="1" x14ac:dyDescent="1">
      <c r="A40" s="245" t="s">
        <v>112</v>
      </c>
      <c r="B40" s="246"/>
      <c r="C40" s="41">
        <f>Nebenrechnung2!J25</f>
        <v>0</v>
      </c>
      <c r="D40" s="42"/>
      <c r="E40" s="43">
        <f>Nebenrechnung2!L25</f>
        <v>0</v>
      </c>
      <c r="F40" s="136"/>
      <c r="H40" s="229" t="s">
        <v>89</v>
      </c>
      <c r="I40" s="230"/>
      <c r="J40" s="231" t="str">
        <f>Nebenrechnung2!J34</f>
        <v>{;}</v>
      </c>
      <c r="K40" s="232"/>
      <c r="L40" s="232"/>
      <c r="M40" s="233"/>
    </row>
    <row r="41" spans="1:13" ht="25.9" thickBot="1" x14ac:dyDescent="0.8">
      <c r="A41" s="247"/>
      <c r="B41" s="248"/>
      <c r="C41" s="44"/>
      <c r="D41" s="45">
        <f>Nebenrechnung2!K26</f>
        <v>0</v>
      </c>
      <c r="E41" s="46"/>
      <c r="F41" s="137">
        <f>Nebenrechnung2!M26</f>
        <v>0</v>
      </c>
      <c r="H41" s="269" t="s">
        <v>90</v>
      </c>
      <c r="I41" s="270"/>
      <c r="J41" s="271" t="str">
        <f>Nebenrechnung2!J35</f>
        <v/>
      </c>
      <c r="K41" s="272"/>
      <c r="L41" s="272"/>
      <c r="M41" s="273"/>
    </row>
    <row r="42" spans="1:13" ht="25.9" thickBot="1" x14ac:dyDescent="0.8">
      <c r="A42" s="253"/>
      <c r="B42" s="254"/>
      <c r="C42" s="47" t="str">
        <f>Nebenrechnung2!J27</f>
        <v/>
      </c>
      <c r="D42" s="48"/>
      <c r="E42" s="49" t="str">
        <f>Nebenrechnung2!L27</f>
        <v/>
      </c>
      <c r="F42" s="138"/>
      <c r="H42" s="274" t="s">
        <v>96</v>
      </c>
      <c r="I42" s="275"/>
      <c r="J42" s="275"/>
      <c r="K42" s="275"/>
      <c r="L42" s="275"/>
      <c r="M42" s="276"/>
    </row>
    <row r="43" spans="1:13" ht="29.65" thickBot="1" x14ac:dyDescent="1">
      <c r="A43" s="245" t="s">
        <v>113</v>
      </c>
      <c r="B43" s="246"/>
      <c r="C43" s="50">
        <f>Nebenrechnung2!J28</f>
        <v>0</v>
      </c>
      <c r="D43" s="51"/>
      <c r="E43" s="52">
        <f>Nebenrechnung2!L28</f>
        <v>0</v>
      </c>
      <c r="F43" s="139"/>
      <c r="H43" s="229" t="s">
        <v>97</v>
      </c>
      <c r="I43" s="230"/>
      <c r="J43" s="231" t="str">
        <f>Nebenrechnung2!J37</f>
        <v/>
      </c>
      <c r="K43" s="232"/>
      <c r="L43" s="232"/>
      <c r="M43" s="233"/>
    </row>
    <row r="44" spans="1:13" ht="25.9" thickBot="1" x14ac:dyDescent="0.8">
      <c r="A44" s="247"/>
      <c r="B44" s="248"/>
      <c r="C44" s="44"/>
      <c r="D44" s="45">
        <f>Nebenrechnung2!K29</f>
        <v>0</v>
      </c>
      <c r="E44" s="46"/>
      <c r="F44" s="137">
        <f>Nebenrechnung2!M29</f>
        <v>0</v>
      </c>
      <c r="H44" s="264" t="s">
        <v>159</v>
      </c>
      <c r="I44" s="265"/>
      <c r="J44" s="277" t="str">
        <f>Nebenrechnung2!J38</f>
        <v/>
      </c>
      <c r="K44" s="278"/>
      <c r="L44" s="278"/>
      <c r="M44" s="279"/>
    </row>
    <row r="45" spans="1:13" ht="25.9" thickBot="1" x14ac:dyDescent="0.8">
      <c r="A45" s="249"/>
      <c r="B45" s="250"/>
      <c r="C45" s="140" t="str">
        <f>Nebenrechnung2!J30</f>
        <v/>
      </c>
      <c r="D45" s="141"/>
      <c r="E45" s="142" t="str">
        <f>Nebenrechnung2!L30</f>
        <v/>
      </c>
      <c r="F45" s="143"/>
      <c r="H45" s="133"/>
      <c r="I45" s="133"/>
      <c r="J45" s="32"/>
      <c r="K45" s="32"/>
      <c r="L45" s="32"/>
      <c r="M45" s="32"/>
    </row>
    <row r="46" spans="1:13" x14ac:dyDescent="0.75">
      <c r="A46" s="28"/>
      <c r="B46" s="28"/>
      <c r="C46" s="29"/>
      <c r="D46" s="30"/>
      <c r="E46" s="28"/>
      <c r="F46" s="30"/>
      <c r="H46" s="53"/>
      <c r="I46" s="53"/>
      <c r="J46" s="32"/>
      <c r="K46" s="32"/>
      <c r="L46" s="32"/>
      <c r="M46" s="32"/>
    </row>
    <row r="47" spans="1:13" x14ac:dyDescent="0.75">
      <c r="A47" s="28"/>
      <c r="B47" s="28"/>
      <c r="C47" s="29"/>
      <c r="D47" s="30"/>
      <c r="E47" s="28"/>
      <c r="F47" s="30"/>
      <c r="H47" s="53"/>
      <c r="I47" s="53"/>
      <c r="J47" s="32"/>
      <c r="K47" s="32"/>
      <c r="L47" s="32"/>
      <c r="M47" s="32"/>
    </row>
    <row r="48" spans="1:13" ht="28.9" thickBot="1" x14ac:dyDescent="0.9">
      <c r="A48" s="23" t="s">
        <v>69</v>
      </c>
      <c r="H48" s="33" t="s">
        <v>172</v>
      </c>
    </row>
    <row r="49" spans="8:13" ht="29.25" customHeight="1" x14ac:dyDescent="0.75">
      <c r="H49" s="34" t="s">
        <v>72</v>
      </c>
      <c r="I49" s="262" t="s">
        <v>161</v>
      </c>
      <c r="J49" s="262"/>
      <c r="K49" s="262"/>
      <c r="L49" s="262"/>
      <c r="M49" s="263"/>
    </row>
    <row r="50" spans="8:13" ht="26.25" customHeight="1" x14ac:dyDescent="0.75">
      <c r="H50" s="260" t="s">
        <v>73</v>
      </c>
      <c r="I50" s="251" t="s">
        <v>77</v>
      </c>
      <c r="J50" s="251"/>
      <c r="K50" s="251"/>
      <c r="L50" s="251"/>
      <c r="M50" s="252"/>
    </row>
    <row r="51" spans="8:13" x14ac:dyDescent="0.75">
      <c r="H51" s="260"/>
      <c r="I51" s="251"/>
      <c r="J51" s="251"/>
      <c r="K51" s="251"/>
      <c r="L51" s="251"/>
      <c r="M51" s="252"/>
    </row>
    <row r="52" spans="8:13" x14ac:dyDescent="0.75">
      <c r="H52" s="260"/>
      <c r="I52" s="251"/>
      <c r="J52" s="251"/>
      <c r="K52" s="251"/>
      <c r="L52" s="251"/>
      <c r="M52" s="252"/>
    </row>
    <row r="53" spans="8:13" ht="55.5" customHeight="1" x14ac:dyDescent="0.75">
      <c r="H53" s="260"/>
      <c r="I53" s="251"/>
      <c r="J53" s="251"/>
      <c r="K53" s="251"/>
      <c r="L53" s="251"/>
      <c r="M53" s="252"/>
    </row>
    <row r="54" spans="8:13" ht="26.25" customHeight="1" x14ac:dyDescent="0.75">
      <c r="H54" s="260" t="s">
        <v>74</v>
      </c>
      <c r="I54" s="251" t="s">
        <v>78</v>
      </c>
      <c r="J54" s="251"/>
      <c r="K54" s="251"/>
      <c r="L54" s="251"/>
      <c r="M54" s="252"/>
    </row>
    <row r="55" spans="8:13" x14ac:dyDescent="0.75">
      <c r="H55" s="260"/>
      <c r="I55" s="251"/>
      <c r="J55" s="251"/>
      <c r="K55" s="251"/>
      <c r="L55" s="251"/>
      <c r="M55" s="252"/>
    </row>
    <row r="56" spans="8:13" ht="29.25" customHeight="1" x14ac:dyDescent="0.75">
      <c r="H56" s="260" t="s">
        <v>75</v>
      </c>
      <c r="I56" s="251" t="s">
        <v>79</v>
      </c>
      <c r="J56" s="251"/>
      <c r="K56" s="251"/>
      <c r="L56" s="251"/>
      <c r="M56" s="252"/>
    </row>
    <row r="57" spans="8:13" x14ac:dyDescent="0.75">
      <c r="H57" s="260"/>
      <c r="I57" s="251"/>
      <c r="J57" s="251"/>
      <c r="K57" s="251"/>
      <c r="L57" s="251"/>
      <c r="M57" s="252"/>
    </row>
    <row r="58" spans="8:13" ht="26.25" customHeight="1" x14ac:dyDescent="0.75">
      <c r="H58" s="260"/>
      <c r="I58" s="251"/>
      <c r="J58" s="251"/>
      <c r="K58" s="251"/>
      <c r="L58" s="251"/>
      <c r="M58" s="252"/>
    </row>
    <row r="59" spans="8:13" x14ac:dyDescent="0.75">
      <c r="H59" s="260"/>
      <c r="I59" s="251"/>
      <c r="J59" s="251"/>
      <c r="K59" s="251"/>
      <c r="L59" s="251"/>
      <c r="M59" s="252"/>
    </row>
    <row r="60" spans="8:13" ht="25.9" thickBot="1" x14ac:dyDescent="0.8">
      <c r="H60" s="261"/>
      <c r="I60" s="258"/>
      <c r="J60" s="258"/>
      <c r="K60" s="258"/>
      <c r="L60" s="258"/>
      <c r="M60" s="259"/>
    </row>
  </sheetData>
  <mergeCells count="102">
    <mergeCell ref="H24:I24"/>
    <mergeCell ref="H22:I22"/>
    <mergeCell ref="J22:K22"/>
    <mergeCell ref="L22:M22"/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H33:I33"/>
    <mergeCell ref="J33:M33"/>
    <mergeCell ref="H34:I34"/>
    <mergeCell ref="J34:M34"/>
    <mergeCell ref="A33:B33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J32:M32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</mergeCells>
  <phoneticPr fontId="10" type="noConversion"/>
  <conditionalFormatting sqref="C14:F14">
    <cfRule type="expression" dxfId="3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F6" sqref="F6"/>
    </sheetView>
  </sheetViews>
  <sheetFormatPr baseColWidth="10" defaultColWidth="10.77734375" defaultRowHeight="25.5" x14ac:dyDescent="0.75"/>
  <cols>
    <col min="1" max="1" width="15.03515625" style="16" bestFit="1" customWidth="1"/>
    <col min="2" max="2" width="6.109375" style="16" bestFit="1" customWidth="1"/>
    <col min="3" max="21" width="5.0703125" style="16" bestFit="1" customWidth="1"/>
    <col min="22" max="22" width="4.3671875" style="16" bestFit="1" customWidth="1"/>
    <col min="23" max="16384" width="10.77734375" style="16"/>
  </cols>
  <sheetData>
    <row r="2" spans="1:22" ht="25.9" thickBot="1" x14ac:dyDescent="0.8">
      <c r="A2" s="33" t="s">
        <v>138</v>
      </c>
    </row>
    <row r="3" spans="1:22" x14ac:dyDescent="0.75">
      <c r="A3" s="112" t="s">
        <v>139</v>
      </c>
      <c r="B3" s="113" t="s">
        <v>148</v>
      </c>
      <c r="C3" s="114">
        <v>0.6</v>
      </c>
      <c r="D3" s="114"/>
      <c r="E3" s="114"/>
      <c r="F3" s="115"/>
    </row>
    <row r="4" spans="1:22" x14ac:dyDescent="0.75">
      <c r="A4" s="116" t="s">
        <v>140</v>
      </c>
      <c r="B4" s="117" t="s">
        <v>149</v>
      </c>
      <c r="C4" s="118">
        <v>2</v>
      </c>
      <c r="D4" s="118"/>
      <c r="E4" s="118"/>
      <c r="F4" s="119"/>
    </row>
    <row r="5" spans="1:22" ht="25.9" thickBot="1" x14ac:dyDescent="0.8">
      <c r="A5" s="120"/>
      <c r="B5" s="121" t="s">
        <v>150</v>
      </c>
      <c r="C5" s="122">
        <v>0.7</v>
      </c>
      <c r="D5" s="122"/>
      <c r="E5" s="122"/>
      <c r="F5" s="123"/>
    </row>
    <row r="6" spans="1:22" ht="25.9" thickBot="1" x14ac:dyDescent="0.8"/>
    <row r="7" spans="1:22" x14ac:dyDescent="0.75">
      <c r="A7" s="105"/>
      <c r="B7" s="114" t="s">
        <v>143</v>
      </c>
      <c r="C7" s="124" t="s">
        <v>144</v>
      </c>
    </row>
    <row r="8" spans="1:22" x14ac:dyDescent="0.75">
      <c r="A8" s="108" t="s">
        <v>141</v>
      </c>
      <c r="B8" s="125">
        <v>10</v>
      </c>
      <c r="C8" s="119">
        <v>0</v>
      </c>
    </row>
    <row r="9" spans="1:22" x14ac:dyDescent="0.75">
      <c r="A9" s="108" t="s">
        <v>142</v>
      </c>
      <c r="B9" s="125">
        <v>0</v>
      </c>
      <c r="C9" s="119">
        <v>-10</v>
      </c>
    </row>
    <row r="10" spans="1:22" ht="25.9" thickBot="1" x14ac:dyDescent="0.8">
      <c r="A10" s="109" t="s">
        <v>147</v>
      </c>
      <c r="B10" s="110">
        <v>0.5</v>
      </c>
      <c r="C10" s="111"/>
    </row>
    <row r="11" spans="1:22" ht="25.9" thickBot="1" x14ac:dyDescent="0.8">
      <c r="N11" s="16">
        <f>N14*0.85</f>
        <v>2.4906326438459931</v>
      </c>
    </row>
    <row r="12" spans="1:22" x14ac:dyDescent="0.75">
      <c r="A12" s="105" t="s">
        <v>139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7"/>
    </row>
    <row r="13" spans="1:22" x14ac:dyDescent="0.75">
      <c r="A13" s="126" t="s">
        <v>145</v>
      </c>
      <c r="B13" s="125">
        <f>B9</f>
        <v>0</v>
      </c>
      <c r="C13" s="125">
        <f>B13+($B$8-$B$9)/(($B$8-$B$9)/$B$10)</f>
        <v>0.5</v>
      </c>
      <c r="D13" s="125">
        <f t="shared" ref="D13:V13" si="0">C13+($B$8-$B$9)/(($B$8-$B$9)/$B$10)</f>
        <v>1</v>
      </c>
      <c r="E13" s="125">
        <f t="shared" si="0"/>
        <v>1.5</v>
      </c>
      <c r="F13" s="125">
        <f t="shared" si="0"/>
        <v>2</v>
      </c>
      <c r="G13" s="125">
        <f t="shared" si="0"/>
        <v>2.5</v>
      </c>
      <c r="H13" s="125">
        <f t="shared" si="0"/>
        <v>3</v>
      </c>
      <c r="I13" s="125">
        <f t="shared" si="0"/>
        <v>3.5</v>
      </c>
      <c r="J13" s="125">
        <f t="shared" si="0"/>
        <v>4</v>
      </c>
      <c r="K13" s="125">
        <f t="shared" si="0"/>
        <v>4.5</v>
      </c>
      <c r="L13" s="125">
        <f t="shared" si="0"/>
        <v>5</v>
      </c>
      <c r="M13" s="125">
        <f t="shared" si="0"/>
        <v>5.5</v>
      </c>
      <c r="N13" s="125">
        <f t="shared" si="0"/>
        <v>6</v>
      </c>
      <c r="O13" s="125">
        <f t="shared" si="0"/>
        <v>6.5</v>
      </c>
      <c r="P13" s="125">
        <f t="shared" si="0"/>
        <v>7</v>
      </c>
      <c r="Q13" s="125">
        <f t="shared" si="0"/>
        <v>7.5</v>
      </c>
      <c r="R13" s="125">
        <f t="shared" si="0"/>
        <v>8</v>
      </c>
      <c r="S13" s="125">
        <f t="shared" si="0"/>
        <v>8.5</v>
      </c>
      <c r="T13" s="125">
        <f t="shared" si="0"/>
        <v>9</v>
      </c>
      <c r="U13" s="125">
        <f t="shared" si="0"/>
        <v>9.5</v>
      </c>
      <c r="V13" s="127">
        <f t="shared" si="0"/>
        <v>10</v>
      </c>
    </row>
    <row r="14" spans="1:22" ht="25.9" thickBot="1" x14ac:dyDescent="0.8">
      <c r="A14" s="128" t="s">
        <v>146</v>
      </c>
      <c r="B14" s="129">
        <f>B13^0.6</f>
        <v>0</v>
      </c>
      <c r="C14" s="129">
        <f t="shared" ref="C14:V14" si="1">C13^$C$3</f>
        <v>0.6597539553864471</v>
      </c>
      <c r="D14" s="129">
        <f t="shared" si="1"/>
        <v>1</v>
      </c>
      <c r="E14" s="129">
        <f t="shared" si="1"/>
        <v>1.2754245006257907</v>
      </c>
      <c r="F14" s="129">
        <f t="shared" si="1"/>
        <v>1.515716566510398</v>
      </c>
      <c r="G14" s="129">
        <f t="shared" si="1"/>
        <v>1.7328621078878661</v>
      </c>
      <c r="H14" s="129">
        <f t="shared" si="1"/>
        <v>1.9331820449317627</v>
      </c>
      <c r="I14" s="129">
        <f t="shared" si="1"/>
        <v>2.1205124498413204</v>
      </c>
      <c r="J14" s="129">
        <f t="shared" si="1"/>
        <v>2.2973967099940702</v>
      </c>
      <c r="K14" s="129">
        <f t="shared" si="1"/>
        <v>2.4656277442758388</v>
      </c>
      <c r="L14" s="129">
        <f t="shared" si="1"/>
        <v>2.626527804403767</v>
      </c>
      <c r="M14" s="129">
        <f t="shared" si="1"/>
        <v>2.7811064589713195</v>
      </c>
      <c r="N14" s="129">
        <f t="shared" si="1"/>
        <v>2.9301560515835212</v>
      </c>
      <c r="O14" s="129">
        <f t="shared" si="1"/>
        <v>3.0743125218748468</v>
      </c>
      <c r="P14" s="129">
        <f t="shared" si="1"/>
        <v>3.2140958497160383</v>
      </c>
      <c r="Q14" s="129">
        <f t="shared" si="1"/>
        <v>3.3499379133114293</v>
      </c>
      <c r="R14" s="129">
        <f t="shared" si="1"/>
        <v>3.4822022531844965</v>
      </c>
      <c r="S14" s="129">
        <f t="shared" si="1"/>
        <v>3.6111984508555803</v>
      </c>
      <c r="T14" s="129">
        <f t="shared" si="1"/>
        <v>3.7371928188465522</v>
      </c>
      <c r="U14" s="129">
        <f t="shared" si="1"/>
        <v>3.8604164998212913</v>
      </c>
      <c r="V14" s="130">
        <f t="shared" si="1"/>
        <v>3.9810717055349727</v>
      </c>
    </row>
    <row r="15" spans="1:22" ht="25.9" thickBot="1" x14ac:dyDescent="0.8">
      <c r="N15" s="104">
        <f>0.85*N18</f>
        <v>-4.4863268966278405</v>
      </c>
    </row>
    <row r="16" spans="1:22" x14ac:dyDescent="0.75">
      <c r="A16" s="105" t="s">
        <v>140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7"/>
    </row>
    <row r="17" spans="1:22" x14ac:dyDescent="0.75">
      <c r="A17" s="116" t="s">
        <v>145</v>
      </c>
      <c r="B17" s="118">
        <f>C9</f>
        <v>-10</v>
      </c>
      <c r="C17" s="118">
        <f>B17+($C$8-$C$9)/(($C$8-$C$9)/$B$10)</f>
        <v>-9.5</v>
      </c>
      <c r="D17" s="118">
        <f t="shared" ref="D17:V17" si="2">C17+($C$8-$C$9)/(($C$8-$C$9)/$B$10)</f>
        <v>-9</v>
      </c>
      <c r="E17" s="118">
        <f t="shared" si="2"/>
        <v>-8.5</v>
      </c>
      <c r="F17" s="118">
        <f t="shared" si="2"/>
        <v>-8</v>
      </c>
      <c r="G17" s="118">
        <f t="shared" si="2"/>
        <v>-7.5</v>
      </c>
      <c r="H17" s="118">
        <f t="shared" si="2"/>
        <v>-7</v>
      </c>
      <c r="I17" s="118">
        <f t="shared" si="2"/>
        <v>-6.5</v>
      </c>
      <c r="J17" s="118">
        <f t="shared" si="2"/>
        <v>-6</v>
      </c>
      <c r="K17" s="118">
        <f t="shared" si="2"/>
        <v>-5.5</v>
      </c>
      <c r="L17" s="118">
        <f t="shared" si="2"/>
        <v>-5</v>
      </c>
      <c r="M17" s="118">
        <f t="shared" si="2"/>
        <v>-4.5</v>
      </c>
      <c r="N17" s="118">
        <f t="shared" si="2"/>
        <v>-4</v>
      </c>
      <c r="O17" s="118">
        <f t="shared" si="2"/>
        <v>-3.5</v>
      </c>
      <c r="P17" s="118">
        <f t="shared" si="2"/>
        <v>-3</v>
      </c>
      <c r="Q17" s="118">
        <f t="shared" si="2"/>
        <v>-2.5</v>
      </c>
      <c r="R17" s="118">
        <f t="shared" si="2"/>
        <v>-2</v>
      </c>
      <c r="S17" s="118">
        <f t="shared" si="2"/>
        <v>-1.5</v>
      </c>
      <c r="T17" s="118">
        <f t="shared" si="2"/>
        <v>-1</v>
      </c>
      <c r="U17" s="118">
        <f t="shared" si="2"/>
        <v>-0.5</v>
      </c>
      <c r="V17" s="119">
        <f t="shared" si="2"/>
        <v>0</v>
      </c>
    </row>
    <row r="18" spans="1:22" ht="25.9" thickBot="1" x14ac:dyDescent="0.8">
      <c r="A18" s="120" t="s">
        <v>146</v>
      </c>
      <c r="B18" s="131">
        <f t="shared" ref="B18:V18" si="3">-$C$4*(-B17)^$C$5</f>
        <v>-10.023744672545446</v>
      </c>
      <c r="C18" s="131">
        <f t="shared" si="3"/>
        <v>-9.6702236708402811</v>
      </c>
      <c r="D18" s="131">
        <f t="shared" si="3"/>
        <v>-9.3110734434921572</v>
      </c>
      <c r="E18" s="131">
        <f t="shared" si="3"/>
        <v>-8.945883613267382</v>
      </c>
      <c r="F18" s="131">
        <f t="shared" si="3"/>
        <v>-8.5741877002903433</v>
      </c>
      <c r="G18" s="131">
        <f t="shared" si="3"/>
        <v>-8.1954514155174181</v>
      </c>
      <c r="H18" s="131">
        <f t="shared" si="3"/>
        <v>-7.8090575542454426</v>
      </c>
      <c r="I18" s="131">
        <f t="shared" si="3"/>
        <v>-7.4142861834211704</v>
      </c>
      <c r="J18" s="131">
        <f t="shared" si="3"/>
        <v>-7.0102881728143851</v>
      </c>
      <c r="K18" s="131">
        <f t="shared" si="3"/>
        <v>-6.5960490772554969</v>
      </c>
      <c r="L18" s="131">
        <f t="shared" si="3"/>
        <v>-6.1703386272000955</v>
      </c>
      <c r="M18" s="131">
        <f t="shared" si="3"/>
        <v>-5.731638026099791</v>
      </c>
      <c r="N18" s="131">
        <f t="shared" si="3"/>
        <v>-5.2780316430915768</v>
      </c>
      <c r="O18" s="131">
        <f t="shared" si="3"/>
        <v>-4.8070387906990968</v>
      </c>
      <c r="P18" s="131">
        <f t="shared" si="3"/>
        <v>-4.3153385599491862</v>
      </c>
      <c r="Q18" s="131">
        <f t="shared" si="3"/>
        <v>-3.7982889646618694</v>
      </c>
      <c r="R18" s="131">
        <f t="shared" si="3"/>
        <v>-3.2490095854249419</v>
      </c>
      <c r="S18" s="131">
        <f t="shared" si="3"/>
        <v>-2.6564024798866681</v>
      </c>
      <c r="T18" s="131">
        <f t="shared" si="3"/>
        <v>-2</v>
      </c>
      <c r="U18" s="131">
        <f t="shared" si="3"/>
        <v>-1.2311444133449163</v>
      </c>
      <c r="V18" s="132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16" zoomScale="66" zoomScaleNormal="40" workbookViewId="0">
      <selection activeCell="G64" sqref="D61:G64"/>
    </sheetView>
  </sheetViews>
  <sheetFormatPr baseColWidth="10" defaultColWidth="10.77734375" defaultRowHeight="25.5" x14ac:dyDescent="0.75"/>
  <cols>
    <col min="1" max="1" width="2.44140625" style="16" customWidth="1"/>
    <col min="2" max="16384" width="10.77734375" style="16"/>
  </cols>
  <sheetData>
    <row r="1" spans="2:7" ht="25.9" thickBot="1" x14ac:dyDescent="0.8">
      <c r="B1" s="16" t="s">
        <v>29</v>
      </c>
    </row>
    <row r="2" spans="2:7" ht="29.25" x14ac:dyDescent="1">
      <c r="B2" s="185" t="s">
        <v>0</v>
      </c>
      <c r="C2" s="186"/>
      <c r="D2" s="187" t="s">
        <v>3</v>
      </c>
      <c r="E2" s="188"/>
      <c r="F2" s="189" t="s">
        <v>2</v>
      </c>
      <c r="G2" s="190"/>
    </row>
    <row r="3" spans="2:7" ht="25.9" thickBot="1" x14ac:dyDescent="0.8">
      <c r="B3" s="191" t="s">
        <v>1</v>
      </c>
      <c r="C3" s="192"/>
      <c r="D3" s="193"/>
      <c r="E3" s="194"/>
      <c r="F3" s="193"/>
      <c r="G3" s="194"/>
    </row>
    <row r="4" spans="2:7" ht="29.25" x14ac:dyDescent="1">
      <c r="B4" s="195" t="s">
        <v>4</v>
      </c>
      <c r="C4" s="196"/>
      <c r="D4" s="6">
        <v>3</v>
      </c>
      <c r="E4" s="1"/>
      <c r="F4" s="11">
        <v>0</v>
      </c>
      <c r="G4" s="1"/>
    </row>
    <row r="5" spans="2:7" ht="25.9" thickBot="1" x14ac:dyDescent="0.8">
      <c r="B5" s="197"/>
      <c r="C5" s="198"/>
      <c r="D5" s="7"/>
      <c r="E5" s="2">
        <v>3</v>
      </c>
      <c r="F5" s="12"/>
      <c r="G5" s="2">
        <v>5</v>
      </c>
    </row>
    <row r="6" spans="2:7" ht="29.25" x14ac:dyDescent="1">
      <c r="B6" s="195" t="s">
        <v>5</v>
      </c>
      <c r="C6" s="196"/>
      <c r="D6" s="8">
        <v>5</v>
      </c>
      <c r="E6" s="3"/>
      <c r="F6" s="13">
        <v>1</v>
      </c>
      <c r="G6" s="3"/>
    </row>
    <row r="7" spans="2:7" ht="25.9" thickBot="1" x14ac:dyDescent="0.8">
      <c r="B7" s="191"/>
      <c r="C7" s="192"/>
      <c r="D7" s="10"/>
      <c r="E7" s="5">
        <v>0</v>
      </c>
      <c r="F7" s="15"/>
      <c r="G7" s="5">
        <v>1</v>
      </c>
    </row>
    <row r="8" spans="2:7" ht="25.9" thickBot="1" x14ac:dyDescent="0.8">
      <c r="B8" s="16" t="s">
        <v>30</v>
      </c>
    </row>
    <row r="9" spans="2:7" ht="29.25" x14ac:dyDescent="1">
      <c r="B9" s="185" t="s">
        <v>0</v>
      </c>
      <c r="C9" s="186"/>
      <c r="D9" s="187" t="s">
        <v>3</v>
      </c>
      <c r="E9" s="188"/>
      <c r="F9" s="189" t="s">
        <v>2</v>
      </c>
      <c r="G9" s="190"/>
    </row>
    <row r="10" spans="2:7" ht="25.9" thickBot="1" x14ac:dyDescent="0.8">
      <c r="B10" s="191" t="s">
        <v>1</v>
      </c>
      <c r="C10" s="192"/>
      <c r="D10" s="193"/>
      <c r="E10" s="194"/>
      <c r="F10" s="193"/>
      <c r="G10" s="194"/>
    </row>
    <row r="11" spans="2:7" ht="29.25" x14ac:dyDescent="1">
      <c r="B11" s="195" t="s">
        <v>4</v>
      </c>
      <c r="C11" s="196"/>
      <c r="D11" s="6">
        <v>4</v>
      </c>
      <c r="E11" s="1"/>
      <c r="F11" s="11">
        <v>1</v>
      </c>
      <c r="G11" s="1"/>
    </row>
    <row r="12" spans="2:7" ht="25.9" thickBot="1" x14ac:dyDescent="0.8">
      <c r="B12" s="197"/>
      <c r="C12" s="198"/>
      <c r="D12" s="7"/>
      <c r="E12" s="2">
        <v>4</v>
      </c>
      <c r="F12" s="12"/>
      <c r="G12" s="2">
        <v>3</v>
      </c>
    </row>
    <row r="13" spans="2:7" ht="29.25" x14ac:dyDescent="1">
      <c r="B13" s="195" t="s">
        <v>5</v>
      </c>
      <c r="C13" s="196"/>
      <c r="D13" s="8">
        <v>3</v>
      </c>
      <c r="E13" s="3"/>
      <c r="F13" s="13">
        <v>2</v>
      </c>
      <c r="G13" s="3"/>
    </row>
    <row r="14" spans="2:7" ht="25.9" thickBot="1" x14ac:dyDescent="0.8">
      <c r="B14" s="191"/>
      <c r="C14" s="192"/>
      <c r="D14" s="10"/>
      <c r="E14" s="5">
        <v>1</v>
      </c>
      <c r="F14" s="15"/>
      <c r="G14" s="5">
        <v>2</v>
      </c>
    </row>
    <row r="15" spans="2:7" ht="25.9" thickBot="1" x14ac:dyDescent="0.8">
      <c r="B15" s="16" t="s">
        <v>32</v>
      </c>
    </row>
    <row r="16" spans="2:7" ht="29.25" x14ac:dyDescent="1">
      <c r="B16" s="185" t="s">
        <v>0</v>
      </c>
      <c r="C16" s="186"/>
      <c r="D16" s="187" t="s">
        <v>3</v>
      </c>
      <c r="E16" s="188"/>
      <c r="F16" s="189" t="s">
        <v>2</v>
      </c>
      <c r="G16" s="190"/>
    </row>
    <row r="17" spans="2:7" ht="25.9" thickBot="1" x14ac:dyDescent="0.8">
      <c r="B17" s="191" t="s">
        <v>1</v>
      </c>
      <c r="C17" s="192"/>
      <c r="D17" s="193"/>
      <c r="E17" s="194"/>
      <c r="F17" s="193"/>
      <c r="G17" s="194"/>
    </row>
    <row r="18" spans="2:7" ht="29.25" x14ac:dyDescent="1">
      <c r="B18" s="195" t="s">
        <v>4</v>
      </c>
      <c r="C18" s="196"/>
      <c r="D18" s="6">
        <v>2</v>
      </c>
      <c r="E18" s="1"/>
      <c r="F18" s="11">
        <v>1</v>
      </c>
      <c r="G18" s="1"/>
    </row>
    <row r="19" spans="2:7" ht="25.9" thickBot="1" x14ac:dyDescent="0.8">
      <c r="B19" s="197"/>
      <c r="C19" s="198"/>
      <c r="D19" s="7"/>
      <c r="E19" s="2">
        <v>2</v>
      </c>
      <c r="F19" s="12"/>
      <c r="G19" s="2">
        <v>3</v>
      </c>
    </row>
    <row r="20" spans="2:7" ht="29.25" x14ac:dyDescent="1">
      <c r="B20" s="195" t="s">
        <v>5</v>
      </c>
      <c r="C20" s="196"/>
      <c r="D20" s="8">
        <v>0</v>
      </c>
      <c r="E20" s="3"/>
      <c r="F20" s="13">
        <v>0</v>
      </c>
      <c r="G20" s="3"/>
    </row>
    <row r="21" spans="2:7" ht="25.9" thickBot="1" x14ac:dyDescent="0.8">
      <c r="B21" s="191"/>
      <c r="C21" s="192"/>
      <c r="D21" s="10"/>
      <c r="E21" s="5">
        <v>0</v>
      </c>
      <c r="F21" s="15"/>
      <c r="G21" s="5">
        <v>0</v>
      </c>
    </row>
    <row r="22" spans="2:7" ht="25.9" thickBot="1" x14ac:dyDescent="0.8">
      <c r="B22" s="16" t="s">
        <v>35</v>
      </c>
    </row>
    <row r="23" spans="2:7" ht="29.25" x14ac:dyDescent="1">
      <c r="B23" s="185" t="s">
        <v>0</v>
      </c>
      <c r="C23" s="186"/>
      <c r="D23" s="187" t="s">
        <v>3</v>
      </c>
      <c r="E23" s="188"/>
      <c r="F23" s="189" t="s">
        <v>2</v>
      </c>
      <c r="G23" s="190"/>
    </row>
    <row r="24" spans="2:7" ht="25.9" thickBot="1" x14ac:dyDescent="0.8">
      <c r="B24" s="191" t="s">
        <v>1</v>
      </c>
      <c r="C24" s="192"/>
      <c r="D24" s="193"/>
      <c r="E24" s="194"/>
      <c r="F24" s="193"/>
      <c r="G24" s="194"/>
    </row>
    <row r="25" spans="2:7" ht="29.25" x14ac:dyDescent="1">
      <c r="B25" s="195" t="s">
        <v>4</v>
      </c>
      <c r="C25" s="196"/>
      <c r="D25" s="6">
        <v>0</v>
      </c>
      <c r="E25" s="1"/>
      <c r="F25" s="11">
        <v>0</v>
      </c>
      <c r="G25" s="1"/>
    </row>
    <row r="26" spans="2:7" ht="25.9" thickBot="1" x14ac:dyDescent="0.8">
      <c r="B26" s="197"/>
      <c r="C26" s="198"/>
      <c r="D26" s="7"/>
      <c r="E26" s="2">
        <v>1</v>
      </c>
      <c r="F26" s="12"/>
      <c r="G26" s="2">
        <v>1</v>
      </c>
    </row>
    <row r="27" spans="2:7" ht="29.25" x14ac:dyDescent="1">
      <c r="B27" s="195" t="s">
        <v>5</v>
      </c>
      <c r="C27" s="196"/>
      <c r="D27" s="8">
        <v>1</v>
      </c>
      <c r="E27" s="3"/>
      <c r="F27" s="13">
        <v>1</v>
      </c>
      <c r="G27" s="3"/>
    </row>
    <row r="28" spans="2:7" ht="25.9" thickBot="1" x14ac:dyDescent="0.8">
      <c r="B28" s="191"/>
      <c r="C28" s="192"/>
      <c r="D28" s="10"/>
      <c r="E28" s="5">
        <v>0</v>
      </c>
      <c r="F28" s="15"/>
      <c r="G28" s="5">
        <v>0</v>
      </c>
    </row>
    <row r="29" spans="2:7" ht="25.9" thickBot="1" x14ac:dyDescent="0.8">
      <c r="B29" s="16" t="s">
        <v>31</v>
      </c>
    </row>
    <row r="30" spans="2:7" ht="29.25" x14ac:dyDescent="1">
      <c r="B30" s="185" t="s">
        <v>0</v>
      </c>
      <c r="C30" s="186"/>
      <c r="D30" s="187" t="s">
        <v>3</v>
      </c>
      <c r="E30" s="188"/>
      <c r="F30" s="189" t="s">
        <v>2</v>
      </c>
      <c r="G30" s="190"/>
    </row>
    <row r="31" spans="2:7" ht="25.9" thickBot="1" x14ac:dyDescent="0.8">
      <c r="B31" s="191" t="s">
        <v>1</v>
      </c>
      <c r="C31" s="192"/>
      <c r="D31" s="193"/>
      <c r="E31" s="194"/>
      <c r="F31" s="193"/>
      <c r="G31" s="194"/>
    </row>
    <row r="32" spans="2:7" ht="29.25" x14ac:dyDescent="1">
      <c r="B32" s="195" t="s">
        <v>4</v>
      </c>
      <c r="C32" s="196"/>
      <c r="D32" s="6">
        <v>2</v>
      </c>
      <c r="E32" s="1"/>
      <c r="F32" s="11">
        <v>1</v>
      </c>
      <c r="G32" s="1"/>
    </row>
    <row r="33" spans="2:7" ht="25.9" thickBot="1" x14ac:dyDescent="0.8">
      <c r="B33" s="197"/>
      <c r="C33" s="198"/>
      <c r="D33" s="7"/>
      <c r="E33" s="2">
        <v>2</v>
      </c>
      <c r="F33" s="12"/>
      <c r="G33" s="2">
        <v>3</v>
      </c>
    </row>
    <row r="34" spans="2:7" ht="29.25" x14ac:dyDescent="1">
      <c r="B34" s="195" t="s">
        <v>5</v>
      </c>
      <c r="C34" s="196"/>
      <c r="D34" s="8">
        <v>3</v>
      </c>
      <c r="E34" s="3"/>
      <c r="F34" s="13">
        <v>0</v>
      </c>
      <c r="G34" s="3"/>
    </row>
    <row r="35" spans="2:7" ht="25.9" thickBot="1" x14ac:dyDescent="0.8">
      <c r="B35" s="191"/>
      <c r="C35" s="192"/>
      <c r="D35" s="10"/>
      <c r="E35" s="5">
        <v>1</v>
      </c>
      <c r="F35" s="15"/>
      <c r="G35" s="5">
        <v>0</v>
      </c>
    </row>
    <row r="36" spans="2:7" ht="25.9" thickBot="1" x14ac:dyDescent="0.8">
      <c r="B36" s="16" t="s">
        <v>33</v>
      </c>
    </row>
    <row r="37" spans="2:7" ht="29.25" x14ac:dyDescent="1">
      <c r="B37" s="185" t="s">
        <v>0</v>
      </c>
      <c r="C37" s="186"/>
      <c r="D37" s="187" t="s">
        <v>3</v>
      </c>
      <c r="E37" s="188"/>
      <c r="F37" s="189" t="s">
        <v>2</v>
      </c>
      <c r="G37" s="190"/>
    </row>
    <row r="38" spans="2:7" ht="25.9" thickBot="1" x14ac:dyDescent="0.8">
      <c r="B38" s="191" t="s">
        <v>1</v>
      </c>
      <c r="C38" s="192"/>
      <c r="D38" s="193"/>
      <c r="E38" s="194"/>
      <c r="F38" s="193"/>
      <c r="G38" s="194"/>
    </row>
    <row r="39" spans="2:7" ht="29.25" x14ac:dyDescent="1">
      <c r="B39" s="195" t="s">
        <v>4</v>
      </c>
      <c r="C39" s="196"/>
      <c r="D39" s="6">
        <v>0</v>
      </c>
      <c r="E39" s="1"/>
      <c r="F39" s="11">
        <v>1</v>
      </c>
      <c r="G39" s="1"/>
    </row>
    <row r="40" spans="2:7" ht="25.9" thickBot="1" x14ac:dyDescent="0.8">
      <c r="B40" s="197"/>
      <c r="C40" s="198"/>
      <c r="D40" s="7"/>
      <c r="E40" s="2">
        <v>0</v>
      </c>
      <c r="F40" s="12"/>
      <c r="G40" s="2">
        <v>3</v>
      </c>
    </row>
    <row r="41" spans="2:7" ht="29.25" x14ac:dyDescent="1">
      <c r="B41" s="195" t="s">
        <v>5</v>
      </c>
      <c r="C41" s="196"/>
      <c r="D41" s="8">
        <v>3</v>
      </c>
      <c r="E41" s="3"/>
      <c r="F41" s="13">
        <v>0</v>
      </c>
      <c r="G41" s="3"/>
    </row>
    <row r="42" spans="2:7" ht="25.9" thickBot="1" x14ac:dyDescent="0.8">
      <c r="B42" s="191"/>
      <c r="C42" s="192"/>
      <c r="D42" s="10"/>
      <c r="E42" s="5">
        <v>1</v>
      </c>
      <c r="F42" s="15"/>
      <c r="G42" s="5">
        <v>0</v>
      </c>
    </row>
    <row r="43" spans="2:7" ht="25.9" thickBot="1" x14ac:dyDescent="0.8">
      <c r="B43" s="16" t="s">
        <v>34</v>
      </c>
    </row>
    <row r="44" spans="2:7" ht="29.25" x14ac:dyDescent="1">
      <c r="B44" s="185" t="s">
        <v>0</v>
      </c>
      <c r="C44" s="186"/>
      <c r="D44" s="187" t="s">
        <v>3</v>
      </c>
      <c r="E44" s="188"/>
      <c r="F44" s="189" t="s">
        <v>2</v>
      </c>
      <c r="G44" s="190"/>
    </row>
    <row r="45" spans="2:7" ht="25.9" thickBot="1" x14ac:dyDescent="0.8">
      <c r="B45" s="191" t="s">
        <v>1</v>
      </c>
      <c r="C45" s="192"/>
      <c r="D45" s="193"/>
      <c r="E45" s="194"/>
      <c r="F45" s="193"/>
      <c r="G45" s="194"/>
    </row>
    <row r="46" spans="2:7" ht="29.25" x14ac:dyDescent="1">
      <c r="B46" s="195" t="s">
        <v>4</v>
      </c>
      <c r="C46" s="196"/>
      <c r="D46" s="6">
        <v>-1</v>
      </c>
      <c r="E46" s="1"/>
      <c r="F46" s="11">
        <v>1</v>
      </c>
      <c r="G46" s="1"/>
    </row>
    <row r="47" spans="2:7" ht="25.9" thickBot="1" x14ac:dyDescent="0.8">
      <c r="B47" s="197"/>
      <c r="C47" s="198"/>
      <c r="D47" s="7"/>
      <c r="E47" s="2">
        <v>1</v>
      </c>
      <c r="F47" s="12"/>
      <c r="G47" s="2">
        <v>-1</v>
      </c>
    </row>
    <row r="48" spans="2:7" ht="29.25" x14ac:dyDescent="1">
      <c r="B48" s="195" t="s">
        <v>5</v>
      </c>
      <c r="C48" s="196"/>
      <c r="D48" s="8">
        <v>1</v>
      </c>
      <c r="E48" s="3"/>
      <c r="F48" s="13">
        <v>-1</v>
      </c>
      <c r="G48" s="3"/>
    </row>
    <row r="49" spans="2:7" ht="25.9" thickBot="1" x14ac:dyDescent="0.8">
      <c r="B49" s="191"/>
      <c r="C49" s="192"/>
      <c r="D49" s="10"/>
      <c r="E49" s="5">
        <v>-1</v>
      </c>
      <c r="F49" s="15"/>
      <c r="G49" s="5">
        <v>1</v>
      </c>
    </row>
    <row r="50" spans="2:7" ht="25.9" thickBot="1" x14ac:dyDescent="0.8">
      <c r="B50" s="16" t="s">
        <v>36</v>
      </c>
    </row>
    <row r="51" spans="2:7" ht="29.25" x14ac:dyDescent="1">
      <c r="B51" s="185" t="s">
        <v>0</v>
      </c>
      <c r="C51" s="186"/>
      <c r="D51" s="187" t="s">
        <v>3</v>
      </c>
      <c r="E51" s="188"/>
      <c r="F51" s="189" t="s">
        <v>2</v>
      </c>
      <c r="G51" s="190"/>
    </row>
    <row r="52" spans="2:7" ht="25.9" thickBot="1" x14ac:dyDescent="0.8">
      <c r="B52" s="191" t="s">
        <v>1</v>
      </c>
      <c r="C52" s="192"/>
      <c r="D52" s="193"/>
      <c r="E52" s="194"/>
      <c r="F52" s="193"/>
      <c r="G52" s="194"/>
    </row>
    <row r="53" spans="2:7" ht="29.25" x14ac:dyDescent="1">
      <c r="B53" s="195" t="s">
        <v>4</v>
      </c>
      <c r="C53" s="196"/>
      <c r="D53" s="6">
        <v>-2</v>
      </c>
      <c r="E53" s="1"/>
      <c r="F53" s="11">
        <v>-2</v>
      </c>
      <c r="G53" s="1"/>
    </row>
    <row r="54" spans="2:7" ht="25.9" thickBot="1" x14ac:dyDescent="0.8">
      <c r="B54" s="197"/>
      <c r="C54" s="198"/>
      <c r="D54" s="7"/>
      <c r="E54" s="2">
        <v>-2</v>
      </c>
      <c r="F54" s="12"/>
      <c r="G54" s="2">
        <v>2</v>
      </c>
    </row>
    <row r="55" spans="2:7" ht="29.25" x14ac:dyDescent="1">
      <c r="B55" s="195" t="s">
        <v>5</v>
      </c>
      <c r="C55" s="196"/>
      <c r="D55" s="8">
        <v>-40</v>
      </c>
      <c r="E55" s="3"/>
      <c r="F55" s="13">
        <v>0</v>
      </c>
      <c r="G55" s="3"/>
    </row>
    <row r="56" spans="2:7" ht="25.9" thickBot="1" x14ac:dyDescent="0.8">
      <c r="B56" s="191"/>
      <c r="C56" s="192"/>
      <c r="D56" s="10"/>
      <c r="E56" s="5">
        <v>36</v>
      </c>
      <c r="F56" s="15"/>
      <c r="G56" s="5">
        <v>0</v>
      </c>
    </row>
    <row r="57" spans="2:7" x14ac:dyDescent="0.75">
      <c r="B57" s="16" t="s">
        <v>76</v>
      </c>
    </row>
    <row r="58" spans="2:7" ht="25.9" thickBot="1" x14ac:dyDescent="0.8"/>
    <row r="59" spans="2:7" ht="29.25" x14ac:dyDescent="1">
      <c r="B59" s="185" t="s">
        <v>0</v>
      </c>
      <c r="C59" s="186"/>
      <c r="D59" s="187" t="s">
        <v>3</v>
      </c>
      <c r="E59" s="188"/>
      <c r="F59" s="189" t="s">
        <v>2</v>
      </c>
      <c r="G59" s="190"/>
    </row>
    <row r="60" spans="2:7" ht="25.9" thickBot="1" x14ac:dyDescent="0.8">
      <c r="B60" s="191" t="s">
        <v>1</v>
      </c>
      <c r="C60" s="192"/>
      <c r="D60" s="193"/>
      <c r="E60" s="194"/>
      <c r="F60" s="193"/>
      <c r="G60" s="194"/>
    </row>
    <row r="61" spans="2:7" ht="29.25" x14ac:dyDescent="1">
      <c r="B61" s="195" t="s">
        <v>4</v>
      </c>
      <c r="C61" s="196"/>
      <c r="D61" s="6">
        <v>3</v>
      </c>
      <c r="E61" s="1"/>
      <c r="F61" s="11">
        <v>0</v>
      </c>
      <c r="G61" s="1"/>
    </row>
    <row r="62" spans="2:7" ht="25.9" thickBot="1" x14ac:dyDescent="0.8">
      <c r="B62" s="197"/>
      <c r="C62" s="198"/>
      <c r="D62" s="7"/>
      <c r="E62" s="2">
        <v>3</v>
      </c>
      <c r="F62" s="12"/>
      <c r="G62" s="2">
        <v>5</v>
      </c>
    </row>
    <row r="63" spans="2:7" ht="29.25" x14ac:dyDescent="1">
      <c r="B63" s="195" t="s">
        <v>5</v>
      </c>
      <c r="C63" s="196"/>
      <c r="D63" s="8">
        <v>5</v>
      </c>
      <c r="E63" s="3"/>
      <c r="F63" s="13">
        <v>1</v>
      </c>
      <c r="G63" s="3"/>
    </row>
    <row r="64" spans="2:7" ht="25.9" thickBot="1" x14ac:dyDescent="0.8">
      <c r="B64" s="191"/>
      <c r="C64" s="192"/>
      <c r="D64" s="10"/>
      <c r="E64" s="5">
        <v>0</v>
      </c>
      <c r="F64" s="15"/>
      <c r="G64" s="5">
        <v>1</v>
      </c>
    </row>
  </sheetData>
  <mergeCells count="90"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  <mergeCell ref="B46:C46"/>
    <mergeCell ref="B47:C47"/>
    <mergeCell ref="B48:C48"/>
    <mergeCell ref="B49:C49"/>
    <mergeCell ref="B51:C51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32:C32"/>
    <mergeCell ref="B33:C33"/>
    <mergeCell ref="B34:C34"/>
    <mergeCell ref="B35:C35"/>
    <mergeCell ref="B37:C37"/>
    <mergeCell ref="D24:E24"/>
    <mergeCell ref="F24:G24"/>
    <mergeCell ref="B30:C30"/>
    <mergeCell ref="D30:E30"/>
    <mergeCell ref="F30:G30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B21:C21"/>
    <mergeCell ref="D23:E23"/>
    <mergeCell ref="F23:G23"/>
    <mergeCell ref="B17:C17"/>
    <mergeCell ref="B18:C18"/>
    <mergeCell ref="B19:C19"/>
    <mergeCell ref="D17:E17"/>
    <mergeCell ref="F17:G17"/>
    <mergeCell ref="B14:C14"/>
    <mergeCell ref="B16:C16"/>
    <mergeCell ref="D16:E16"/>
    <mergeCell ref="F16:G16"/>
    <mergeCell ref="B11:C11"/>
    <mergeCell ref="B12:C12"/>
    <mergeCell ref="B13:C13"/>
    <mergeCell ref="B4:C4"/>
    <mergeCell ref="B5:C5"/>
    <mergeCell ref="B6:C6"/>
    <mergeCell ref="B7:C7"/>
    <mergeCell ref="B2:C2"/>
    <mergeCell ref="D2:E2"/>
    <mergeCell ref="F2:G2"/>
    <mergeCell ref="B3:C3"/>
    <mergeCell ref="D3:E3"/>
    <mergeCell ref="F3:G3"/>
    <mergeCell ref="D59:E59"/>
    <mergeCell ref="F59:G59"/>
    <mergeCell ref="B60:C60"/>
    <mergeCell ref="D60:E60"/>
    <mergeCell ref="F60:G60"/>
    <mergeCell ref="B61:C61"/>
    <mergeCell ref="B62:C62"/>
    <mergeCell ref="B63:C63"/>
    <mergeCell ref="B64:C64"/>
    <mergeCell ref="B59:C5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topLeftCell="A10" zoomScale="64" zoomScaleNormal="50" workbookViewId="0">
      <selection activeCell="B2" sqref="B2:G2"/>
    </sheetView>
  </sheetViews>
  <sheetFormatPr baseColWidth="10" defaultColWidth="10.77734375" defaultRowHeight="25.5" x14ac:dyDescent="0.75"/>
  <cols>
    <col min="1" max="1" width="2.29296875" style="16" customWidth="1"/>
    <col min="2" max="7" width="10.77734375" style="16"/>
    <col min="8" max="8" width="2.2578125" style="16" customWidth="1"/>
    <col min="9" max="16384" width="10.77734375" style="16"/>
  </cols>
  <sheetData>
    <row r="1" spans="1:12" x14ac:dyDescent="0.75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.25" customHeight="1" x14ac:dyDescent="0.75">
      <c r="A2" s="24"/>
      <c r="B2" s="299" t="s">
        <v>50</v>
      </c>
      <c r="C2" s="299"/>
      <c r="D2" s="299"/>
      <c r="E2" s="299"/>
      <c r="F2" s="299"/>
      <c r="G2" s="299"/>
      <c r="H2" s="24"/>
      <c r="I2" s="24"/>
      <c r="J2" s="24"/>
      <c r="K2" s="24"/>
      <c r="L2" s="24"/>
    </row>
    <row r="3" spans="1:12" ht="25.9" thickBot="1" x14ac:dyDescent="0.8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29.25" x14ac:dyDescent="1">
      <c r="A4" s="24"/>
      <c r="B4" s="185" t="s">
        <v>0</v>
      </c>
      <c r="C4" s="186"/>
      <c r="D4" s="187" t="s">
        <v>3</v>
      </c>
      <c r="E4" s="188"/>
      <c r="F4" s="189" t="s">
        <v>2</v>
      </c>
      <c r="G4" s="190"/>
      <c r="H4" s="24"/>
      <c r="I4" s="298" t="s">
        <v>48</v>
      </c>
      <c r="J4" s="298"/>
      <c r="K4" s="298"/>
      <c r="L4" s="298"/>
    </row>
    <row r="5" spans="1:12" ht="25.9" thickBot="1" x14ac:dyDescent="0.8">
      <c r="A5" s="24"/>
      <c r="B5" s="191" t="s">
        <v>1</v>
      </c>
      <c r="C5" s="192"/>
      <c r="D5" s="193"/>
      <c r="E5" s="194"/>
      <c r="F5" s="193"/>
      <c r="G5" s="194"/>
      <c r="H5" s="24"/>
      <c r="I5" s="298"/>
      <c r="J5" s="298"/>
      <c r="K5" s="298"/>
      <c r="L5" s="298"/>
    </row>
    <row r="6" spans="1:12" ht="29.25" x14ac:dyDescent="1">
      <c r="A6" s="24"/>
      <c r="B6" s="195" t="s">
        <v>4</v>
      </c>
      <c r="C6" s="196"/>
      <c r="D6" s="6">
        <v>1</v>
      </c>
      <c r="E6" s="1"/>
      <c r="F6" s="11">
        <v>0</v>
      </c>
      <c r="G6" s="1"/>
      <c r="H6" s="24"/>
      <c r="I6" s="298"/>
      <c r="J6" s="298"/>
      <c r="K6" s="298"/>
      <c r="L6" s="298"/>
    </row>
    <row r="7" spans="1:12" ht="25.9" thickBot="1" x14ac:dyDescent="0.8">
      <c r="A7" s="24"/>
      <c r="B7" s="197"/>
      <c r="C7" s="198"/>
      <c r="D7" s="7"/>
      <c r="E7" s="2">
        <v>1</v>
      </c>
      <c r="F7" s="12"/>
      <c r="G7" s="2">
        <v>0</v>
      </c>
      <c r="H7" s="24"/>
      <c r="I7" s="298"/>
      <c r="J7" s="298"/>
      <c r="K7" s="298"/>
      <c r="L7" s="298"/>
    </row>
    <row r="8" spans="1:12" ht="29.25" x14ac:dyDescent="1">
      <c r="A8" s="24"/>
      <c r="B8" s="195" t="s">
        <v>5</v>
      </c>
      <c r="C8" s="196"/>
      <c r="D8" s="8">
        <v>0</v>
      </c>
      <c r="E8" s="3"/>
      <c r="F8" s="13">
        <v>1</v>
      </c>
      <c r="G8" s="3"/>
      <c r="H8" s="24"/>
      <c r="I8" s="298"/>
      <c r="J8" s="298"/>
      <c r="K8" s="298"/>
      <c r="L8" s="298"/>
    </row>
    <row r="9" spans="1:12" ht="25.9" thickBot="1" x14ac:dyDescent="0.8">
      <c r="A9" s="24"/>
      <c r="B9" s="191"/>
      <c r="C9" s="192"/>
      <c r="D9" s="10"/>
      <c r="E9" s="5">
        <v>0</v>
      </c>
      <c r="F9" s="15"/>
      <c r="G9" s="5">
        <v>1</v>
      </c>
      <c r="H9" s="24"/>
      <c r="I9" s="298"/>
      <c r="J9" s="298"/>
      <c r="K9" s="298"/>
      <c r="L9" s="298"/>
    </row>
    <row r="10" spans="1:12" ht="25.9" thickBot="1" x14ac:dyDescent="0.8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1">
      <c r="A11" s="24"/>
      <c r="B11" s="185" t="s">
        <v>0</v>
      </c>
      <c r="C11" s="186"/>
      <c r="D11" s="187" t="s">
        <v>3</v>
      </c>
      <c r="E11" s="188"/>
      <c r="F11" s="189" t="s">
        <v>2</v>
      </c>
      <c r="G11" s="190"/>
      <c r="H11" s="24"/>
      <c r="I11" s="298" t="s">
        <v>56</v>
      </c>
      <c r="J11" s="298"/>
      <c r="K11" s="298"/>
      <c r="L11" s="298"/>
    </row>
    <row r="12" spans="1:12" ht="25.9" thickBot="1" x14ac:dyDescent="0.8">
      <c r="A12" s="24"/>
      <c r="B12" s="191" t="s">
        <v>1</v>
      </c>
      <c r="C12" s="192"/>
      <c r="D12" s="193"/>
      <c r="E12" s="194"/>
      <c r="F12" s="193"/>
      <c r="G12" s="194"/>
      <c r="H12" s="24"/>
      <c r="I12" s="298"/>
      <c r="J12" s="298"/>
      <c r="K12" s="298"/>
      <c r="L12" s="298"/>
    </row>
    <row r="13" spans="1:12" ht="29.25" x14ac:dyDescent="1">
      <c r="A13" s="24"/>
      <c r="B13" s="195" t="s">
        <v>4</v>
      </c>
      <c r="C13" s="196"/>
      <c r="D13" s="6">
        <v>2</v>
      </c>
      <c r="E13" s="1"/>
      <c r="F13" s="11">
        <v>0</v>
      </c>
      <c r="G13" s="1"/>
      <c r="H13" s="24"/>
      <c r="I13" s="298"/>
      <c r="J13" s="298"/>
      <c r="K13" s="298"/>
      <c r="L13" s="298"/>
    </row>
    <row r="14" spans="1:12" ht="25.9" thickBot="1" x14ac:dyDescent="0.8">
      <c r="A14" s="24"/>
      <c r="B14" s="197"/>
      <c r="C14" s="198"/>
      <c r="D14" s="7"/>
      <c r="E14" s="2">
        <v>2</v>
      </c>
      <c r="F14" s="12"/>
      <c r="G14" s="2">
        <v>0</v>
      </c>
      <c r="H14" s="24"/>
      <c r="I14" s="298"/>
      <c r="J14" s="298"/>
      <c r="K14" s="298"/>
      <c r="L14" s="298"/>
    </row>
    <row r="15" spans="1:12" ht="29.25" x14ac:dyDescent="1">
      <c r="A15" s="24"/>
      <c r="B15" s="195" t="s">
        <v>5</v>
      </c>
      <c r="C15" s="196"/>
      <c r="D15" s="8">
        <v>0</v>
      </c>
      <c r="E15" s="3"/>
      <c r="F15" s="13">
        <v>1</v>
      </c>
      <c r="G15" s="3"/>
      <c r="H15" s="24"/>
      <c r="I15" s="298"/>
      <c r="J15" s="298"/>
      <c r="K15" s="298"/>
      <c r="L15" s="298"/>
    </row>
    <row r="16" spans="1:12" ht="25.9" thickBot="1" x14ac:dyDescent="0.8">
      <c r="A16" s="24"/>
      <c r="B16" s="191"/>
      <c r="C16" s="192"/>
      <c r="D16" s="10"/>
      <c r="E16" s="5">
        <v>0</v>
      </c>
      <c r="F16" s="15"/>
      <c r="G16" s="5">
        <v>1</v>
      </c>
      <c r="H16" s="24"/>
      <c r="I16" s="298"/>
      <c r="J16" s="298"/>
      <c r="K16" s="298"/>
      <c r="L16" s="298"/>
    </row>
    <row r="17" spans="1:12" ht="25.9" thickBot="1" x14ac:dyDescent="0.8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29.25" x14ac:dyDescent="1">
      <c r="A18" s="24"/>
      <c r="B18" s="185" t="s">
        <v>0</v>
      </c>
      <c r="C18" s="186"/>
      <c r="D18" s="187" t="s">
        <v>3</v>
      </c>
      <c r="E18" s="188"/>
      <c r="F18" s="189" t="s">
        <v>2</v>
      </c>
      <c r="G18" s="190"/>
      <c r="H18" s="24"/>
      <c r="I18" s="298" t="s">
        <v>57</v>
      </c>
      <c r="J18" s="298"/>
      <c r="K18" s="298"/>
      <c r="L18" s="298"/>
    </row>
    <row r="19" spans="1:12" ht="25.9" thickBot="1" x14ac:dyDescent="0.8">
      <c r="A19" s="24"/>
      <c r="B19" s="191" t="s">
        <v>1</v>
      </c>
      <c r="C19" s="192"/>
      <c r="D19" s="193"/>
      <c r="E19" s="194"/>
      <c r="F19" s="193"/>
      <c r="G19" s="194"/>
      <c r="H19" s="24"/>
      <c r="I19" s="298"/>
      <c r="J19" s="298"/>
      <c r="K19" s="298"/>
      <c r="L19" s="298"/>
    </row>
    <row r="20" spans="1:12" ht="29.25" x14ac:dyDescent="1">
      <c r="A20" s="24"/>
      <c r="B20" s="195" t="s">
        <v>4</v>
      </c>
      <c r="C20" s="196"/>
      <c r="D20" s="6">
        <v>2</v>
      </c>
      <c r="E20" s="1"/>
      <c r="F20" s="11">
        <v>0</v>
      </c>
      <c r="G20" s="1"/>
      <c r="H20" s="24"/>
      <c r="I20" s="298"/>
      <c r="J20" s="298"/>
      <c r="K20" s="298"/>
      <c r="L20" s="298"/>
    </row>
    <row r="21" spans="1:12" ht="25.9" thickBot="1" x14ac:dyDescent="0.8">
      <c r="A21" s="24"/>
      <c r="B21" s="197"/>
      <c r="C21" s="198"/>
      <c r="D21" s="7"/>
      <c r="E21" s="2">
        <v>1</v>
      </c>
      <c r="F21" s="12"/>
      <c r="G21" s="2">
        <v>0</v>
      </c>
      <c r="H21" s="24"/>
      <c r="I21" s="298"/>
      <c r="J21" s="298"/>
      <c r="K21" s="298"/>
      <c r="L21" s="298"/>
    </row>
    <row r="22" spans="1:12" ht="29.25" x14ac:dyDescent="1">
      <c r="A22" s="24"/>
      <c r="B22" s="195" t="s">
        <v>5</v>
      </c>
      <c r="C22" s="196"/>
      <c r="D22" s="8">
        <v>0</v>
      </c>
      <c r="E22" s="3"/>
      <c r="F22" s="13">
        <v>1</v>
      </c>
      <c r="G22" s="3"/>
      <c r="H22" s="24"/>
      <c r="I22" s="298"/>
      <c r="J22" s="298"/>
      <c r="K22" s="298"/>
      <c r="L22" s="298"/>
    </row>
    <row r="23" spans="1:12" ht="25.9" thickBot="1" x14ac:dyDescent="0.8">
      <c r="A23" s="24"/>
      <c r="B23" s="191"/>
      <c r="C23" s="192"/>
      <c r="D23" s="10"/>
      <c r="E23" s="5">
        <v>0</v>
      </c>
      <c r="F23" s="15"/>
      <c r="G23" s="5">
        <v>2</v>
      </c>
      <c r="H23" s="24"/>
      <c r="I23" s="298"/>
      <c r="J23" s="298"/>
      <c r="K23" s="298"/>
      <c r="L23" s="298"/>
    </row>
    <row r="24" spans="1:12" ht="25.9" thickBot="1" x14ac:dyDescent="0.8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29.25" x14ac:dyDescent="1">
      <c r="A25" s="24"/>
      <c r="B25" s="185" t="s">
        <v>0</v>
      </c>
      <c r="C25" s="186"/>
      <c r="D25" s="187" t="s">
        <v>3</v>
      </c>
      <c r="E25" s="188"/>
      <c r="F25" s="189" t="s">
        <v>2</v>
      </c>
      <c r="G25" s="190"/>
      <c r="H25" s="24"/>
      <c r="I25" s="298" t="s">
        <v>65</v>
      </c>
      <c r="J25" s="298"/>
      <c r="K25" s="298"/>
      <c r="L25" s="298"/>
    </row>
    <row r="26" spans="1:12" ht="25.9" thickBot="1" x14ac:dyDescent="0.8">
      <c r="A26" s="24"/>
      <c r="B26" s="191" t="s">
        <v>1</v>
      </c>
      <c r="C26" s="192"/>
      <c r="D26" s="193"/>
      <c r="E26" s="194"/>
      <c r="F26" s="193"/>
      <c r="G26" s="194"/>
      <c r="H26" s="24"/>
      <c r="I26" s="298"/>
      <c r="J26" s="298"/>
      <c r="K26" s="298"/>
      <c r="L26" s="298"/>
    </row>
    <row r="27" spans="1:12" ht="29.25" x14ac:dyDescent="1">
      <c r="A27" s="24"/>
      <c r="B27" s="195" t="s">
        <v>4</v>
      </c>
      <c r="C27" s="196"/>
      <c r="D27" s="6">
        <v>-2</v>
      </c>
      <c r="E27" s="1"/>
      <c r="F27" s="11">
        <v>-2</v>
      </c>
      <c r="G27" s="1"/>
      <c r="H27" s="24"/>
      <c r="I27" s="298"/>
      <c r="J27" s="298"/>
      <c r="K27" s="298"/>
      <c r="L27" s="298"/>
    </row>
    <row r="28" spans="1:12" ht="25.9" thickBot="1" x14ac:dyDescent="0.8">
      <c r="A28" s="24"/>
      <c r="B28" s="197"/>
      <c r="C28" s="198"/>
      <c r="D28" s="7"/>
      <c r="E28" s="2">
        <v>-2</v>
      </c>
      <c r="F28" s="12"/>
      <c r="G28" s="2">
        <v>2</v>
      </c>
      <c r="H28" s="24"/>
      <c r="I28" s="298"/>
      <c r="J28" s="298"/>
      <c r="K28" s="298"/>
      <c r="L28" s="298"/>
    </row>
    <row r="29" spans="1:12" ht="29.25" x14ac:dyDescent="1">
      <c r="A29" s="24"/>
      <c r="B29" s="195" t="s">
        <v>5</v>
      </c>
      <c r="C29" s="196"/>
      <c r="D29" s="8">
        <v>-40</v>
      </c>
      <c r="E29" s="3"/>
      <c r="F29" s="13">
        <v>0</v>
      </c>
      <c r="G29" s="3"/>
      <c r="H29" s="24"/>
      <c r="I29" s="298"/>
      <c r="J29" s="298"/>
      <c r="K29" s="298"/>
      <c r="L29" s="298"/>
    </row>
    <row r="30" spans="1:12" ht="25.9" thickBot="1" x14ac:dyDescent="0.8">
      <c r="A30" s="24"/>
      <c r="B30" s="191"/>
      <c r="C30" s="192"/>
      <c r="D30" s="10"/>
      <c r="E30" s="5">
        <v>36</v>
      </c>
      <c r="F30" s="15"/>
      <c r="G30" s="5">
        <v>0</v>
      </c>
      <c r="H30" s="24"/>
      <c r="I30" s="298"/>
      <c r="J30" s="298"/>
      <c r="K30" s="298"/>
      <c r="L30" s="298"/>
    </row>
    <row r="31" spans="1:12" ht="25.9" thickBot="1" x14ac:dyDescent="0.8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29.25" x14ac:dyDescent="1">
      <c r="A32" s="24"/>
      <c r="B32" s="185" t="s">
        <v>0</v>
      </c>
      <c r="C32" s="186"/>
      <c r="D32" s="187" t="s">
        <v>3</v>
      </c>
      <c r="E32" s="188"/>
      <c r="F32" s="189" t="s">
        <v>2</v>
      </c>
      <c r="G32" s="190"/>
      <c r="H32" s="24"/>
      <c r="I32" s="298" t="s">
        <v>66</v>
      </c>
      <c r="J32" s="298"/>
      <c r="K32" s="298"/>
      <c r="L32" s="298"/>
    </row>
    <row r="33" spans="1:12" ht="25.9" thickBot="1" x14ac:dyDescent="0.8">
      <c r="A33" s="24"/>
      <c r="B33" s="191" t="s">
        <v>1</v>
      </c>
      <c r="C33" s="192"/>
      <c r="D33" s="193"/>
      <c r="E33" s="194"/>
      <c r="F33" s="193"/>
      <c r="G33" s="194"/>
      <c r="H33" s="24"/>
      <c r="I33" s="298"/>
      <c r="J33" s="298"/>
      <c r="K33" s="298"/>
      <c r="L33" s="298"/>
    </row>
    <row r="34" spans="1:12" ht="29.25" x14ac:dyDescent="1">
      <c r="A34" s="24"/>
      <c r="B34" s="195" t="s">
        <v>4</v>
      </c>
      <c r="C34" s="196"/>
      <c r="D34" s="6">
        <v>4</v>
      </c>
      <c r="E34" s="1"/>
      <c r="F34" s="11">
        <v>1</v>
      </c>
      <c r="G34" s="1"/>
      <c r="H34" s="24"/>
      <c r="I34" s="298"/>
      <c r="J34" s="298"/>
      <c r="K34" s="298"/>
      <c r="L34" s="298"/>
    </row>
    <row r="35" spans="1:12" ht="25.9" thickBot="1" x14ac:dyDescent="0.8">
      <c r="A35" s="24"/>
      <c r="B35" s="197"/>
      <c r="C35" s="198"/>
      <c r="D35" s="7"/>
      <c r="E35" s="2">
        <v>4</v>
      </c>
      <c r="F35" s="12"/>
      <c r="G35" s="2">
        <v>3</v>
      </c>
      <c r="H35" s="24"/>
      <c r="I35" s="298"/>
      <c r="J35" s="298"/>
      <c r="K35" s="298"/>
      <c r="L35" s="298"/>
    </row>
    <row r="36" spans="1:12" ht="29.25" x14ac:dyDescent="1">
      <c r="A36" s="24"/>
      <c r="B36" s="195" t="s">
        <v>5</v>
      </c>
      <c r="C36" s="196"/>
      <c r="D36" s="8">
        <v>3</v>
      </c>
      <c r="E36" s="3"/>
      <c r="F36" s="13">
        <v>2</v>
      </c>
      <c r="G36" s="3"/>
      <c r="H36" s="24"/>
      <c r="I36" s="298"/>
      <c r="J36" s="298"/>
      <c r="K36" s="298"/>
      <c r="L36" s="298"/>
    </row>
    <row r="37" spans="1:12" ht="25.9" thickBot="1" x14ac:dyDescent="0.8">
      <c r="A37" s="24"/>
      <c r="B37" s="191"/>
      <c r="C37" s="192"/>
      <c r="D37" s="10"/>
      <c r="E37" s="5">
        <v>1</v>
      </c>
      <c r="F37" s="15"/>
      <c r="G37" s="5">
        <v>2</v>
      </c>
      <c r="H37" s="24"/>
      <c r="I37" s="298"/>
      <c r="J37" s="298"/>
      <c r="K37" s="298"/>
      <c r="L37" s="298"/>
    </row>
    <row r="38" spans="1:12" ht="25.9" thickBot="1" x14ac:dyDescent="0.8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29.25" x14ac:dyDescent="1">
      <c r="A39" s="24"/>
      <c r="B39" s="185" t="s">
        <v>0</v>
      </c>
      <c r="C39" s="186"/>
      <c r="D39" s="187" t="s">
        <v>3</v>
      </c>
      <c r="E39" s="188"/>
      <c r="F39" s="189" t="s">
        <v>2</v>
      </c>
      <c r="G39" s="190"/>
      <c r="H39" s="24"/>
      <c r="I39" s="298" t="s">
        <v>67</v>
      </c>
      <c r="J39" s="298"/>
      <c r="K39" s="298"/>
      <c r="L39" s="298"/>
    </row>
    <row r="40" spans="1:12" ht="25.9" thickBot="1" x14ac:dyDescent="0.8">
      <c r="A40" s="24"/>
      <c r="B40" s="191" t="s">
        <v>1</v>
      </c>
      <c r="C40" s="192"/>
      <c r="D40" s="193"/>
      <c r="E40" s="194"/>
      <c r="F40" s="193"/>
      <c r="G40" s="194"/>
      <c r="H40" s="24"/>
      <c r="I40" s="298"/>
      <c r="J40" s="298"/>
      <c r="K40" s="298"/>
      <c r="L40" s="298"/>
    </row>
    <row r="41" spans="1:12" ht="29.25" x14ac:dyDescent="1">
      <c r="A41" s="24"/>
      <c r="B41" s="195" t="s">
        <v>4</v>
      </c>
      <c r="C41" s="196"/>
      <c r="D41" s="6">
        <v>0</v>
      </c>
      <c r="E41" s="1"/>
      <c r="F41" s="11">
        <v>1</v>
      </c>
      <c r="G41" s="1"/>
      <c r="H41" s="24"/>
      <c r="I41" s="298"/>
      <c r="J41" s="298"/>
      <c r="K41" s="298"/>
      <c r="L41" s="298"/>
    </row>
    <row r="42" spans="1:12" ht="25.9" thickBot="1" x14ac:dyDescent="0.8">
      <c r="A42" s="24"/>
      <c r="B42" s="197"/>
      <c r="C42" s="198"/>
      <c r="D42" s="7"/>
      <c r="E42" s="2">
        <v>1</v>
      </c>
      <c r="F42" s="12"/>
      <c r="G42" s="2">
        <v>0</v>
      </c>
      <c r="H42" s="24"/>
      <c r="I42" s="298"/>
      <c r="J42" s="298"/>
      <c r="K42" s="298"/>
      <c r="L42" s="298"/>
    </row>
    <row r="43" spans="1:12" ht="29.25" x14ac:dyDescent="1">
      <c r="A43" s="24"/>
      <c r="B43" s="195" t="s">
        <v>5</v>
      </c>
      <c r="C43" s="196"/>
      <c r="D43" s="8">
        <v>1</v>
      </c>
      <c r="E43" s="3"/>
      <c r="F43" s="13">
        <v>0</v>
      </c>
      <c r="G43" s="3"/>
      <c r="H43" s="24"/>
      <c r="I43" s="298"/>
      <c r="J43" s="298"/>
      <c r="K43" s="298"/>
      <c r="L43" s="298"/>
    </row>
    <row r="44" spans="1:12" ht="25.9" thickBot="1" x14ac:dyDescent="0.8">
      <c r="A44" s="24"/>
      <c r="B44" s="191"/>
      <c r="C44" s="192"/>
      <c r="D44" s="10"/>
      <c r="E44" s="5">
        <v>0</v>
      </c>
      <c r="F44" s="15"/>
      <c r="G44" s="5">
        <v>1</v>
      </c>
      <c r="H44" s="24"/>
      <c r="I44" s="298"/>
      <c r="J44" s="298"/>
      <c r="K44" s="298"/>
      <c r="L44" s="298"/>
    </row>
  </sheetData>
  <mergeCells count="67"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18" sqref="B18:J18"/>
    </sheetView>
  </sheetViews>
  <sheetFormatPr baseColWidth="10" defaultColWidth="10.77734375" defaultRowHeight="25.5" x14ac:dyDescent="0.75"/>
  <cols>
    <col min="1" max="1" width="2.29296875" style="16" customWidth="1"/>
    <col min="2" max="7" width="10.77734375" style="16"/>
    <col min="8" max="8" width="2.2578125" style="16" customWidth="1"/>
    <col min="9" max="16384" width="10.77734375" style="16"/>
  </cols>
  <sheetData>
    <row r="1" spans="1:12" x14ac:dyDescent="0.75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.25" customHeight="1" x14ac:dyDescent="0.75">
      <c r="A2" s="24"/>
      <c r="B2" s="299" t="s">
        <v>53</v>
      </c>
      <c r="C2" s="299"/>
      <c r="D2" s="299"/>
      <c r="E2" s="299"/>
      <c r="F2" s="299"/>
      <c r="G2" s="299"/>
      <c r="H2" s="24"/>
      <c r="I2" s="24"/>
      <c r="J2" s="24"/>
      <c r="K2" s="24"/>
      <c r="L2" s="24"/>
    </row>
    <row r="3" spans="1:12" ht="25.9" thickBot="1" x14ac:dyDescent="0.8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29.25" x14ac:dyDescent="1">
      <c r="A4" s="24"/>
      <c r="B4" s="185" t="s">
        <v>0</v>
      </c>
      <c r="C4" s="186"/>
      <c r="D4" s="187" t="s">
        <v>3</v>
      </c>
      <c r="E4" s="188"/>
      <c r="F4" s="189" t="s">
        <v>2</v>
      </c>
      <c r="G4" s="190"/>
      <c r="H4" s="24"/>
      <c r="I4" s="298"/>
      <c r="J4" s="298"/>
      <c r="K4" s="298"/>
      <c r="L4" s="298"/>
    </row>
    <row r="5" spans="1:12" ht="25.9" thickBot="1" x14ac:dyDescent="0.8">
      <c r="A5" s="24"/>
      <c r="B5" s="191" t="s">
        <v>1</v>
      </c>
      <c r="C5" s="192"/>
      <c r="D5" s="193"/>
      <c r="E5" s="194"/>
      <c r="F5" s="193"/>
      <c r="G5" s="194"/>
      <c r="H5" s="24"/>
      <c r="I5" s="298"/>
      <c r="J5" s="298"/>
      <c r="K5" s="298"/>
      <c r="L5" s="298"/>
    </row>
    <row r="6" spans="1:12" ht="29.25" x14ac:dyDescent="1">
      <c r="A6" s="24"/>
      <c r="B6" s="195" t="s">
        <v>4</v>
      </c>
      <c r="C6" s="196"/>
      <c r="D6" s="6">
        <v>2</v>
      </c>
      <c r="E6" s="1"/>
      <c r="F6" s="11">
        <v>1</v>
      </c>
      <c r="G6" s="1"/>
      <c r="H6" s="24"/>
      <c r="I6" s="298"/>
      <c r="J6" s="298"/>
      <c r="K6" s="298"/>
      <c r="L6" s="298"/>
    </row>
    <row r="7" spans="1:12" ht="25.9" thickBot="1" x14ac:dyDescent="0.8">
      <c r="A7" s="24"/>
      <c r="B7" s="197"/>
      <c r="C7" s="198"/>
      <c r="D7" s="7"/>
      <c r="E7" s="2">
        <v>2</v>
      </c>
      <c r="F7" s="12"/>
      <c r="G7" s="2">
        <v>3</v>
      </c>
      <c r="H7" s="24"/>
      <c r="I7" s="298"/>
      <c r="J7" s="298"/>
      <c r="K7" s="298"/>
      <c r="L7" s="298"/>
    </row>
    <row r="8" spans="1:12" ht="29.25" x14ac:dyDescent="1">
      <c r="A8" s="24"/>
      <c r="B8" s="195" t="s">
        <v>5</v>
      </c>
      <c r="C8" s="196"/>
      <c r="D8" s="8">
        <v>3</v>
      </c>
      <c r="E8" s="3"/>
      <c r="F8" s="13">
        <v>0</v>
      </c>
      <c r="G8" s="3"/>
      <c r="H8" s="24"/>
      <c r="I8" s="298"/>
      <c r="J8" s="298"/>
      <c r="K8" s="298"/>
      <c r="L8" s="298"/>
    </row>
    <row r="9" spans="1:12" ht="25.9" thickBot="1" x14ac:dyDescent="0.8">
      <c r="A9" s="24"/>
      <c r="B9" s="191"/>
      <c r="C9" s="192"/>
      <c r="D9" s="10"/>
      <c r="E9" s="5">
        <v>1</v>
      </c>
      <c r="F9" s="15"/>
      <c r="G9" s="5">
        <v>0</v>
      </c>
      <c r="H9" s="24"/>
      <c r="I9" s="298"/>
      <c r="J9" s="298"/>
      <c r="K9" s="298"/>
      <c r="L9" s="298"/>
    </row>
    <row r="10" spans="1:12" ht="25.9" thickBot="1" x14ac:dyDescent="0.8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29.25" x14ac:dyDescent="1">
      <c r="A11" s="24"/>
      <c r="B11" s="185" t="s">
        <v>0</v>
      </c>
      <c r="C11" s="186"/>
      <c r="D11" s="187" t="s">
        <v>3</v>
      </c>
      <c r="E11" s="188"/>
      <c r="F11" s="189" t="s">
        <v>2</v>
      </c>
      <c r="G11" s="190"/>
      <c r="H11" s="24"/>
      <c r="I11" s="298"/>
      <c r="J11" s="298"/>
      <c r="K11" s="298"/>
      <c r="L11" s="298"/>
    </row>
    <row r="12" spans="1:12" ht="25.9" thickBot="1" x14ac:dyDescent="0.8">
      <c r="A12" s="24"/>
      <c r="B12" s="191" t="s">
        <v>1</v>
      </c>
      <c r="C12" s="192"/>
      <c r="D12" s="193"/>
      <c r="E12" s="194"/>
      <c r="F12" s="193"/>
      <c r="G12" s="194"/>
      <c r="H12" s="24"/>
      <c r="I12" s="298"/>
      <c r="J12" s="298"/>
      <c r="K12" s="298"/>
      <c r="L12" s="298"/>
    </row>
    <row r="13" spans="1:12" ht="29.25" x14ac:dyDescent="1">
      <c r="A13" s="24"/>
      <c r="B13" s="195" t="s">
        <v>4</v>
      </c>
      <c r="C13" s="196"/>
      <c r="D13" s="6">
        <v>3</v>
      </c>
      <c r="E13" s="1"/>
      <c r="F13" s="11">
        <v>0</v>
      </c>
      <c r="G13" s="1"/>
      <c r="H13" s="24"/>
      <c r="I13" s="298"/>
      <c r="J13" s="298"/>
      <c r="K13" s="298"/>
      <c r="L13" s="298"/>
    </row>
    <row r="14" spans="1:12" ht="25.9" thickBot="1" x14ac:dyDescent="0.8">
      <c r="A14" s="24"/>
      <c r="B14" s="197"/>
      <c r="C14" s="198"/>
      <c r="D14" s="7"/>
      <c r="E14" s="2">
        <v>3</v>
      </c>
      <c r="F14" s="12"/>
      <c r="G14" s="2">
        <v>5</v>
      </c>
      <c r="H14" s="24"/>
      <c r="I14" s="298"/>
      <c r="J14" s="298"/>
      <c r="K14" s="298"/>
      <c r="L14" s="298"/>
    </row>
    <row r="15" spans="1:12" ht="29.25" x14ac:dyDescent="1">
      <c r="A15" s="24"/>
      <c r="B15" s="195" t="s">
        <v>5</v>
      </c>
      <c r="C15" s="196"/>
      <c r="D15" s="8">
        <v>5</v>
      </c>
      <c r="E15" s="3"/>
      <c r="F15" s="13">
        <v>1</v>
      </c>
      <c r="G15" s="3"/>
      <c r="H15" s="24"/>
      <c r="I15" s="298"/>
      <c r="J15" s="298"/>
      <c r="K15" s="298"/>
      <c r="L15" s="298"/>
    </row>
    <row r="16" spans="1:12" ht="25.9" thickBot="1" x14ac:dyDescent="0.8">
      <c r="A16" s="24"/>
      <c r="B16" s="191"/>
      <c r="C16" s="192"/>
      <c r="D16" s="10"/>
      <c r="E16" s="5">
        <v>0</v>
      </c>
      <c r="F16" s="15"/>
      <c r="G16" s="5">
        <v>1</v>
      </c>
      <c r="H16" s="24"/>
      <c r="I16" s="298"/>
      <c r="J16" s="298"/>
      <c r="K16" s="298"/>
      <c r="L16" s="298"/>
    </row>
    <row r="17" spans="1:12" x14ac:dyDescent="0.75">
      <c r="A17" s="24"/>
      <c r="B17" s="80"/>
      <c r="C17" s="80"/>
      <c r="D17" s="80"/>
      <c r="E17" s="80"/>
      <c r="F17" s="80"/>
      <c r="G17" s="80"/>
      <c r="H17" s="24"/>
      <c r="I17" s="80"/>
      <c r="J17" s="80"/>
      <c r="K17" s="80"/>
      <c r="L17" s="80"/>
    </row>
    <row r="18" spans="1:12" x14ac:dyDescent="0.75">
      <c r="A18" s="24"/>
      <c r="B18" s="300" t="s">
        <v>151</v>
      </c>
      <c r="C18" s="300"/>
      <c r="D18" s="300"/>
      <c r="E18" s="300"/>
      <c r="F18" s="300"/>
      <c r="G18" s="300"/>
      <c r="H18" s="300"/>
      <c r="I18" s="300"/>
      <c r="J18" s="300"/>
      <c r="K18" s="80"/>
      <c r="L18" s="80"/>
    </row>
    <row r="19" spans="1:12" ht="25.9" thickBot="1" x14ac:dyDescent="0.8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29.25" x14ac:dyDescent="1">
      <c r="A20" s="24"/>
      <c r="B20" s="185" t="s">
        <v>0</v>
      </c>
      <c r="C20" s="186"/>
      <c r="D20" s="187" t="s">
        <v>3</v>
      </c>
      <c r="E20" s="188"/>
      <c r="F20" s="189" t="s">
        <v>2</v>
      </c>
      <c r="G20" s="190"/>
      <c r="H20" s="24"/>
      <c r="I20" s="298" t="s">
        <v>54</v>
      </c>
      <c r="J20" s="298"/>
      <c r="K20" s="298"/>
      <c r="L20" s="298"/>
    </row>
    <row r="21" spans="1:12" ht="25.9" thickBot="1" x14ac:dyDescent="0.8">
      <c r="A21" s="24"/>
      <c r="B21" s="191" t="s">
        <v>1</v>
      </c>
      <c r="C21" s="192"/>
      <c r="D21" s="193"/>
      <c r="E21" s="194"/>
      <c r="F21" s="193"/>
      <c r="G21" s="194"/>
      <c r="H21" s="24"/>
      <c r="I21" s="298"/>
      <c r="J21" s="298"/>
      <c r="K21" s="298"/>
      <c r="L21" s="298"/>
    </row>
    <row r="22" spans="1:12" ht="29.25" x14ac:dyDescent="1">
      <c r="A22" s="24"/>
      <c r="B22" s="195" t="s">
        <v>4</v>
      </c>
      <c r="C22" s="196"/>
      <c r="D22" s="6">
        <v>-1</v>
      </c>
      <c r="E22" s="1"/>
      <c r="F22" s="11">
        <v>1</v>
      </c>
      <c r="G22" s="1"/>
      <c r="H22" s="24"/>
      <c r="I22" s="298"/>
      <c r="J22" s="298"/>
      <c r="K22" s="298"/>
      <c r="L22" s="298"/>
    </row>
    <row r="23" spans="1:12" ht="25.9" thickBot="1" x14ac:dyDescent="0.8">
      <c r="A23" s="24"/>
      <c r="B23" s="197"/>
      <c r="C23" s="198"/>
      <c r="D23" s="7"/>
      <c r="E23" s="2">
        <v>1</v>
      </c>
      <c r="F23" s="12"/>
      <c r="G23" s="2">
        <v>-1</v>
      </c>
      <c r="H23" s="24"/>
      <c r="I23" s="298"/>
      <c r="J23" s="298"/>
      <c r="K23" s="298"/>
      <c r="L23" s="298"/>
    </row>
    <row r="24" spans="1:12" ht="29.25" x14ac:dyDescent="1">
      <c r="A24" s="24"/>
      <c r="B24" s="195" t="s">
        <v>5</v>
      </c>
      <c r="C24" s="196"/>
      <c r="D24" s="8">
        <v>1</v>
      </c>
      <c r="E24" s="3"/>
      <c r="F24" s="13">
        <v>-1</v>
      </c>
      <c r="G24" s="3"/>
      <c r="H24" s="24"/>
      <c r="I24" s="298"/>
      <c r="J24" s="298"/>
      <c r="K24" s="298"/>
      <c r="L24" s="298"/>
    </row>
    <row r="25" spans="1:12" ht="25.9" thickBot="1" x14ac:dyDescent="0.8">
      <c r="A25" s="24"/>
      <c r="B25" s="191"/>
      <c r="C25" s="192"/>
      <c r="D25" s="10"/>
      <c r="E25" s="5">
        <v>-1</v>
      </c>
      <c r="F25" s="15"/>
      <c r="G25" s="5">
        <v>1</v>
      </c>
      <c r="H25" s="24"/>
      <c r="I25" s="298"/>
      <c r="J25" s="298"/>
      <c r="K25" s="298"/>
      <c r="L25" s="298"/>
    </row>
    <row r="26" spans="1:12" ht="25.9" thickBot="1" x14ac:dyDescent="0.8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29.25" x14ac:dyDescent="1">
      <c r="A27" s="24"/>
      <c r="B27" s="185" t="s">
        <v>0</v>
      </c>
      <c r="C27" s="186"/>
      <c r="D27" s="187" t="s">
        <v>3</v>
      </c>
      <c r="E27" s="188"/>
      <c r="F27" s="189" t="s">
        <v>2</v>
      </c>
      <c r="G27" s="190"/>
      <c r="H27" s="24"/>
      <c r="I27" s="298" t="s">
        <v>46</v>
      </c>
      <c r="J27" s="298"/>
      <c r="K27" s="298"/>
      <c r="L27" s="298"/>
    </row>
    <row r="28" spans="1:12" ht="25.9" thickBot="1" x14ac:dyDescent="0.8">
      <c r="A28" s="24"/>
      <c r="B28" s="191" t="s">
        <v>1</v>
      </c>
      <c r="C28" s="192"/>
      <c r="D28" s="193"/>
      <c r="E28" s="194"/>
      <c r="F28" s="193"/>
      <c r="G28" s="194"/>
      <c r="H28" s="24"/>
      <c r="I28" s="298"/>
      <c r="J28" s="298"/>
      <c r="K28" s="298"/>
      <c r="L28" s="298"/>
    </row>
    <row r="29" spans="1:12" ht="29.25" x14ac:dyDescent="1">
      <c r="A29" s="24"/>
      <c r="B29" s="195" t="s">
        <v>4</v>
      </c>
      <c r="C29" s="196"/>
      <c r="D29" s="6">
        <v>0</v>
      </c>
      <c r="E29" s="1"/>
      <c r="F29" s="11">
        <v>1</v>
      </c>
      <c r="G29" s="1"/>
      <c r="H29" s="24"/>
      <c r="I29" s="298"/>
      <c r="J29" s="298"/>
      <c r="K29" s="298"/>
      <c r="L29" s="298"/>
    </row>
    <row r="30" spans="1:12" ht="25.9" thickBot="1" x14ac:dyDescent="0.8">
      <c r="A30" s="24"/>
      <c r="B30" s="197"/>
      <c r="C30" s="198"/>
      <c r="D30" s="7"/>
      <c r="E30" s="2">
        <v>1</v>
      </c>
      <c r="F30" s="12"/>
      <c r="G30" s="2">
        <v>0</v>
      </c>
      <c r="H30" s="24"/>
      <c r="I30" s="298"/>
      <c r="J30" s="298"/>
      <c r="K30" s="298"/>
      <c r="L30" s="298"/>
    </row>
    <row r="31" spans="1:12" ht="29.25" x14ac:dyDescent="1">
      <c r="A31" s="24"/>
      <c r="B31" s="195" t="s">
        <v>5</v>
      </c>
      <c r="C31" s="196"/>
      <c r="D31" s="8">
        <v>1</v>
      </c>
      <c r="E31" s="3"/>
      <c r="F31" s="13">
        <v>0</v>
      </c>
      <c r="G31" s="3"/>
      <c r="H31" s="24"/>
      <c r="I31" s="298"/>
      <c r="J31" s="298"/>
      <c r="K31" s="298"/>
      <c r="L31" s="298"/>
    </row>
    <row r="32" spans="1:12" ht="25.9" thickBot="1" x14ac:dyDescent="0.8">
      <c r="A32" s="24"/>
      <c r="B32" s="191"/>
      <c r="C32" s="192"/>
      <c r="D32" s="10"/>
      <c r="E32" s="5">
        <v>0</v>
      </c>
      <c r="F32" s="15"/>
      <c r="G32" s="5">
        <v>1</v>
      </c>
      <c r="H32" s="24"/>
      <c r="I32" s="298"/>
      <c r="J32" s="298"/>
      <c r="K32" s="298"/>
      <c r="L32" s="298"/>
    </row>
    <row r="33" spans="1:12" ht="25.9" thickBot="1" x14ac:dyDescent="0.8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29.25" x14ac:dyDescent="1">
      <c r="A34" s="24"/>
      <c r="B34" s="185" t="s">
        <v>0</v>
      </c>
      <c r="C34" s="186"/>
      <c r="D34" s="187" t="s">
        <v>3</v>
      </c>
      <c r="E34" s="188"/>
      <c r="F34" s="189" t="s">
        <v>2</v>
      </c>
      <c r="G34" s="190"/>
      <c r="H34" s="24"/>
      <c r="I34" s="298"/>
      <c r="J34" s="298"/>
      <c r="K34" s="298"/>
      <c r="L34" s="298"/>
    </row>
    <row r="35" spans="1:12" ht="25.9" thickBot="1" x14ac:dyDescent="0.8">
      <c r="A35" s="24"/>
      <c r="B35" s="191" t="s">
        <v>1</v>
      </c>
      <c r="C35" s="192"/>
      <c r="D35" s="193"/>
      <c r="E35" s="194"/>
      <c r="F35" s="193"/>
      <c r="G35" s="194"/>
      <c r="H35" s="24"/>
      <c r="I35" s="298"/>
      <c r="J35" s="298"/>
      <c r="K35" s="298"/>
      <c r="L35" s="298"/>
    </row>
    <row r="36" spans="1:12" ht="29.25" x14ac:dyDescent="1">
      <c r="A36" s="24"/>
      <c r="B36" s="195" t="s">
        <v>4</v>
      </c>
      <c r="C36" s="196"/>
      <c r="D36" s="6">
        <v>2</v>
      </c>
      <c r="E36" s="1"/>
      <c r="F36" s="11">
        <v>1</v>
      </c>
      <c r="G36" s="1"/>
      <c r="H36" s="24"/>
      <c r="I36" s="298"/>
      <c r="J36" s="298"/>
      <c r="K36" s="298"/>
      <c r="L36" s="298"/>
    </row>
    <row r="37" spans="1:12" ht="25.9" thickBot="1" x14ac:dyDescent="0.8">
      <c r="A37" s="24"/>
      <c r="B37" s="197"/>
      <c r="C37" s="198"/>
      <c r="D37" s="7"/>
      <c r="E37" s="2">
        <v>2</v>
      </c>
      <c r="F37" s="12"/>
      <c r="G37" s="2">
        <v>3</v>
      </c>
      <c r="H37" s="24"/>
      <c r="I37" s="298"/>
      <c r="J37" s="298"/>
      <c r="K37" s="298"/>
      <c r="L37" s="298"/>
    </row>
    <row r="38" spans="1:12" ht="29.25" x14ac:dyDescent="1">
      <c r="A38" s="24"/>
      <c r="B38" s="195" t="s">
        <v>5</v>
      </c>
      <c r="C38" s="196"/>
      <c r="D38" s="8">
        <v>0</v>
      </c>
      <c r="E38" s="3"/>
      <c r="F38" s="13">
        <v>0</v>
      </c>
      <c r="G38" s="3"/>
      <c r="H38" s="24"/>
      <c r="I38" s="298"/>
      <c r="J38" s="298"/>
      <c r="K38" s="298"/>
      <c r="L38" s="298"/>
    </row>
    <row r="39" spans="1:12" ht="25.9" thickBot="1" x14ac:dyDescent="0.8">
      <c r="A39" s="24"/>
      <c r="B39" s="191"/>
      <c r="C39" s="192"/>
      <c r="D39" s="10"/>
      <c r="E39" s="5">
        <v>0</v>
      </c>
      <c r="F39" s="15"/>
      <c r="G39" s="5">
        <v>0</v>
      </c>
      <c r="H39" s="24"/>
      <c r="I39" s="298"/>
      <c r="J39" s="298"/>
      <c r="K39" s="298"/>
      <c r="L39" s="298"/>
    </row>
    <row r="40" spans="1:12" ht="25.9" thickBot="1" x14ac:dyDescent="0.8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29.25" x14ac:dyDescent="1">
      <c r="A41" s="24"/>
      <c r="B41" s="185" t="s">
        <v>0</v>
      </c>
      <c r="C41" s="186"/>
      <c r="D41" s="187" t="s">
        <v>3</v>
      </c>
      <c r="E41" s="188"/>
      <c r="F41" s="189" t="s">
        <v>2</v>
      </c>
      <c r="G41" s="190"/>
      <c r="H41" s="24"/>
      <c r="I41" s="298"/>
      <c r="J41" s="298"/>
      <c r="K41" s="298"/>
      <c r="L41" s="298"/>
    </row>
    <row r="42" spans="1:12" ht="25.9" thickBot="1" x14ac:dyDescent="0.8">
      <c r="A42" s="24"/>
      <c r="B42" s="191" t="s">
        <v>1</v>
      </c>
      <c r="C42" s="192"/>
      <c r="D42" s="193"/>
      <c r="E42" s="194"/>
      <c r="F42" s="193"/>
      <c r="G42" s="194"/>
      <c r="H42" s="24"/>
      <c r="I42" s="298"/>
      <c r="J42" s="298"/>
      <c r="K42" s="298"/>
      <c r="L42" s="298"/>
    </row>
    <row r="43" spans="1:12" ht="29.25" x14ac:dyDescent="1">
      <c r="A43" s="24"/>
      <c r="B43" s="195" t="s">
        <v>4</v>
      </c>
      <c r="C43" s="196"/>
      <c r="D43" s="6">
        <v>0</v>
      </c>
      <c r="E43" s="1"/>
      <c r="F43" s="11">
        <v>1</v>
      </c>
      <c r="G43" s="1"/>
      <c r="H43" s="24"/>
      <c r="I43" s="298"/>
      <c r="J43" s="298"/>
      <c r="K43" s="298"/>
      <c r="L43" s="298"/>
    </row>
    <row r="44" spans="1:12" ht="25.9" thickBot="1" x14ac:dyDescent="0.8">
      <c r="A44" s="24"/>
      <c r="B44" s="197"/>
      <c r="C44" s="198"/>
      <c r="D44" s="7"/>
      <c r="E44" s="2">
        <v>0</v>
      </c>
      <c r="F44" s="12"/>
      <c r="G44" s="2">
        <v>3</v>
      </c>
      <c r="H44" s="24"/>
      <c r="I44" s="298"/>
      <c r="J44" s="298"/>
      <c r="K44" s="298"/>
      <c r="L44" s="298"/>
    </row>
    <row r="45" spans="1:12" ht="29.25" x14ac:dyDescent="1">
      <c r="A45" s="24"/>
      <c r="B45" s="195" t="s">
        <v>5</v>
      </c>
      <c r="C45" s="196"/>
      <c r="D45" s="8">
        <v>3</v>
      </c>
      <c r="E45" s="3"/>
      <c r="F45" s="13">
        <v>0</v>
      </c>
      <c r="G45" s="3"/>
      <c r="H45" s="24"/>
      <c r="I45" s="298"/>
      <c r="J45" s="298"/>
      <c r="K45" s="298"/>
      <c r="L45" s="298"/>
    </row>
    <row r="46" spans="1:12" ht="25.9" thickBot="1" x14ac:dyDescent="0.8">
      <c r="A46" s="24"/>
      <c r="B46" s="191"/>
      <c r="C46" s="192"/>
      <c r="D46" s="10"/>
      <c r="E46" s="5">
        <v>1</v>
      </c>
      <c r="F46" s="15"/>
      <c r="G46" s="5">
        <v>0</v>
      </c>
      <c r="H46" s="24"/>
      <c r="I46" s="298"/>
      <c r="J46" s="298"/>
      <c r="K46" s="298"/>
      <c r="L46" s="298"/>
    </row>
  </sheetData>
  <mergeCells count="68">
    <mergeCell ref="D4:E4"/>
    <mergeCell ref="F4:G4"/>
    <mergeCell ref="I11:L16"/>
    <mergeCell ref="B12:C12"/>
    <mergeCell ref="D12:E12"/>
    <mergeCell ref="F12:G12"/>
    <mergeCell ref="F11:G11"/>
    <mergeCell ref="B13:C13"/>
    <mergeCell ref="B14:C14"/>
    <mergeCell ref="B15:C15"/>
    <mergeCell ref="B16:C16"/>
    <mergeCell ref="D11:E11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D27:E27"/>
    <mergeCell ref="F27:G27"/>
    <mergeCell ref="B38:C38"/>
    <mergeCell ref="B39:C39"/>
    <mergeCell ref="B41:C41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B2:G2"/>
    <mergeCell ref="B20:C20"/>
    <mergeCell ref="D20:E20"/>
    <mergeCell ref="F20:G20"/>
    <mergeCell ref="B24:C24"/>
    <mergeCell ref="B18:J18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dimension ref="A1:N38"/>
  <sheetViews>
    <sheetView zoomScale="60" zoomScaleNormal="60" workbookViewId="0">
      <selection activeCell="C18" sqref="C18:F18"/>
    </sheetView>
  </sheetViews>
  <sheetFormatPr baseColWidth="10" defaultColWidth="10.77734375" defaultRowHeight="25.5" x14ac:dyDescent="0.75"/>
  <cols>
    <col min="1" max="6" width="10.77734375" style="16"/>
    <col min="7" max="7" width="4.3671875" style="16" customWidth="1"/>
    <col min="8" max="16384" width="10.77734375" style="16"/>
  </cols>
  <sheetData>
    <row r="1" spans="1:14" ht="28.9" thickBot="1" x14ac:dyDescent="0.9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29.25" x14ac:dyDescent="1">
      <c r="A2" s="185" t="s">
        <v>0</v>
      </c>
      <c r="B2" s="186"/>
      <c r="C2" s="187" t="s">
        <v>3</v>
      </c>
      <c r="D2" s="188"/>
      <c r="E2" s="189" t="s">
        <v>2</v>
      </c>
      <c r="F2" s="190"/>
      <c r="H2" s="322"/>
      <c r="I2" s="322"/>
      <c r="J2" s="319"/>
      <c r="K2" s="319"/>
      <c r="L2" s="320"/>
      <c r="M2" s="320"/>
      <c r="N2" s="37"/>
    </row>
    <row r="3" spans="1:14" ht="25.9" thickBot="1" x14ac:dyDescent="0.8">
      <c r="A3" s="191" t="s">
        <v>1</v>
      </c>
      <c r="B3" s="192"/>
      <c r="C3" s="313"/>
      <c r="D3" s="314"/>
      <c r="E3" s="313"/>
      <c r="F3" s="314"/>
      <c r="H3" s="321"/>
      <c r="I3" s="321"/>
      <c r="J3" s="320"/>
      <c r="K3" s="320"/>
      <c r="L3" s="320"/>
      <c r="M3" s="320"/>
      <c r="N3" s="37"/>
    </row>
    <row r="4" spans="1:14" ht="29.25" x14ac:dyDescent="1">
      <c r="A4" s="195" t="s">
        <v>4</v>
      </c>
      <c r="B4" s="196"/>
      <c r="C4" s="6">
        <f>'Analyse ST'!J23</f>
        <v>0</v>
      </c>
      <c r="D4" s="1"/>
      <c r="E4" s="11">
        <f>'Analyse ST'!L23</f>
        <v>2</v>
      </c>
      <c r="F4" s="1"/>
      <c r="H4" s="321"/>
      <c r="I4" s="321"/>
      <c r="J4" s="38"/>
      <c r="K4" s="37"/>
      <c r="L4" s="31"/>
      <c r="M4" s="37"/>
      <c r="N4" s="37"/>
    </row>
    <row r="5" spans="1:14" ht="25.9" thickBot="1" x14ac:dyDescent="0.8">
      <c r="A5" s="315"/>
      <c r="B5" s="316"/>
      <c r="C5" s="7"/>
      <c r="D5" s="2">
        <f>'Analyse ST'!K23</f>
        <v>0</v>
      </c>
      <c r="E5" s="12"/>
      <c r="F5" s="2">
        <f>'Analyse ST'!M23</f>
        <v>2</v>
      </c>
      <c r="H5" s="321"/>
      <c r="I5" s="321"/>
      <c r="J5" s="38"/>
      <c r="K5" s="37"/>
      <c r="L5" s="31"/>
      <c r="M5" s="37"/>
      <c r="N5" s="37"/>
    </row>
    <row r="6" spans="1:14" ht="29.25" x14ac:dyDescent="1">
      <c r="A6" s="195" t="s">
        <v>5</v>
      </c>
      <c r="B6" s="196"/>
      <c r="C6" s="8">
        <f>'Analyse ST'!J24</f>
        <v>1</v>
      </c>
      <c r="D6" s="3"/>
      <c r="E6" s="13">
        <f>'Analyse ST'!L24</f>
        <v>0</v>
      </c>
      <c r="F6" s="3"/>
      <c r="H6" s="321"/>
      <c r="I6" s="321"/>
      <c r="J6" s="38"/>
      <c r="K6" s="37"/>
      <c r="L6" s="31"/>
      <c r="M6" s="37"/>
      <c r="N6" s="37"/>
    </row>
    <row r="7" spans="1:14" ht="25.9" thickBot="1" x14ac:dyDescent="0.8">
      <c r="A7" s="317"/>
      <c r="B7" s="318"/>
      <c r="C7" s="10"/>
      <c r="D7" s="5">
        <f>'Analyse ST'!K24</f>
        <v>1</v>
      </c>
      <c r="E7" s="15"/>
      <c r="F7" s="5">
        <f>'Analyse ST'!M24</f>
        <v>0</v>
      </c>
      <c r="H7" s="321"/>
      <c r="I7" s="321"/>
      <c r="J7" s="38"/>
      <c r="K7" s="37"/>
      <c r="L7" s="31"/>
      <c r="M7" s="37"/>
      <c r="N7" s="37"/>
    </row>
    <row r="8" spans="1:14" ht="27.75" customHeight="1" thickBot="1" x14ac:dyDescent="0.9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5.9" thickBot="1" x14ac:dyDescent="0.8">
      <c r="A9" s="199" t="s">
        <v>44</v>
      </c>
      <c r="B9" s="200"/>
      <c r="C9" s="200"/>
      <c r="D9" s="200"/>
      <c r="E9" s="200"/>
      <c r="F9" s="201"/>
      <c r="H9" s="37"/>
      <c r="I9" s="37"/>
      <c r="J9" s="37"/>
      <c r="K9" s="37"/>
      <c r="L9" s="37"/>
      <c r="M9" s="37"/>
      <c r="N9" s="37"/>
    </row>
    <row r="10" spans="1:14" x14ac:dyDescent="0.75">
      <c r="A10" s="181" t="s">
        <v>10</v>
      </c>
      <c r="B10" s="182"/>
      <c r="C10" s="183" t="str">
        <f>CONCATENATE(IF(Nebenrechnung!D4="Nash GG","{A1B1} ",""),IF(Nebenrechnung!D5="Nash GG","{A1B2} ",""),IF(Nebenrechnung!D6="Nash GG","{A2B1}",""),IF(Nebenrechnung!D7="Nash GG","{A2B2}",""))</f>
        <v>{A1B2} {A2B1}</v>
      </c>
      <c r="D10" s="183"/>
      <c r="E10" s="183"/>
      <c r="F10" s="184"/>
    </row>
    <row r="11" spans="1:14" x14ac:dyDescent="0.75">
      <c r="A11" s="213" t="s">
        <v>11</v>
      </c>
      <c r="B11" s="214"/>
      <c r="C11" s="215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A1B2  </v>
      </c>
      <c r="D11" s="215"/>
      <c r="E11" s="215"/>
      <c r="F11" s="216"/>
    </row>
    <row r="12" spans="1:14" x14ac:dyDescent="0.75">
      <c r="A12" s="213" t="s">
        <v>12</v>
      </c>
      <c r="B12" s="214"/>
      <c r="C12" s="215" t="str">
        <f>IF(Nebenrechnung!B30&lt;&gt;"",Nebenrechnung!B30,Nebenrechnung!B29)</f>
        <v>Spiegelsymmetrie</v>
      </c>
      <c r="D12" s="215"/>
      <c r="E12" s="215"/>
      <c r="F12" s="216"/>
    </row>
    <row r="13" spans="1:14" x14ac:dyDescent="0.75">
      <c r="A13" s="213" t="s">
        <v>13</v>
      </c>
      <c r="B13" s="214"/>
      <c r="C13" s="215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215"/>
      <c r="E13" s="215"/>
      <c r="F13" s="216"/>
    </row>
    <row r="14" spans="1:14" ht="25.9" thickBot="1" x14ac:dyDescent="0.8">
      <c r="A14" s="217" t="s">
        <v>14</v>
      </c>
      <c r="B14" s="218"/>
      <c r="C14" s="219" t="str">
        <f>CONCATENATE("{",IFERROR(ROUND(Nebenrechnung!B22,3),""),";",IFERROR(ROUND(Nebenrechnung!B23,3),""),"}")</f>
        <v>{0,667;0,667}</v>
      </c>
      <c r="D14" s="219"/>
      <c r="E14" s="219"/>
      <c r="F14" s="220"/>
    </row>
    <row r="15" spans="1:14" x14ac:dyDescent="0.75">
      <c r="A15" s="221" t="s">
        <v>45</v>
      </c>
      <c r="B15" s="222"/>
      <c r="C15" s="222"/>
      <c r="D15" s="222"/>
      <c r="E15" s="222"/>
      <c r="F15" s="223"/>
    </row>
    <row r="16" spans="1:14" x14ac:dyDescent="0.75">
      <c r="A16" s="202" t="s">
        <v>15</v>
      </c>
      <c r="B16" s="203"/>
      <c r="C16" s="204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04"/>
      <c r="E16" s="204"/>
      <c r="F16" s="205"/>
    </row>
    <row r="17" spans="1:13" x14ac:dyDescent="0.75">
      <c r="A17" s="224" t="s">
        <v>17</v>
      </c>
      <c r="B17" s="225"/>
      <c r="C17" s="210" t="str">
        <f>IF(C16="schwaches Kooperationsproblem","Finde eine korrelierende Strategie, Absprachen",IF(C16="starkes Kooperationsproblem","Absprachen"," - "))</f>
        <v xml:space="preserve"> - </v>
      </c>
      <c r="D17" s="211"/>
      <c r="E17" s="211"/>
      <c r="F17" s="212"/>
    </row>
    <row r="18" spans="1:13" x14ac:dyDescent="0.75">
      <c r="A18" s="202" t="s">
        <v>16</v>
      </c>
      <c r="B18" s="203"/>
      <c r="C18" s="204" t="str">
        <f>CONCATENATE(Nebenrechnung!R4,Nebenrechnung!R5)</f>
        <v>Koordinationsproblem Fall 2</v>
      </c>
      <c r="D18" s="204"/>
      <c r="E18" s="204"/>
      <c r="F18" s="205"/>
    </row>
    <row r="19" spans="1:13" ht="25.9" thickBot="1" x14ac:dyDescent="0.8">
      <c r="A19" s="206" t="s">
        <v>18</v>
      </c>
      <c r="B19" s="207"/>
      <c r="C19" s="208" t="str">
        <f>IF(Nebenrechnung!P2="OK","Kommunikation erforderlich",IF(Nebenrechnung!P2="MK","Verhandlung erforderlich"," - "))</f>
        <v xml:space="preserve"> - </v>
      </c>
      <c r="D19" s="208"/>
      <c r="E19" s="208"/>
      <c r="F19" s="209"/>
    </row>
    <row r="20" spans="1:13" ht="25.9" thickBot="1" x14ac:dyDescent="0.8">
      <c r="A20" s="311" t="s">
        <v>8</v>
      </c>
      <c r="B20" s="312"/>
      <c r="C20" s="309"/>
      <c r="D20" s="309"/>
      <c r="E20" s="309"/>
      <c r="F20" s="310"/>
    </row>
    <row r="21" spans="1:13" x14ac:dyDescent="0.75">
      <c r="A21" s="26"/>
      <c r="B21" s="26"/>
      <c r="C21" s="27"/>
      <c r="D21" s="27"/>
      <c r="E21" s="27"/>
      <c r="F21" s="27"/>
    </row>
    <row r="22" spans="1:13" s="36" customFormat="1" ht="28.9" thickBot="1" x14ac:dyDescent="0.9">
      <c r="A22" s="23" t="s">
        <v>70</v>
      </c>
      <c r="H22" s="23" t="s">
        <v>82</v>
      </c>
    </row>
    <row r="23" spans="1:13" ht="29.25" x14ac:dyDescent="1">
      <c r="A23" s="185" t="s">
        <v>0</v>
      </c>
      <c r="B23" s="186"/>
      <c r="C23" s="187" t="s">
        <v>3</v>
      </c>
      <c r="D23" s="188"/>
      <c r="E23" s="189" t="s">
        <v>2</v>
      </c>
      <c r="F23" s="190"/>
      <c r="H23" s="185" t="s">
        <v>0</v>
      </c>
      <c r="I23" s="186"/>
      <c r="J23" s="187" t="s">
        <v>3</v>
      </c>
      <c r="K23" s="188"/>
      <c r="L23" s="189" t="s">
        <v>2</v>
      </c>
      <c r="M23" s="190"/>
    </row>
    <row r="24" spans="1:13" ht="25.9" thickBot="1" x14ac:dyDescent="0.8">
      <c r="A24" s="191" t="s">
        <v>1</v>
      </c>
      <c r="B24" s="192"/>
      <c r="C24" s="18" t="str">
        <f>CONCATENATE("b = ",IFERROR(ROUND(Nebenrechnung!B16,2),""))</f>
        <v>b = 0,67</v>
      </c>
      <c r="D24" s="22" t="str">
        <f>IF(Nebenrechnung!F6&lt;&gt;"Nein","D","")</f>
        <v/>
      </c>
      <c r="E24" s="18" t="str">
        <f>CONCATENATE("(1-b) = ",IFERROR(ROUND(Nebenrechnung!B17,2),""))</f>
        <v>(1-b) = 0,33</v>
      </c>
      <c r="F24" s="22" t="str">
        <f>IF(Nebenrechnung!F7&lt;&gt;"Nein","D","")</f>
        <v/>
      </c>
      <c r="H24" s="191" t="s">
        <v>1</v>
      </c>
      <c r="I24" s="192"/>
      <c r="J24" s="18"/>
      <c r="K24" s="22"/>
      <c r="L24" s="18"/>
      <c r="M24" s="22"/>
    </row>
    <row r="25" spans="1:13" ht="29.25" x14ac:dyDescent="1">
      <c r="A25" s="195" t="s">
        <v>4</v>
      </c>
      <c r="B25" s="196"/>
      <c r="C25" s="6">
        <f>C4</f>
        <v>0</v>
      </c>
      <c r="D25" s="1"/>
      <c r="E25" s="11">
        <f>E4</f>
        <v>2</v>
      </c>
      <c r="F25" s="1"/>
      <c r="H25" s="195" t="s">
        <v>4</v>
      </c>
      <c r="I25" s="196"/>
      <c r="J25" s="6">
        <f>Nebenrechnung!B10</f>
        <v>0</v>
      </c>
      <c r="K25" s="1"/>
      <c r="L25" s="11">
        <f>Nebenrechnung!B11</f>
        <v>0</v>
      </c>
      <c r="M25" s="1"/>
    </row>
    <row r="26" spans="1:13" x14ac:dyDescent="0.75">
      <c r="A26" s="305" t="str">
        <f>CONCATENATE("a = ",IFERROR(ROUND(Nebenrechnung!B18,2),""))</f>
        <v>a = 0,33</v>
      </c>
      <c r="B26" s="306"/>
      <c r="C26" s="7"/>
      <c r="D26" s="2">
        <f>D5</f>
        <v>0</v>
      </c>
      <c r="E26" s="12"/>
      <c r="F26" s="2">
        <f>F5</f>
        <v>2</v>
      </c>
      <c r="H26" s="305"/>
      <c r="I26" s="306"/>
      <c r="J26" s="7"/>
      <c r="K26" s="2">
        <f>Nebenrechnung!C10</f>
        <v>0</v>
      </c>
      <c r="L26" s="12"/>
      <c r="M26" s="2">
        <f>Nebenrechnung!C11</f>
        <v>0</v>
      </c>
    </row>
    <row r="27" spans="1:13" ht="25.9" thickBot="1" x14ac:dyDescent="0.8">
      <c r="A27" s="307" t="str">
        <f>IF(Nebenrechnung!F4&lt;&gt;"Nein","D","")</f>
        <v/>
      </c>
      <c r="B27" s="308"/>
      <c r="C27" s="19" t="str">
        <f>CONCATENATE(IF(Nebenrechnung!D4="Nash GG","N","")," ",IF(Nebenrechnung!E4="Kein Pareto","","P")," ",IF(Nebenrechnung!D10="Nash GG","K",""))</f>
        <v xml:space="preserve">  </v>
      </c>
      <c r="D27" s="20"/>
      <c r="E27" s="21" t="str">
        <f>CONCATENATE(IF(Nebenrechnung!D5="Nash GG","N","")," ",IF(Nebenrechnung!E5="Kein Pareto","","P")," ",IF(Nebenrechnung!D11="Nash GG","K",""))</f>
        <v xml:space="preserve">N P </v>
      </c>
      <c r="F27" s="20"/>
      <c r="H27" s="307"/>
      <c r="I27" s="308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29.25" x14ac:dyDescent="1">
      <c r="A28" s="195" t="s">
        <v>5</v>
      </c>
      <c r="B28" s="196"/>
      <c r="C28" s="8">
        <f>C6</f>
        <v>1</v>
      </c>
      <c r="D28" s="3"/>
      <c r="E28" s="13">
        <f>E6</f>
        <v>0</v>
      </c>
      <c r="F28" s="3"/>
      <c r="H28" s="195" t="s">
        <v>5</v>
      </c>
      <c r="I28" s="196"/>
      <c r="J28" s="8">
        <f>Nebenrechnung!B12</f>
        <v>0</v>
      </c>
      <c r="K28" s="3"/>
      <c r="L28" s="13">
        <f>Nebenrechnung!B13</f>
        <v>0</v>
      </c>
      <c r="M28" s="3"/>
    </row>
    <row r="29" spans="1:13" x14ac:dyDescent="0.75">
      <c r="A29" s="305" t="str">
        <f>CONCATENATE("(1-a) = ",IFERROR(ROUND(Nebenrechnung!B19,2),""))</f>
        <v>(1-a) = 0,67</v>
      </c>
      <c r="B29" s="306"/>
      <c r="C29" s="9"/>
      <c r="D29" s="4">
        <f>D7</f>
        <v>1</v>
      </c>
      <c r="E29" s="14"/>
      <c r="F29" s="4">
        <f>F7</f>
        <v>0</v>
      </c>
      <c r="H29" s="305"/>
      <c r="I29" s="306"/>
      <c r="J29" s="9"/>
      <c r="K29" s="4">
        <f>Nebenrechnung!C12</f>
        <v>0</v>
      </c>
      <c r="L29" s="14"/>
      <c r="M29" s="4">
        <f>Nebenrechnung!C13</f>
        <v>0</v>
      </c>
    </row>
    <row r="30" spans="1:13" ht="25.9" thickBot="1" x14ac:dyDescent="0.8">
      <c r="A30" s="307" t="str">
        <f>IF(Nebenrechnung!F5&lt;&gt;"Nein","D","")</f>
        <v/>
      </c>
      <c r="B30" s="308"/>
      <c r="C30" s="19" t="str">
        <f>CONCATENATE(IF(Nebenrechnung!D6="Nash GG","N","")," ",IF(Nebenrechnung!E6="Kein Pareto","","P")," ",IF(Nebenrechnung!D12="Nash GG","K",""))</f>
        <v xml:space="preserve">N  </v>
      </c>
      <c r="D30" s="20"/>
      <c r="E30" s="21" t="str">
        <f>CONCATENATE(IF(Nebenrechnung!D7="Nash GG","N","")," ",IF(Nebenrechnung!E7="Kein Pareto","","P")," ",IF(Nebenrechnung!D13="Nash GG","K",""))</f>
        <v xml:space="preserve">  </v>
      </c>
      <c r="F30" s="20"/>
      <c r="H30" s="307"/>
      <c r="I30" s="308"/>
      <c r="J30" s="19" t="str">
        <f>IF(Nebenrechnung!D12="Nash GG","K","")</f>
        <v/>
      </c>
      <c r="K30" s="20"/>
      <c r="L30" s="35" t="str">
        <f>IF(Nebenrechnung!D13="Nash GG","K","")</f>
        <v/>
      </c>
      <c r="M30" s="20"/>
    </row>
    <row r="31" spans="1:13" ht="28.9" thickBot="1" x14ac:dyDescent="0.9">
      <c r="A31" s="23" t="s">
        <v>69</v>
      </c>
    </row>
    <row r="32" spans="1:13" ht="25.9" thickBot="1" x14ac:dyDescent="0.8">
      <c r="H32" s="302" t="s">
        <v>87</v>
      </c>
      <c r="I32" s="303"/>
      <c r="J32" s="303"/>
      <c r="K32" s="303"/>
      <c r="L32" s="303"/>
      <c r="M32" s="304"/>
    </row>
    <row r="33" spans="8:13" x14ac:dyDescent="0.75">
      <c r="H33" s="181" t="s">
        <v>88</v>
      </c>
      <c r="I33" s="182"/>
      <c r="J33" s="183" t="str">
        <f>Nebenrechnung!F16</f>
        <v>Kein Nash GG in der Differenzmatrix</v>
      </c>
      <c r="K33" s="183"/>
      <c r="L33" s="183"/>
      <c r="M33" s="184"/>
    </row>
    <row r="34" spans="8:13" x14ac:dyDescent="0.75">
      <c r="H34" s="213" t="s">
        <v>89</v>
      </c>
      <c r="I34" s="214"/>
      <c r="J34" s="215" t="str">
        <f>CONCATENATE("{",Nebenrechnung!G16,";",Nebenrechnung!H16,"}")</f>
        <v>{;}</v>
      </c>
      <c r="K34" s="215"/>
      <c r="L34" s="215"/>
      <c r="M34" s="216"/>
    </row>
    <row r="35" spans="8:13" x14ac:dyDescent="0.75">
      <c r="H35" s="213" t="s">
        <v>90</v>
      </c>
      <c r="I35" s="214"/>
      <c r="J35" s="215" t="str">
        <f>IFERROR(CONCATENATE("NP(",IF(Nebenrechnung!F22="SK 1","A1B1",IF(Nebenrechnung!F22="SK 2","A1B2",IF(Nebenrechnung!F22="SK 3","A2B1","A2B2"))),") = ",Nebenrechnung!G22),"")</f>
        <v/>
      </c>
      <c r="K35" s="215"/>
      <c r="L35" s="215"/>
      <c r="M35" s="216"/>
    </row>
    <row r="36" spans="8:13" x14ac:dyDescent="0.75">
      <c r="H36" s="213" t="s">
        <v>96</v>
      </c>
      <c r="I36" s="214"/>
      <c r="J36" s="214"/>
      <c r="K36" s="214"/>
      <c r="L36" s="214"/>
      <c r="M36" s="301"/>
    </row>
    <row r="37" spans="8:13" x14ac:dyDescent="0.75">
      <c r="H37" s="213" t="s">
        <v>97</v>
      </c>
      <c r="I37" s="214"/>
      <c r="J37" s="215" t="str">
        <f>IF(J34="{;}","",Nebenrechnung!F30)</f>
        <v/>
      </c>
      <c r="K37" s="215"/>
      <c r="L37" s="215"/>
      <c r="M37" s="216"/>
    </row>
    <row r="38" spans="8:13" ht="25.9" thickBot="1" x14ac:dyDescent="0.8">
      <c r="H38" s="217" t="s">
        <v>98</v>
      </c>
      <c r="I38" s="218"/>
      <c r="J38" s="219" t="str">
        <f>IF(J34="{;}","",Nebenrechnung!F31)</f>
        <v/>
      </c>
      <c r="K38" s="219"/>
      <c r="L38" s="219"/>
      <c r="M38" s="220"/>
    </row>
  </sheetData>
  <sheetProtection selectLockedCells="1" selectUnlockedCells="1"/>
  <mergeCells count="74">
    <mergeCell ref="H4:I4"/>
    <mergeCell ref="H5:I5"/>
    <mergeCell ref="H6:I6"/>
    <mergeCell ref="H7:I7"/>
    <mergeCell ref="H2:I2"/>
    <mergeCell ref="J2:K2"/>
    <mergeCell ref="L2:M2"/>
    <mergeCell ref="H3:I3"/>
    <mergeCell ref="J3:K3"/>
    <mergeCell ref="L3:M3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A20:B20"/>
    <mergeCell ref="A16:B16"/>
    <mergeCell ref="A18:B18"/>
    <mergeCell ref="A19:B19"/>
    <mergeCell ref="A17:B17"/>
    <mergeCell ref="A14:B14"/>
    <mergeCell ref="C10:F10"/>
    <mergeCell ref="C11:F11"/>
    <mergeCell ref="C12:F12"/>
    <mergeCell ref="C13:F13"/>
    <mergeCell ref="C14:F14"/>
    <mergeCell ref="C16:F16"/>
    <mergeCell ref="C18:F18"/>
    <mergeCell ref="C19:F19"/>
    <mergeCell ref="C20:F20"/>
    <mergeCell ref="C17:F17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H23:I23"/>
    <mergeCell ref="J23:K23"/>
    <mergeCell ref="L23:M23"/>
    <mergeCell ref="H24:I24"/>
    <mergeCell ref="H25:I25"/>
    <mergeCell ref="H26:I26"/>
    <mergeCell ref="H27:I27"/>
    <mergeCell ref="H28:I28"/>
    <mergeCell ref="H29:I29"/>
    <mergeCell ref="H30:I30"/>
    <mergeCell ref="H32:M32"/>
    <mergeCell ref="H33:I33"/>
    <mergeCell ref="J33:M33"/>
    <mergeCell ref="H34:I34"/>
    <mergeCell ref="J34:M34"/>
    <mergeCell ref="H38:I38"/>
    <mergeCell ref="J38:M38"/>
    <mergeCell ref="H35:I35"/>
    <mergeCell ref="J35:M35"/>
    <mergeCell ref="H37:I37"/>
    <mergeCell ref="J37:M37"/>
    <mergeCell ref="H36:M36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ReadMeFirst</vt:lpstr>
      <vt:lpstr>Release Notes</vt:lpstr>
      <vt:lpstr>Analyse ET</vt:lpstr>
      <vt:lpstr>Analyse ST</vt:lpstr>
      <vt:lpstr>VÖ - Prospect Theory</vt:lpstr>
      <vt:lpstr>Sonderformen</vt:lpstr>
      <vt:lpstr>Koordinationsprobleme</vt:lpstr>
      <vt:lpstr>Kooperationsprobleme</vt:lpstr>
      <vt:lpstr>Nebenrechnung2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Engel, Mathias</cp:lastModifiedBy>
  <dcterms:created xsi:type="dcterms:W3CDTF">2019-11-01T14:06:06Z</dcterms:created>
  <dcterms:modified xsi:type="dcterms:W3CDTF">2021-01-26T08:07:14Z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