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fhmuenster183-my.sharepoint.com/personal/om890627_fh-muenster_de/Documents/Arbeit/Github_Speicherort/Github_repository/Energy-board-FFB-static/"/>
    </mc:Choice>
  </mc:AlternateContent>
  <xr:revisionPtr revIDLastSave="855" documentId="8_{F20CA6A2-99C9-441B-902E-126B73B27683}" xr6:coauthVersionLast="47" xr6:coauthVersionMax="47" xr10:uidLastSave="{A9F15A91-7819-44A4-A396-9932162A92BE}"/>
  <bookViews>
    <workbookView xWindow="-108" yWindow="-108" windowWidth="23256" windowHeight="12576" xr2:uid="{00000000-000D-0000-FFFF-FFFF00000000}"/>
  </bookViews>
  <sheets>
    <sheet name="Fest" sheetId="4" r:id="rId1"/>
    <sheet name="Zeitübersicht" sheetId="3" r:id="rId2"/>
    <sheet name="Interpolation" sheetId="5" r:id="rId3"/>
  </sheets>
  <definedNames>
    <definedName name="_xlnm._FilterDatabase" localSheetId="0" hidden="1">Fest!$A$2:$G$12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5" l="1"/>
  <c r="R6" i="5"/>
  <c r="R7" i="5"/>
  <c r="R4" i="5"/>
  <c r="J4" i="5"/>
  <c r="J5" i="5"/>
  <c r="J6" i="5"/>
  <c r="J7" i="5"/>
  <c r="J8" i="5"/>
  <c r="J9" i="5"/>
  <c r="J10" i="5"/>
  <c r="J11" i="5"/>
  <c r="J3" i="5"/>
  <c r="B4" i="5"/>
  <c r="B5" i="5"/>
  <c r="B6" i="5"/>
  <c r="B7" i="5"/>
  <c r="B8" i="5"/>
  <c r="B9" i="5"/>
  <c r="B10" i="5"/>
  <c r="B11" i="5"/>
  <c r="B12" i="5"/>
  <c r="B13" i="5"/>
  <c r="B14" i="5"/>
  <c r="B15" i="5"/>
  <c r="B3" i="5"/>
  <c r="R4" i="4"/>
  <c r="R5" i="4"/>
  <c r="R6" i="4"/>
  <c r="R3" i="4"/>
  <c r="J4" i="4"/>
  <c r="J5" i="4"/>
  <c r="J6" i="4"/>
  <c r="J7" i="4"/>
  <c r="J8" i="4"/>
  <c r="J9" i="4"/>
  <c r="J10" i="4"/>
  <c r="J11" i="4"/>
  <c r="J3" i="4"/>
  <c r="B4" i="4"/>
  <c r="B5" i="4"/>
  <c r="B6" i="4"/>
  <c r="B7" i="4"/>
  <c r="B8" i="4"/>
  <c r="B9" i="4"/>
  <c r="B10" i="4"/>
  <c r="B11" i="4"/>
  <c r="B12" i="4"/>
  <c r="B13" i="4"/>
  <c r="B14" i="4"/>
  <c r="B15" i="4"/>
  <c r="B3" i="4"/>
  <c r="W26" i="4" l="1"/>
  <c r="W25" i="4"/>
  <c r="W24" i="4"/>
  <c r="W27" i="4"/>
  <c r="O25" i="4"/>
  <c r="O26" i="4"/>
  <c r="O24" i="4"/>
  <c r="G25" i="4"/>
  <c r="G24" i="4"/>
  <c r="H24" i="4" s="1"/>
  <c r="G26" i="4"/>
  <c r="B21" i="5"/>
  <c r="B19" i="5"/>
  <c r="X26" i="4" l="1"/>
  <c r="X27" i="4"/>
  <c r="X25" i="4"/>
  <c r="P25" i="4"/>
  <c r="P26" i="4"/>
  <c r="P24" i="4"/>
  <c r="H26" i="4"/>
  <c r="H25" i="4"/>
  <c r="R12" i="5"/>
  <c r="R11" i="5"/>
  <c r="R10" i="5"/>
  <c r="S7" i="5"/>
  <c r="T7" i="5" s="1"/>
  <c r="S6" i="5"/>
  <c r="T6" i="5" s="1"/>
  <c r="S5" i="5"/>
  <c r="T5" i="5" s="1"/>
  <c r="S4" i="5"/>
  <c r="R18" i="5" l="1"/>
  <c r="R19" i="5"/>
  <c r="J15" i="5"/>
  <c r="B26" i="5" s="1"/>
  <c r="J16" i="5"/>
  <c r="G15" i="4"/>
  <c r="F7" i="5" a="1"/>
  <c r="F7" i="5" s="1"/>
  <c r="D15" i="5"/>
  <c r="D14" i="5"/>
  <c r="D13" i="5"/>
  <c r="D12" i="5"/>
  <c r="L11" i="5"/>
  <c r="D11" i="5"/>
  <c r="L10" i="5"/>
  <c r="D10" i="5"/>
  <c r="L9" i="5"/>
  <c r="D9" i="5"/>
  <c r="L8" i="5"/>
  <c r="D8" i="5"/>
  <c r="N7" i="5" a="1"/>
  <c r="N7" i="5" s="1"/>
  <c r="L7" i="5"/>
  <c r="D7" i="5"/>
  <c r="L6" i="5"/>
  <c r="D6" i="5"/>
  <c r="L5" i="5"/>
  <c r="D5" i="5"/>
  <c r="L4" i="5"/>
  <c r="D4" i="5"/>
  <c r="O12" i="5" l="1"/>
  <c r="O3" i="5" s="1"/>
  <c r="O9" i="5" s="1"/>
  <c r="B27" i="5"/>
  <c r="G12" i="5"/>
  <c r="G3" i="5" s="1"/>
  <c r="G9" i="5" s="1"/>
  <c r="O6" i="5" l="1"/>
  <c r="G6" i="5"/>
  <c r="W15" i="4" l="1"/>
  <c r="T6" i="4"/>
  <c r="S6" i="4"/>
  <c r="O16" i="4"/>
  <c r="O17" i="4"/>
  <c r="O18" i="4" s="1"/>
  <c r="O19" i="4" s="1"/>
  <c r="O20" i="4" s="1"/>
  <c r="F7" i="4" a="1"/>
  <c r="F7" i="4" s="1"/>
  <c r="L5" i="4"/>
  <c r="L6" i="4"/>
  <c r="L7" i="4"/>
  <c r="L8" i="4"/>
  <c r="L9" i="4"/>
  <c r="L10" i="4"/>
  <c r="N7" i="4" a="1"/>
  <c r="N7" i="4" s="1"/>
  <c r="T5" i="4"/>
  <c r="T4" i="4"/>
  <c r="S5" i="4"/>
  <c r="W16" i="4" l="1"/>
  <c r="W17" i="4" s="1"/>
  <c r="W18" i="4" s="1"/>
  <c r="W19" i="4" s="1"/>
  <c r="L4" i="4"/>
  <c r="V7" i="4" a="1"/>
  <c r="V7" i="4" s="1"/>
  <c r="W12" i="4" s="1"/>
  <c r="G16" i="4" l="1"/>
  <c r="G17" i="4" s="1"/>
  <c r="G18" i="4" s="1"/>
  <c r="G19" i="4" s="1"/>
  <c r="G12" i="4"/>
  <c r="G3" i="4" s="1"/>
  <c r="G9" i="4" s="1"/>
  <c r="O12" i="4"/>
  <c r="O3" i="4" s="1"/>
  <c r="O6" i="4" s="1"/>
  <c r="O9" i="4" l="1"/>
  <c r="G6" i="4"/>
  <c r="S4" i="4"/>
  <c r="W3" i="4" s="1"/>
  <c r="S3" i="4"/>
  <c r="W9" i="4" l="1"/>
  <c r="W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<sst xmlns="http://schemas.openxmlformats.org/spreadsheetml/2006/main" count="170" uniqueCount="39">
  <si>
    <t>Strom 1.OG</t>
  </si>
  <si>
    <t>Zähler-#: 351684</t>
  </si>
  <si>
    <t>Marktlokation-#: 50941836824</t>
  </si>
  <si>
    <t>Strom Staffelgeschoss</t>
  </si>
  <si>
    <t>Zähler-#: 351670</t>
  </si>
  <si>
    <t>Marktlokation-#: 50941837947</t>
  </si>
  <si>
    <t>Erdgas</t>
  </si>
  <si>
    <t>Zähler-#: 518097</t>
  </si>
  <si>
    <t>Marktlokation-#: 50941890135</t>
  </si>
  <si>
    <t>L-Gas 10,2</t>
  </si>
  <si>
    <t>Datum</t>
  </si>
  <si>
    <t>Zählerstand (kWh')</t>
  </si>
  <si>
    <t>C-Faktor</t>
  </si>
  <si>
    <t>Energiemenge (kWh)</t>
  </si>
  <si>
    <t>Lieferant</t>
  </si>
  <si>
    <t>Berechnung Bereich:</t>
  </si>
  <si>
    <t>Ø-Jahresverbrauch (kWh/a)</t>
  </si>
  <si>
    <t>Zählerstand (m³)</t>
  </si>
  <si>
    <t>Umrechnung</t>
  </si>
  <si>
    <t>Ø-Monatsverbrauch (kWh/m)</t>
  </si>
  <si>
    <t>Anzahl Tage:</t>
  </si>
  <si>
    <t>Ø-Wochenverbrauch (kWh/w)</t>
  </si>
  <si>
    <t>Ø-Tagesverbrauch (kWh/d)</t>
  </si>
  <si>
    <t>Zählernummer</t>
  </si>
  <si>
    <t>Marktlokation</t>
  </si>
  <si>
    <t>Zeitraum</t>
  </si>
  <si>
    <t>13.12.2022 - 29.02.2024</t>
  </si>
  <si>
    <t>01.03.2024 - aktuell</t>
  </si>
  <si>
    <t>?</t>
  </si>
  <si>
    <t>13.12.2022 - aktuell</t>
  </si>
  <si>
    <t>Co2-emis</t>
  </si>
  <si>
    <t>kWh/a</t>
  </si>
  <si>
    <t>Strommenge Gesamt Hiltrup</t>
  </si>
  <si>
    <t>Erdgasmenge</t>
  </si>
  <si>
    <t>Interpolation</t>
  </si>
  <si>
    <t>Zählerstand</t>
  </si>
  <si>
    <t>Jahresverbrauch</t>
  </si>
  <si>
    <t>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</si>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</sst>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0"/>
      <name val="Frutiger LT Com 45 Light"/>
      <family val="2"/>
    </font>
    <font>
      <b/>
      <sz val="10"/>
      <name val="Frutiger LT Com 45 Light"/>
      <family val="2"/>
    </font>
    <font>
      <b/>
      <sz val="10"/>
      <color theme="0"/>
      <name val="Frutiger LT Com 45 Light"/>
      <family val="2"/>
    </font>
    <font>
      <b/>
      <sz val="14"/>
      <name val="Frutiger LT Com 45 Light"/>
      <family val="2"/>
    </font>
    <font>
      <sz val="14"/>
      <name val="Frutiger LT Com 45 Light"/>
      <family val="2"/>
    </font>
    <font>
      <b/>
      <sz val="12"/>
      <color theme="0"/>
      <name val="Frutiger LT Com 45 Light"/>
      <family val="2"/>
    </font>
    <font>
      <sz val="10"/>
      <color theme="0"/>
      <name val="Frutiger LT Com 45 Light"/>
      <family val="2"/>
    </font>
    <font>
      <b/>
      <sz val="14"/>
      <color theme="0"/>
      <name val="Frutiger LT Com 45 Light"/>
      <family val="2"/>
    </font>
    <font>
      <sz val="10"/>
      <color theme="1"/>
      <name val="Frutiger LT Com 4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14" fontId="0" fillId="0" borderId="0" xfId="0" applyNumberForma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0" fontId="0" fillId="0" borderId="5" xfId="0" applyBorder="1"/>
    <xf numFmtId="0" fontId="0" fillId="0" borderId="6" xfId="0" applyBorder="1"/>
    <xf numFmtId="14" fontId="6" fillId="2" borderId="1" xfId="0" applyNumberFormat="1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165" fontId="0" fillId="0" borderId="0" xfId="0" applyNumberFormat="1"/>
    <xf numFmtId="164" fontId="8" fillId="0" borderId="0" xfId="0" applyNumberFormat="1" applyFont="1"/>
    <xf numFmtId="14" fontId="1" fillId="0" borderId="7" xfId="0" applyNumberFormat="1" applyFont="1" applyBorder="1"/>
    <xf numFmtId="0" fontId="0" fillId="0" borderId="8" xfId="0" applyBorder="1"/>
    <xf numFmtId="1" fontId="0" fillId="0" borderId="0" xfId="0" applyNumberFormat="1"/>
    <xf numFmtId="4" fontId="8" fillId="0" borderId="0" xfId="0" applyNumberFormat="1" applyFont="1"/>
    <xf numFmtId="0" fontId="0" fillId="3" borderId="8" xfId="0" applyFill="1" applyBorder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9DFD0"/>
      <rgbColor rgb="00008080"/>
      <rgbColor rgb="00C0C0C0"/>
      <rgbColor rgb="00808080"/>
      <rgbColor rgb="0000AF8A"/>
      <rgbColor rgb="0066CFB9"/>
      <rgbColor rgb="0099DFD0"/>
      <rgbColor rgb="00CCEFE8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CFB9"/>
      <rgbColor rgb="00969696"/>
      <rgbColor rgb="00003366"/>
      <rgbColor rgb="00339966"/>
      <rgbColor rgb="00003300"/>
      <rgbColor rgb="00333300"/>
      <rgbColor rgb="00993300"/>
      <rgbColor rgb="00CCEFE8"/>
      <rgbColor rgb="0000AF8A"/>
      <rgbColor rgb="00333333"/>
    </indexedColors>
    <mruColors>
      <color rgb="FF13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FhG_2022">
  <a:themeElements>
    <a:clrScheme name="FhG 2022">
      <a:dk1>
        <a:srgbClr val="000000"/>
      </a:dk1>
      <a:lt1>
        <a:sysClr val="window" lastClr="FFFFFF"/>
      </a:lt1>
      <a:dk2>
        <a:srgbClr val="A6BBC8"/>
      </a:dk2>
      <a:lt2>
        <a:srgbClr val="F58220"/>
      </a:lt2>
      <a:accent1>
        <a:srgbClr val="179C7D"/>
      </a:accent1>
      <a:accent2>
        <a:srgbClr val="005B7F"/>
      </a:accent2>
      <a:accent3>
        <a:srgbClr val="A6BBC8"/>
      </a:accent3>
      <a:accent4>
        <a:srgbClr val="008598"/>
      </a:accent4>
      <a:accent5>
        <a:srgbClr val="39C1CD"/>
      </a:accent5>
      <a:accent6>
        <a:srgbClr val="B2D235"/>
      </a:accent6>
      <a:hlink>
        <a:srgbClr val="0070C0"/>
      </a:hlink>
      <a:folHlink>
        <a:srgbClr val="7030A0"/>
      </a:folHlink>
    </a:clrScheme>
    <a:fontScheme name="FhG_2022">
      <a:majorFont>
        <a:latin typeface="Frutiger LT Com 45 Light"/>
        <a:ea typeface=""/>
        <a:cs typeface=""/>
      </a:majorFont>
      <a:minorFont>
        <a:latin typeface="Frutiger LT Com 45 Light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DDDDD"/>
        </a:solidFill>
        <a:ln w="1079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="horz" wrap="square" lIns="91440" tIns="45720" rIns="91440" bIns="45720" numCol="1" rtlCol="0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000" b="1" i="0" u="none" strike="noStrike" cap="none" normalizeH="0" baseline="0" dirty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DDDDDD"/>
        </a:solidFill>
        <a:ln w="1079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de-DE" sz="18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</a:objectDefaults>
  <a:extraClrSchemeLst>
    <a:extraClrScheme>
      <a:clrScheme name="1_fol_q 1">
        <a:dk1>
          <a:srgbClr val="000000"/>
        </a:dk1>
        <a:lt1>
          <a:srgbClr val="FFFFFF"/>
        </a:lt1>
        <a:dk2>
          <a:srgbClr val="000000"/>
        </a:dk2>
        <a:lt2>
          <a:srgbClr val="FFFFFF"/>
        </a:lt2>
        <a:accent1>
          <a:srgbClr val="B9E1D8"/>
        </a:accent1>
        <a:accent2>
          <a:srgbClr val="179C7D"/>
        </a:accent2>
        <a:accent3>
          <a:srgbClr val="FFFFFF"/>
        </a:accent3>
        <a:accent4>
          <a:srgbClr val="000000"/>
        </a:accent4>
        <a:accent5>
          <a:srgbClr val="D9EEE9"/>
        </a:accent5>
        <a:accent6>
          <a:srgbClr val="148D71"/>
        </a:accent6>
        <a:hlink>
          <a:srgbClr val="8BCDBE"/>
        </a:hlink>
        <a:folHlink>
          <a:srgbClr val="5CBAA4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70" zoomScaleNormal="70" workbookViewId="0">
      <selection activeCell="D18" sqref="D18"/>
    </sheetView>
  </sheetViews>
  <sheetFormatPr defaultColWidth="11.44140625" defaultRowHeight="13.2"/>
  <cols>
    <col min="1" max="1" width="19.109375" bestFit="1" customWidth="1"/>
    <col min="2" max="2" width="22.88671875" bestFit="1" customWidth="1"/>
    <col min="4" max="4" width="25.5546875" bestFit="1" customWidth="1"/>
    <col min="5" max="5" width="23.6640625" customWidth="1"/>
    <col min="6" max="6" width="22.88671875" bestFit="1" customWidth="1"/>
    <col min="7" max="7" width="32.88671875" bestFit="1" customWidth="1"/>
    <col min="8" max="8" width="13.44140625" bestFit="1" customWidth="1"/>
    <col min="9" max="9" width="30.44140625" bestFit="1" customWidth="1"/>
    <col min="10" max="10" width="23.5546875" bestFit="1" customWidth="1"/>
    <col min="13" max="13" width="18.44140625" bestFit="1" customWidth="1"/>
    <col min="14" max="14" width="25" bestFit="1" customWidth="1"/>
    <col min="15" max="15" width="32.88671875" bestFit="1" customWidth="1"/>
    <col min="17" max="17" width="14.44140625" customWidth="1"/>
    <col min="18" max="18" width="22.88671875" bestFit="1" customWidth="1"/>
    <col min="19" max="19" width="14.5546875" bestFit="1" customWidth="1"/>
    <col min="20" max="20" width="25.5546875" bestFit="1" customWidth="1"/>
    <col min="21" max="21" width="23.6640625" customWidth="1"/>
    <col min="22" max="22" width="22.88671875" bestFit="1" customWidth="1"/>
    <col min="23" max="23" width="32.88671875" bestFit="1" customWidth="1"/>
  </cols>
  <sheetData>
    <row r="1" spans="1:23" ht="17.399999999999999">
      <c r="A1" s="2" t="s">
        <v>0</v>
      </c>
      <c r="B1" s="2" t="s">
        <v>1</v>
      </c>
      <c r="C1" s="2" t="s">
        <v>2</v>
      </c>
      <c r="I1" s="2" t="s">
        <v>3</v>
      </c>
      <c r="J1" s="2" t="s">
        <v>4</v>
      </c>
      <c r="K1" s="2" t="s">
        <v>5</v>
      </c>
      <c r="Q1" s="2" t="s">
        <v>6</v>
      </c>
      <c r="R1" s="2" t="s">
        <v>7</v>
      </c>
      <c r="S1" s="2" t="s">
        <v>8</v>
      </c>
      <c r="W1" s="3" t="s">
        <v>9</v>
      </c>
    </row>
    <row r="2" spans="1:23" ht="15.6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7"/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Q2" s="4" t="s">
        <v>10</v>
      </c>
      <c r="R2" s="4" t="s">
        <v>17</v>
      </c>
      <c r="S2" s="4" t="s">
        <v>18</v>
      </c>
      <c r="T2" s="4" t="s">
        <v>13</v>
      </c>
      <c r="U2" s="4" t="s">
        <v>14</v>
      </c>
      <c r="V2" s="4" t="s">
        <v>15</v>
      </c>
      <c r="W2" s="4" t="s">
        <v>16</v>
      </c>
    </row>
    <row r="3" spans="1:23">
      <c r="A3" s="5">
        <v>44908</v>
      </c>
      <c r="B3" s="6">
        <f ca="1">RAND()</f>
        <v>0.42838295114265479</v>
      </c>
      <c r="C3">
        <v>30</v>
      </c>
      <c r="D3">
        <v>20</v>
      </c>
      <c r="E3" s="6" t="s">
        <v>37</v>
      </c>
      <c r="G3" s="26">
        <f>G12*365</f>
        <v>190.26063100137173</v>
      </c>
      <c r="I3" s="5">
        <v>44825</v>
      </c>
      <c r="J3" s="6">
        <f ca="1">RAND()</f>
        <v>0.98057095369356373</v>
      </c>
      <c r="K3">
        <v>30</v>
      </c>
      <c r="L3" s="6">
        <v>0</v>
      </c>
      <c r="M3" s="6" t="s">
        <v>37</v>
      </c>
      <c r="O3" s="22">
        <f ca="1">O12*365</f>
        <v>13.182752061218862</v>
      </c>
      <c r="Q3" s="5">
        <v>44908</v>
      </c>
      <c r="R3" s="6">
        <f ca="1">RAND()</f>
        <v>0.42852306237605731</v>
      </c>
      <c r="S3">
        <f>10.2*0.95</f>
        <v>9.69</v>
      </c>
      <c r="T3" s="6">
        <v>0</v>
      </c>
      <c r="U3" s="6" t="s">
        <v>37</v>
      </c>
      <c r="W3" s="22">
        <f ca="1">W12*365</f>
        <v>0.41961949061700776</v>
      </c>
    </row>
    <row r="4" spans="1:23">
      <c r="A4" s="5">
        <v>44926</v>
      </c>
      <c r="B4" s="6">
        <f t="shared" ref="B4:B15" ca="1" si="0">RAND()</f>
        <v>0.77054001542260619</v>
      </c>
      <c r="C4">
        <v>30</v>
      </c>
      <c r="D4">
        <v>20</v>
      </c>
      <c r="E4" s="6" t="s">
        <v>37</v>
      </c>
      <c r="F4" s="8"/>
      <c r="I4" s="5">
        <v>44908</v>
      </c>
      <c r="J4" s="6">
        <f t="shared" ref="J4:J11" ca="1" si="1">RAND()</f>
        <v>0.1576470963192631</v>
      </c>
      <c r="K4">
        <v>30</v>
      </c>
      <c r="L4" s="6">
        <f ca="1">(J4-J3)*K4</f>
        <v>-24.687715721229019</v>
      </c>
      <c r="M4" s="6" t="s">
        <v>37</v>
      </c>
      <c r="N4" s="8"/>
      <c r="Q4" s="5">
        <v>45160</v>
      </c>
      <c r="R4" s="6">
        <f t="shared" ref="R4:R6" ca="1" si="2">RAND()</f>
        <v>0.34078610261200226</v>
      </c>
      <c r="S4">
        <f t="shared" ref="S4:S6" si="3">10.2*0.95</f>
        <v>9.69</v>
      </c>
      <c r="T4" s="6">
        <f ca="1">(R4-R3)*S4</f>
        <v>-0.85017114011369332</v>
      </c>
      <c r="U4" s="6" t="s">
        <v>37</v>
      </c>
      <c r="V4" s="8"/>
    </row>
    <row r="5" spans="1:23">
      <c r="A5" s="5">
        <v>44927</v>
      </c>
      <c r="B5" s="6">
        <f t="shared" ca="1" si="0"/>
        <v>0.10913934509087164</v>
      </c>
      <c r="C5">
        <v>30</v>
      </c>
      <c r="D5">
        <v>20</v>
      </c>
      <c r="E5" s="6" t="s">
        <v>37</v>
      </c>
      <c r="G5" s="1" t="s">
        <v>19</v>
      </c>
      <c r="I5" s="5">
        <v>44926</v>
      </c>
      <c r="J5" s="6">
        <f t="shared" ca="1" si="1"/>
        <v>0.62698686681666416</v>
      </c>
      <c r="K5">
        <v>30</v>
      </c>
      <c r="L5" s="6">
        <f t="shared" ref="L5:L10" ca="1" si="4">(J5-J4)*K5</f>
        <v>14.080193114922032</v>
      </c>
      <c r="M5" s="6" t="s">
        <v>37</v>
      </c>
      <c r="O5" s="1" t="s">
        <v>19</v>
      </c>
      <c r="Q5" s="5">
        <v>45390</v>
      </c>
      <c r="R5" s="6">
        <f t="shared" ca="1" si="2"/>
        <v>0.55813938588435696</v>
      </c>
      <c r="S5">
        <f t="shared" si="3"/>
        <v>9.69</v>
      </c>
      <c r="T5" s="6">
        <f ca="1">(R5-R4)*S5</f>
        <v>2.1061533149091169</v>
      </c>
      <c r="U5" s="6" t="s">
        <v>38</v>
      </c>
      <c r="W5" s="1" t="s">
        <v>19</v>
      </c>
    </row>
    <row r="6" spans="1:23">
      <c r="A6" s="5">
        <v>44991</v>
      </c>
      <c r="B6" s="6">
        <f t="shared" ca="1" si="0"/>
        <v>0.44818927024606481</v>
      </c>
      <c r="C6">
        <v>30</v>
      </c>
      <c r="D6">
        <v>20</v>
      </c>
      <c r="E6" s="6" t="s">
        <v>37</v>
      </c>
      <c r="F6" s="8" t="s">
        <v>20</v>
      </c>
      <c r="G6" s="26">
        <f>G3/12</f>
        <v>15.855052583447645</v>
      </c>
      <c r="I6" s="5">
        <v>44927</v>
      </c>
      <c r="J6" s="6">
        <f t="shared" ca="1" si="1"/>
        <v>0.9192825271968168</v>
      </c>
      <c r="K6">
        <v>30</v>
      </c>
      <c r="L6" s="6">
        <f t="shared" ca="1" si="4"/>
        <v>8.7688698114045796</v>
      </c>
      <c r="M6" s="6" t="s">
        <v>37</v>
      </c>
      <c r="N6" s="8" t="s">
        <v>20</v>
      </c>
      <c r="O6" s="22">
        <f ca="1">O3/12</f>
        <v>1.0985626717682384</v>
      </c>
      <c r="Q6" s="5">
        <v>45637</v>
      </c>
      <c r="R6" s="6">
        <f t="shared" ca="1" si="2"/>
        <v>0.51501319021857217</v>
      </c>
      <c r="S6">
        <f t="shared" si="3"/>
        <v>9.69</v>
      </c>
      <c r="T6" s="6">
        <f ca="1">(R6-R5)*S6</f>
        <v>-0.41789283600145466</v>
      </c>
      <c r="U6" s="6" t="s">
        <v>38</v>
      </c>
      <c r="V6" s="8" t="s">
        <v>20</v>
      </c>
      <c r="W6" s="22">
        <f ca="1">W3/12</f>
        <v>3.4968290884750647E-2</v>
      </c>
    </row>
    <row r="7" spans="1:23">
      <c r="A7" s="5">
        <v>44995</v>
      </c>
      <c r="B7" s="6">
        <f t="shared" ca="1" si="0"/>
        <v>0.89413618886420954</v>
      </c>
      <c r="C7">
        <v>30</v>
      </c>
      <c r="D7">
        <v>20</v>
      </c>
      <c r="E7" s="6" t="s">
        <v>37</v>
      </c>
      <c r="F7" s="25" cm="1">
        <f t="array" ref="F7">(INDEX(A1:A1000,SUMPRODUCT(MAX((A1:A1000&lt;&gt;"")*ROW(A1:A1000)))))-A3</f>
        <v>729</v>
      </c>
      <c r="I7" s="5">
        <v>45006</v>
      </c>
      <c r="J7" s="6">
        <f t="shared" ca="1" si="1"/>
        <v>0.82759619576748467</v>
      </c>
      <c r="K7">
        <v>30</v>
      </c>
      <c r="L7" s="6">
        <f t="shared" ca="1" si="4"/>
        <v>-2.7505899428799641</v>
      </c>
      <c r="M7" s="6" t="s">
        <v>37</v>
      </c>
      <c r="N7" s="25" cm="1">
        <f t="array" ref="N7">(INDEX(I1:I1000,SUMPRODUCT(MAX((I1:I1000&lt;&gt;"")*ROW(I1:I1000)))))-I3</f>
        <v>812</v>
      </c>
      <c r="Q7" s="5"/>
      <c r="R7" s="6"/>
      <c r="T7" s="6"/>
      <c r="U7" s="6"/>
      <c r="V7" s="25" cm="1">
        <f t="array" ref="V7">(INDEX(Q1:Q1000,SUMPRODUCT(MAX((Q1:Q1000&lt;&gt;"")*ROW(Q1:Q1000)))))-Q3</f>
        <v>729</v>
      </c>
    </row>
    <row r="8" spans="1:23">
      <c r="A8" s="5">
        <v>44998</v>
      </c>
      <c r="B8" s="6">
        <f t="shared" ca="1" si="0"/>
        <v>0.90888845415884145</v>
      </c>
      <c r="C8">
        <v>30</v>
      </c>
      <c r="D8">
        <v>20</v>
      </c>
      <c r="E8" s="6" t="s">
        <v>37</v>
      </c>
      <c r="F8" s="6"/>
      <c r="G8" s="1" t="s">
        <v>21</v>
      </c>
      <c r="I8" s="5">
        <v>45016</v>
      </c>
      <c r="J8" s="6">
        <f t="shared" ca="1" si="1"/>
        <v>0.21360585838287338</v>
      </c>
      <c r="K8">
        <v>30</v>
      </c>
      <c r="L8" s="6">
        <f t="shared" ca="1" si="4"/>
        <v>-18.419710121538337</v>
      </c>
      <c r="M8" s="6" t="s">
        <v>37</v>
      </c>
      <c r="N8" s="6"/>
      <c r="O8" s="1" t="s">
        <v>21</v>
      </c>
      <c r="Q8" s="5"/>
      <c r="R8" s="6"/>
      <c r="T8" s="6"/>
      <c r="U8" s="6"/>
      <c r="V8" s="6"/>
      <c r="W8" s="1" t="s">
        <v>21</v>
      </c>
    </row>
    <row r="9" spans="1:23">
      <c r="A9" s="5">
        <v>45016</v>
      </c>
      <c r="B9" s="6">
        <f t="shared" ca="1" si="0"/>
        <v>0.47965945796817533</v>
      </c>
      <c r="C9">
        <v>30</v>
      </c>
      <c r="D9">
        <v>20</v>
      </c>
      <c r="E9" s="6" t="s">
        <v>37</v>
      </c>
      <c r="G9" s="26">
        <f>G3/52</f>
        <v>3.6588582884879179</v>
      </c>
      <c r="I9" s="5">
        <v>45017</v>
      </c>
      <c r="J9" s="6">
        <f t="shared" ca="1" si="1"/>
        <v>2.4481375367846003E-2</v>
      </c>
      <c r="K9">
        <v>30</v>
      </c>
      <c r="L9" s="6">
        <f t="shared" ca="1" si="4"/>
        <v>-5.6737344904508209</v>
      </c>
      <c r="M9" s="6" t="s">
        <v>37</v>
      </c>
      <c r="O9" s="22">
        <f ca="1">O3/52</f>
        <v>0.25351446271574735</v>
      </c>
      <c r="Q9" s="5"/>
      <c r="R9" s="6"/>
      <c r="W9" s="22">
        <f ca="1">W3/52</f>
        <v>8.0696055887886104E-3</v>
      </c>
    </row>
    <row r="10" spans="1:23">
      <c r="A10" s="5">
        <v>45017</v>
      </c>
      <c r="B10" s="6">
        <f t="shared" ca="1" si="0"/>
        <v>0.14232828009253451</v>
      </c>
      <c r="C10">
        <v>30</v>
      </c>
      <c r="D10">
        <v>20</v>
      </c>
      <c r="E10" s="6" t="s">
        <v>37</v>
      </c>
      <c r="I10" s="5">
        <v>45210</v>
      </c>
      <c r="J10" s="6">
        <f t="shared" ca="1" si="1"/>
        <v>0.29147457686340061</v>
      </c>
      <c r="K10">
        <v>30</v>
      </c>
      <c r="L10" s="6">
        <f t="shared" ca="1" si="4"/>
        <v>8.0097960448666381</v>
      </c>
      <c r="M10" s="6" t="s">
        <v>37</v>
      </c>
      <c r="Q10" s="5"/>
      <c r="R10" s="6"/>
    </row>
    <row r="11" spans="1:23">
      <c r="A11" s="5">
        <v>45159</v>
      </c>
      <c r="B11" s="6">
        <f t="shared" ca="1" si="0"/>
        <v>0.68140644034413933</v>
      </c>
      <c r="C11">
        <v>30</v>
      </c>
      <c r="D11">
        <v>20</v>
      </c>
      <c r="E11" s="6" t="s">
        <v>37</v>
      </c>
      <c r="G11" s="1" t="s">
        <v>22</v>
      </c>
      <c r="I11" s="5">
        <v>45637</v>
      </c>
      <c r="J11" s="6">
        <f t="shared" ca="1" si="1"/>
        <v>0.91268980974672953</v>
      </c>
      <c r="K11">
        <v>30</v>
      </c>
      <c r="L11" s="6">
        <v>50</v>
      </c>
      <c r="M11" s="6" t="s">
        <v>37</v>
      </c>
      <c r="O11" s="1" t="s">
        <v>22</v>
      </c>
      <c r="Q11" s="5"/>
      <c r="R11" s="6"/>
      <c r="W11" s="1" t="s">
        <v>22</v>
      </c>
    </row>
    <row r="12" spans="1:23">
      <c r="A12" s="5">
        <v>45210</v>
      </c>
      <c r="B12" s="6">
        <f t="shared" ca="1" si="0"/>
        <v>0.5042414674664637</v>
      </c>
      <c r="C12">
        <v>30</v>
      </c>
      <c r="D12">
        <v>20</v>
      </c>
      <c r="E12" s="6" t="s">
        <v>37</v>
      </c>
      <c r="G12" s="26">
        <f>SUM(D:D)/F7</f>
        <v>0.52126200274348422</v>
      </c>
      <c r="I12" s="5"/>
      <c r="J12" s="6"/>
      <c r="L12" s="6"/>
      <c r="M12" s="6"/>
      <c r="O12" s="22">
        <f ca="1">SUM(L:L)/N7</f>
        <v>3.6117128934846199E-2</v>
      </c>
      <c r="Q12" s="5"/>
      <c r="R12" s="6"/>
      <c r="W12" s="22">
        <f ca="1">SUM(T:T)/V7</f>
        <v>1.1496424400465966E-3</v>
      </c>
    </row>
    <row r="13" spans="1:23">
      <c r="A13" s="5">
        <v>45355</v>
      </c>
      <c r="B13" s="6">
        <f t="shared" ca="1" si="0"/>
        <v>0.35250264856916225</v>
      </c>
      <c r="C13">
        <v>30</v>
      </c>
      <c r="D13">
        <v>20</v>
      </c>
      <c r="E13" s="6" t="s">
        <v>38</v>
      </c>
      <c r="M13" s="6"/>
      <c r="Q13" s="5"/>
    </row>
    <row r="14" spans="1:23">
      <c r="A14" s="5">
        <v>45390</v>
      </c>
      <c r="B14" s="6">
        <f t="shared" ca="1" si="0"/>
        <v>0.54568045070938487</v>
      </c>
      <c r="C14">
        <v>30</v>
      </c>
      <c r="D14">
        <v>20</v>
      </c>
      <c r="E14" s="6" t="s">
        <v>38</v>
      </c>
      <c r="N14" s="6"/>
      <c r="Q14" s="5"/>
    </row>
    <row r="15" spans="1:23">
      <c r="A15" s="5">
        <v>45637</v>
      </c>
      <c r="B15" s="6">
        <f t="shared" ca="1" si="0"/>
        <v>0.41836135348873538</v>
      </c>
      <c r="C15">
        <v>30</v>
      </c>
      <c r="D15">
        <v>20</v>
      </c>
      <c r="E15" s="6" t="s">
        <v>38</v>
      </c>
      <c r="G15">
        <f>ABS(A12 - A15)</f>
        <v>427</v>
      </c>
      <c r="Q15" s="5"/>
      <c r="W15">
        <f>ABS(Q4 - Q6)</f>
        <v>477</v>
      </c>
    </row>
    <row r="16" spans="1:23">
      <c r="D16">
        <v>40</v>
      </c>
      <c r="G16" s="6">
        <f>SUM(D13:D15)</f>
        <v>60</v>
      </c>
      <c r="O16">
        <f>ABS(I10 - I11)</f>
        <v>427</v>
      </c>
      <c r="W16" s="6">
        <f ca="1">SUM(T5:T6)</f>
        <v>1.6882604789076623</v>
      </c>
    </row>
    <row r="17" spans="4:24">
      <c r="D17">
        <v>80</v>
      </c>
      <c r="G17">
        <f>G16/G15</f>
        <v>0.14051522248243559</v>
      </c>
      <c r="I17" s="5"/>
      <c r="J17" s="6"/>
      <c r="L17" s="6"/>
      <c r="O17" s="6">
        <f>SUM(L11)</f>
        <v>50</v>
      </c>
      <c r="W17">
        <f ca="1">W16/W15</f>
        <v>3.539330144460508E-3</v>
      </c>
    </row>
    <row r="18" spans="4:24">
      <c r="G18">
        <f>G17*365</f>
        <v>51.288056206088989</v>
      </c>
      <c r="I18" s="5"/>
      <c r="J18" s="6"/>
      <c r="L18" s="6"/>
      <c r="O18">
        <f>O17/O16</f>
        <v>0.117096018735363</v>
      </c>
      <c r="W18">
        <f ca="1">W17*365</f>
        <v>1.2918555027280854</v>
      </c>
    </row>
    <row r="19" spans="4:24">
      <c r="F19" t="s">
        <v>30</v>
      </c>
      <c r="G19">
        <f>G18*0.352</f>
        <v>18.053395784543323</v>
      </c>
      <c r="O19">
        <f>O18*365</f>
        <v>42.740046838407494</v>
      </c>
      <c r="V19" t="s">
        <v>30</v>
      </c>
      <c r="W19">
        <f ca="1">W18*0.202</f>
        <v>0.26095481155107325</v>
      </c>
    </row>
    <row r="20" spans="4:24">
      <c r="N20" t="s">
        <v>30</v>
      </c>
      <c r="O20">
        <f>O19*0.352</f>
        <v>15.044496487119437</v>
      </c>
    </row>
    <row r="22" spans="4:24" ht="15.6">
      <c r="F22" s="4" t="s">
        <v>34</v>
      </c>
      <c r="N22" s="4" t="s">
        <v>34</v>
      </c>
      <c r="V22" s="4" t="s">
        <v>34</v>
      </c>
    </row>
    <row r="23" spans="4:24">
      <c r="F23" t="s">
        <v>10</v>
      </c>
      <c r="G23" t="s">
        <v>35</v>
      </c>
      <c r="H23" t="s">
        <v>36</v>
      </c>
      <c r="N23" t="s">
        <v>10</v>
      </c>
      <c r="O23" t="s">
        <v>35</v>
      </c>
      <c r="P23" t="s">
        <v>36</v>
      </c>
      <c r="V23" t="s">
        <v>10</v>
      </c>
      <c r="W23" t="s">
        <v>35</v>
      </c>
      <c r="X23" t="s">
        <v>36</v>
      </c>
    </row>
    <row r="24" spans="4:24">
      <c r="F24" s="5">
        <v>45291</v>
      </c>
      <c r="G24">
        <f ca="1">_xlfn.FORECAST.LINEAR(F24,$B$3:$B$1000,$A$3:$A$1000)</f>
        <v>0.49306756552305231</v>
      </c>
      <c r="H24">
        <f ca="1">(G24-B5)*C3</f>
        <v>11.517846612965419</v>
      </c>
      <c r="N24" s="5">
        <v>45291</v>
      </c>
      <c r="O24">
        <f ca="1">_xlfn.FORECAST.LINEAR(N24,$J$3:$J$1000,$I$3:$I$1000)</f>
        <v>0.59660726098265648</v>
      </c>
      <c r="P24">
        <f ca="1">(O24-J5)*$K$3</f>
        <v>-0.91138817502023017</v>
      </c>
      <c r="V24" s="5">
        <v>44926</v>
      </c>
      <c r="W24">
        <f ca="1">_xlfn.FORECAST.LINEAR(V24,$R$3:$R$1000,$Q$3:$Q$1000)</f>
        <v>0.39340994034011167</v>
      </c>
    </row>
    <row r="25" spans="4:24">
      <c r="F25" s="5">
        <v>45657</v>
      </c>
      <c r="G25">
        <f ca="1">_xlfn.FORECAST.LINEAR(F25,$B$3:$B$1000,$A$3:$A$1000)</f>
        <v>0.44864452308042502</v>
      </c>
      <c r="H25">
        <f ca="1">(G25-G24)*$C$3</f>
        <v>-1.3326912732788188</v>
      </c>
      <c r="N25" s="5">
        <v>45657</v>
      </c>
      <c r="O25">
        <f t="shared" ref="O25:O26" ca="1" si="5">_xlfn.FORECAST.LINEAR(N25,$J$3:$J$1000,$I$3:$I$1000)</f>
        <v>0.66737466315325378</v>
      </c>
      <c r="P25">
        <f ca="1">(O25-O24)*$K$3</f>
        <v>2.1230220651179188</v>
      </c>
      <c r="V25" s="5">
        <v>45291</v>
      </c>
      <c r="W25">
        <f ca="1">_xlfn.FORECAST.LINEAR(V25,$R$3:$R$1000,$Q$3:$Q$1000)</f>
        <v>0.46394913703432294</v>
      </c>
      <c r="X25">
        <f ca="1">(W25-W24)*$S$3</f>
        <v>0.68352481596690717</v>
      </c>
    </row>
    <row r="26" spans="4:24">
      <c r="F26" s="5">
        <v>46022</v>
      </c>
      <c r="G26">
        <f ca="1">_xlfn.FORECAST.LINEAR(F26,$B$3:$B$1000,$A$3:$A$1000)</f>
        <v>0.40434285507070111</v>
      </c>
      <c r="H26">
        <f ca="1">(G26-G25)*$C$3</f>
        <v>-1.3290500402917171</v>
      </c>
      <c r="N26" s="5">
        <v>46022</v>
      </c>
      <c r="O26">
        <f t="shared" ca="1" si="5"/>
        <v>0.73794871176600729</v>
      </c>
      <c r="P26">
        <f ca="1">(O26-O25)*$K$3</f>
        <v>2.1172214583826054</v>
      </c>
      <c r="V26" s="5">
        <v>45657</v>
      </c>
      <c r="W26">
        <f t="shared" ref="W26:W27" ca="1" si="6">_xlfn.FORECAST.LINEAR(V26,$R$3:$R$1000,$Q$3:$Q$1000)</f>
        <v>0.53468159180166808</v>
      </c>
      <c r="X26">
        <f ca="1">(W26-W25)*$S$3</f>
        <v>0.68539748669557432</v>
      </c>
    </row>
    <row r="27" spans="4:24">
      <c r="V27" s="5">
        <v>46022</v>
      </c>
      <c r="W27">
        <f t="shared" ca="1" si="6"/>
        <v>0.60522078849587757</v>
      </c>
      <c r="X27">
        <f ca="1">(W27-W26)*$K$3</f>
        <v>2.1161759008262848</v>
      </c>
    </row>
    <row r="29" spans="4:24">
      <c r="F29" s="5"/>
    </row>
    <row r="30" spans="4:24">
      <c r="F30" s="5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5" sqref="F5"/>
    </sheetView>
  </sheetViews>
  <sheetFormatPr defaultColWidth="11.44140625" defaultRowHeight="13.2"/>
  <cols>
    <col min="1" max="1" width="23.44140625" bestFit="1" customWidth="1"/>
    <col min="2" max="2" width="19.6640625" bestFit="1" customWidth="1"/>
    <col min="3" max="3" width="20" bestFit="1" customWidth="1"/>
    <col min="4" max="4" width="17.5546875" bestFit="1" customWidth="1"/>
    <col min="5" max="5" width="21.33203125" bestFit="1" customWidth="1"/>
  </cols>
  <sheetData>
    <row r="1" spans="1:5" ht="17.399999999999999">
      <c r="A1" s="11"/>
      <c r="B1" s="12" t="s">
        <v>23</v>
      </c>
      <c r="C1" s="12" t="s">
        <v>24</v>
      </c>
      <c r="D1" s="12" t="s">
        <v>14</v>
      </c>
      <c r="E1" s="13" t="s">
        <v>25</v>
      </c>
    </row>
    <row r="2" spans="1:5">
      <c r="A2" s="31" t="s">
        <v>0</v>
      </c>
      <c r="B2" s="29">
        <v>928375</v>
      </c>
      <c r="C2" s="29">
        <v>40593836948</v>
      </c>
      <c r="D2" s="17" t="s">
        <v>37</v>
      </c>
      <c r="E2" s="18" t="s">
        <v>26</v>
      </c>
    </row>
    <row r="3" spans="1:5">
      <c r="A3" s="32"/>
      <c r="B3" s="30"/>
      <c r="C3" s="30"/>
      <c r="D3" t="s">
        <v>38</v>
      </c>
      <c r="E3" s="24" t="s">
        <v>27</v>
      </c>
    </row>
    <row r="4" spans="1:5">
      <c r="A4" s="23" t="s">
        <v>3</v>
      </c>
      <c r="B4" s="28">
        <v>928375</v>
      </c>
      <c r="C4" s="28">
        <v>40593836948</v>
      </c>
      <c r="D4" t="s">
        <v>37</v>
      </c>
      <c r="E4" s="27" t="s">
        <v>28</v>
      </c>
    </row>
    <row r="5" spans="1:5">
      <c r="A5" s="19" t="s">
        <v>6</v>
      </c>
      <c r="B5" s="20">
        <v>928375</v>
      </c>
      <c r="C5" s="20">
        <v>40593836948</v>
      </c>
      <c r="D5" s="9" t="s">
        <v>37</v>
      </c>
      <c r="E5" s="10" t="s">
        <v>29</v>
      </c>
    </row>
    <row r="6" spans="1:5">
      <c r="B6" s="16"/>
      <c r="C6" s="16"/>
    </row>
    <row r="7" spans="1:5">
      <c r="A7" s="15"/>
      <c r="B7" s="16"/>
      <c r="C7" s="16"/>
    </row>
    <row r="8" spans="1:5">
      <c r="A8" s="15"/>
      <c r="B8" s="16"/>
      <c r="C8" s="16"/>
      <c r="E8" s="5"/>
    </row>
    <row r="9" spans="1:5">
      <c r="A9" s="14"/>
    </row>
    <row r="10" spans="1:5">
      <c r="A10" s="14"/>
    </row>
  </sheetData>
  <mergeCells count="3">
    <mergeCell ref="C2:C3"/>
    <mergeCell ref="B2:B3"/>
    <mergeCell ref="A2:A3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4513-AB53-4312-885D-24C70A15DDCA}">
  <dimension ref="A1:W37"/>
  <sheetViews>
    <sheetView workbookViewId="0">
      <selection activeCell="D3" sqref="D3"/>
    </sheetView>
  </sheetViews>
  <sheetFormatPr defaultColWidth="11.5546875" defaultRowHeight="13.2"/>
  <cols>
    <col min="1" max="1" width="15.44140625" bestFit="1" customWidth="1"/>
    <col min="2" max="2" width="21.88671875" bestFit="1" customWidth="1"/>
    <col min="3" max="3" width="16.6640625" customWidth="1"/>
    <col min="5" max="5" width="16.6640625" bestFit="1" customWidth="1"/>
    <col min="7" max="7" width="29.33203125" bestFit="1" customWidth="1"/>
    <col min="9" max="9" width="29" bestFit="1" customWidth="1"/>
    <col min="10" max="10" width="21.88671875" bestFit="1" customWidth="1"/>
    <col min="12" max="12" width="22.88671875" bestFit="1" customWidth="1"/>
    <col min="13" max="13" width="16.6640625" bestFit="1" customWidth="1"/>
    <col min="14" max="14" width="18.88671875" customWidth="1"/>
    <col min="15" max="15" width="29.33203125" bestFit="1" customWidth="1"/>
    <col min="22" max="22" width="22.44140625" bestFit="1" customWidth="1"/>
  </cols>
  <sheetData>
    <row r="1" spans="1:23" ht="17.399999999999999">
      <c r="A1" s="2" t="s">
        <v>0</v>
      </c>
      <c r="B1" s="2" t="s">
        <v>1</v>
      </c>
      <c r="C1" s="2" t="s">
        <v>2</v>
      </c>
      <c r="I1" s="2" t="s">
        <v>3</v>
      </c>
      <c r="J1" s="2" t="s">
        <v>4</v>
      </c>
      <c r="K1" s="2" t="s">
        <v>5</v>
      </c>
    </row>
    <row r="2" spans="1:23" ht="17.399999999999999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7"/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Q2" s="2" t="s">
        <v>6</v>
      </c>
      <c r="R2" s="2" t="s">
        <v>7</v>
      </c>
      <c r="S2" s="2" t="s">
        <v>8</v>
      </c>
      <c r="W2" s="3"/>
    </row>
    <row r="3" spans="1:23" ht="15.6">
      <c r="A3" s="5">
        <v>44908</v>
      </c>
      <c r="B3" s="6">
        <f ca="1">RAND()</f>
        <v>0.95296550272781289</v>
      </c>
      <c r="C3">
        <v>30</v>
      </c>
      <c r="D3" s="21">
        <v>0</v>
      </c>
      <c r="E3" s="6" t="s">
        <v>37</v>
      </c>
      <c r="G3" s="26">
        <f ca="1">G12*365</f>
        <v>-4.4159585674981496</v>
      </c>
      <c r="I3" s="5">
        <v>44825</v>
      </c>
      <c r="J3" s="6">
        <f ca="1">RAND()</f>
        <v>0.98273395999767688</v>
      </c>
      <c r="K3">
        <v>30</v>
      </c>
      <c r="L3" s="6">
        <v>0</v>
      </c>
      <c r="M3" s="6" t="s">
        <v>37</v>
      </c>
      <c r="O3" s="22">
        <f ca="1">O12*365</f>
        <v>-5.2340575989732701</v>
      </c>
      <c r="Q3" s="4" t="s">
        <v>10</v>
      </c>
      <c r="R3" s="4" t="s">
        <v>17</v>
      </c>
      <c r="S3" s="4" t="s">
        <v>18</v>
      </c>
      <c r="T3" s="4" t="s">
        <v>13</v>
      </c>
      <c r="U3" s="4" t="s">
        <v>14</v>
      </c>
      <c r="V3" s="4" t="s">
        <v>15</v>
      </c>
      <c r="W3" s="4"/>
    </row>
    <row r="4" spans="1:23">
      <c r="A4" s="5">
        <v>44926</v>
      </c>
      <c r="B4" s="6">
        <f t="shared" ref="B4:B15" ca="1" si="0">RAND()</f>
        <v>0.46894081695819068</v>
      </c>
      <c r="C4">
        <v>30</v>
      </c>
      <c r="D4" s="6">
        <f ca="1">(B4-B3)*C4</f>
        <v>-14.520740573088666</v>
      </c>
      <c r="E4" s="6" t="s">
        <v>37</v>
      </c>
      <c r="F4" s="8"/>
      <c r="I4" s="5">
        <v>44908</v>
      </c>
      <c r="J4" s="6">
        <f t="shared" ref="J4:J11" ca="1" si="1">RAND()</f>
        <v>0.35596220041063398</v>
      </c>
      <c r="K4">
        <v>30</v>
      </c>
      <c r="L4" s="6">
        <f ca="1">(J4-J3)*K4</f>
        <v>-18.803152787611285</v>
      </c>
      <c r="M4" s="6" t="s">
        <v>37</v>
      </c>
      <c r="N4" s="8"/>
      <c r="Q4" s="5">
        <v>44908</v>
      </c>
      <c r="R4" s="6">
        <f ca="1">RAND()</f>
        <v>0.61203494863827901</v>
      </c>
      <c r="S4">
        <f>10.2*0.95</f>
        <v>9.69</v>
      </c>
      <c r="T4" s="6">
        <v>0</v>
      </c>
      <c r="U4" s="6" t="s">
        <v>37</v>
      </c>
      <c r="W4" s="22">
        <v>49563.397615226342</v>
      </c>
    </row>
    <row r="5" spans="1:23">
      <c r="A5" s="5">
        <v>44927</v>
      </c>
      <c r="B5" s="6">
        <f t="shared" ca="1" si="0"/>
        <v>0.934392353903026</v>
      </c>
      <c r="C5">
        <v>30</v>
      </c>
      <c r="D5" s="6">
        <f t="shared" ref="D5" ca="1" si="2">(B5-B4)*C5</f>
        <v>13.96354610834506</v>
      </c>
      <c r="E5" s="6" t="s">
        <v>37</v>
      </c>
      <c r="G5" s="1" t="s">
        <v>19</v>
      </c>
      <c r="I5" s="5">
        <v>44926</v>
      </c>
      <c r="J5" s="6">
        <f t="shared" ca="1" si="1"/>
        <v>0.71220851646716821</v>
      </c>
      <c r="K5">
        <v>30</v>
      </c>
      <c r="L5" s="6">
        <f t="shared" ref="L5:L11" ca="1" si="3">(J5-J4)*K5</f>
        <v>10.687389481696027</v>
      </c>
      <c r="M5" s="6" t="s">
        <v>37</v>
      </c>
      <c r="O5" s="1" t="s">
        <v>19</v>
      </c>
      <c r="Q5" s="5">
        <v>45160</v>
      </c>
      <c r="R5" s="6">
        <f t="shared" ref="R5:R7" ca="1" si="4">RAND()</f>
        <v>0.38723948944495323</v>
      </c>
      <c r="S5">
        <f t="shared" ref="S5:S7" si="5">10.2*0.95</f>
        <v>9.69</v>
      </c>
      <c r="T5" s="6">
        <f ca="1">(R5-R4)*S5</f>
        <v>-2.1782679995833267</v>
      </c>
      <c r="U5" s="6" t="s">
        <v>37</v>
      </c>
      <c r="V5" s="8"/>
    </row>
    <row r="6" spans="1:23">
      <c r="A6" s="5">
        <v>44991</v>
      </c>
      <c r="B6" s="6">
        <f t="shared" ca="1" si="0"/>
        <v>0.38693934468092961</v>
      </c>
      <c r="C6">
        <v>30</v>
      </c>
      <c r="D6" s="6">
        <f ca="1">(B6-B5)*C6</f>
        <v>-16.423590276662893</v>
      </c>
      <c r="E6" s="6" t="s">
        <v>37</v>
      </c>
      <c r="F6" s="8" t="s">
        <v>20</v>
      </c>
      <c r="G6" s="26">
        <f ca="1">G3/12</f>
        <v>-0.36799654729151249</v>
      </c>
      <c r="I6" s="5">
        <v>44927</v>
      </c>
      <c r="J6" s="6">
        <f t="shared" ca="1" si="1"/>
        <v>0.7037190764757173</v>
      </c>
      <c r="K6">
        <v>30</v>
      </c>
      <c r="L6" s="6">
        <f t="shared" ca="1" si="3"/>
        <v>-0.25468319974352727</v>
      </c>
      <c r="M6" s="6" t="s">
        <v>37</v>
      </c>
      <c r="N6" s="8" t="s">
        <v>20</v>
      </c>
      <c r="O6" s="22">
        <f ca="1">O3/12</f>
        <v>-0.43617146658110584</v>
      </c>
      <c r="Q6" s="5">
        <v>45390</v>
      </c>
      <c r="R6" s="6">
        <f t="shared" ca="1" si="4"/>
        <v>0.53519167957855596</v>
      </c>
      <c r="S6">
        <f t="shared" si="5"/>
        <v>9.69</v>
      </c>
      <c r="T6" s="6">
        <f ca="1">(R6-R5)*S6</f>
        <v>1.4336567223946104</v>
      </c>
      <c r="U6" s="6" t="s">
        <v>38</v>
      </c>
      <c r="W6" s="1" t="s">
        <v>19</v>
      </c>
    </row>
    <row r="7" spans="1:23">
      <c r="A7" s="5">
        <v>44995</v>
      </c>
      <c r="B7" s="6">
        <f t="shared" ca="1" si="0"/>
        <v>0.99245401952306167</v>
      </c>
      <c r="C7">
        <v>30</v>
      </c>
      <c r="D7" s="6">
        <f t="shared" ref="D7:D8" ca="1" si="6">(B7-B6)*C7</f>
        <v>18.165440245263962</v>
      </c>
      <c r="E7" s="6" t="s">
        <v>37</v>
      </c>
      <c r="F7" s="25" cm="1">
        <f t="array" ref="F7">(INDEX(A1:A15,SUMPRODUCT(MAX((A1:A15&lt;&gt;"")*ROW(A1:A15)))))-A3</f>
        <v>729</v>
      </c>
      <c r="I7" s="5">
        <v>45006</v>
      </c>
      <c r="J7" s="6">
        <f t="shared" ca="1" si="1"/>
        <v>0.8376187188889942</v>
      </c>
      <c r="K7">
        <v>30</v>
      </c>
      <c r="L7" s="6">
        <f t="shared" ca="1" si="3"/>
        <v>4.0169892723983072</v>
      </c>
      <c r="M7" s="6" t="s">
        <v>37</v>
      </c>
      <c r="N7" s="25" cm="1">
        <f t="array" ref="N7">(INDEX(I1:I1000,SUMPRODUCT(MAX((I1:I1000&lt;&gt;"")*ROW(I1:I1000)))))-I3</f>
        <v>832</v>
      </c>
      <c r="Q7" s="5">
        <v>45637</v>
      </c>
      <c r="R7" s="6">
        <f t="shared" ca="1" si="4"/>
        <v>0.12980617035114184</v>
      </c>
      <c r="S7">
        <f t="shared" si="5"/>
        <v>9.69</v>
      </c>
      <c r="T7" s="6">
        <f ca="1">(R7-R6)*S7</f>
        <v>-3.9281855844136424</v>
      </c>
      <c r="U7" s="6" t="s">
        <v>38</v>
      </c>
      <c r="V7" s="8" t="s">
        <v>20</v>
      </c>
      <c r="W7" s="22">
        <v>4130.2831346021949</v>
      </c>
    </row>
    <row r="8" spans="1:23">
      <c r="A8" s="5">
        <v>44998</v>
      </c>
      <c r="B8" s="6">
        <f t="shared" ca="1" si="0"/>
        <v>9.2066710644770233E-2</v>
      </c>
      <c r="C8">
        <v>30</v>
      </c>
      <c r="D8" s="6">
        <f t="shared" ca="1" si="6"/>
        <v>-27.011619266348742</v>
      </c>
      <c r="E8" s="6" t="s">
        <v>37</v>
      </c>
      <c r="F8" s="6"/>
      <c r="G8" s="1" t="s">
        <v>21</v>
      </c>
      <c r="I8" s="5">
        <v>45016</v>
      </c>
      <c r="J8" s="6">
        <f t="shared" ca="1" si="1"/>
        <v>0.28912472923182098</v>
      </c>
      <c r="K8">
        <v>30</v>
      </c>
      <c r="L8" s="6">
        <f t="shared" ca="1" si="3"/>
        <v>-16.454819689715197</v>
      </c>
      <c r="M8" s="6" t="s">
        <v>37</v>
      </c>
      <c r="N8" s="6"/>
      <c r="O8" s="1" t="s">
        <v>21</v>
      </c>
      <c r="Q8" s="5"/>
      <c r="R8" s="6"/>
      <c r="T8" s="6"/>
      <c r="U8" s="6"/>
      <c r="V8" s="25">
        <v>729</v>
      </c>
    </row>
    <row r="9" spans="1:23">
      <c r="A9" s="5">
        <v>45016</v>
      </c>
      <c r="B9" s="6">
        <f t="shared" ca="1" si="0"/>
        <v>0.62222595349068643</v>
      </c>
      <c r="C9">
        <v>30</v>
      </c>
      <c r="D9" s="6">
        <f ca="1">(B9-B8)*C9</f>
        <v>15.904777285377486</v>
      </c>
      <c r="E9" s="6" t="s">
        <v>37</v>
      </c>
      <c r="G9" s="26">
        <f ca="1">G3/52</f>
        <v>-8.4922280144195186E-2</v>
      </c>
      <c r="I9" s="5">
        <v>45017</v>
      </c>
      <c r="J9" s="6">
        <f t="shared" ca="1" si="1"/>
        <v>0.1116342580615749</v>
      </c>
      <c r="K9">
        <v>30</v>
      </c>
      <c r="L9" s="6">
        <f t="shared" ca="1" si="3"/>
        <v>-5.3247141351073823</v>
      </c>
      <c r="M9" s="6" t="s">
        <v>37</v>
      </c>
      <c r="O9" s="22">
        <f ca="1">O3/52</f>
        <v>-0.10065495382640904</v>
      </c>
      <c r="Q9" s="5"/>
      <c r="R9" s="6"/>
      <c r="T9" s="6"/>
      <c r="U9" s="6"/>
      <c r="V9" s="6"/>
      <c r="W9" s="1" t="s">
        <v>21</v>
      </c>
    </row>
    <row r="10" spans="1:23">
      <c r="A10" s="5">
        <v>45017</v>
      </c>
      <c r="B10" s="6">
        <f t="shared" ca="1" si="0"/>
        <v>0.7581574961135541</v>
      </c>
      <c r="C10">
        <v>30</v>
      </c>
      <c r="D10" s="6">
        <f t="shared" ref="D10" ca="1" si="7">(B10-B9)*C10</f>
        <v>4.0779462786860297</v>
      </c>
      <c r="E10" s="6" t="s">
        <v>37</v>
      </c>
      <c r="I10" s="5">
        <v>45210</v>
      </c>
      <c r="J10" s="6">
        <f t="shared" ca="1" si="1"/>
        <v>0.78661067151399977</v>
      </c>
      <c r="K10">
        <v>30</v>
      </c>
      <c r="L10" s="6">
        <f t="shared" ca="1" si="3"/>
        <v>20.249292403572746</v>
      </c>
      <c r="M10" s="6" t="s">
        <v>37</v>
      </c>
      <c r="Q10" s="5">
        <v>44927</v>
      </c>
      <c r="R10" s="6">
        <f ca="1">_xlfn.FORECAST.LINEAR(Q10,$R$4:$R$7,$Q$4:$Q$7)</f>
        <v>0.60421111590346044</v>
      </c>
      <c r="W10" s="22">
        <v>953.14226183127585</v>
      </c>
    </row>
    <row r="11" spans="1:23">
      <c r="A11" s="5">
        <v>45159</v>
      </c>
      <c r="B11" s="6">
        <f t="shared" ca="1" si="0"/>
        <v>9.3257690661278869E-2</v>
      </c>
      <c r="C11">
        <v>30</v>
      </c>
      <c r="D11" s="6">
        <f ca="1">(B11-B10)*C11</f>
        <v>-19.946994163568256</v>
      </c>
      <c r="E11" s="6" t="s">
        <v>37</v>
      </c>
      <c r="G11" s="1" t="s">
        <v>22</v>
      </c>
      <c r="I11" s="5">
        <v>45637</v>
      </c>
      <c r="J11" s="6">
        <f t="shared" ca="1" si="1"/>
        <v>0.5850411817012604</v>
      </c>
      <c r="K11">
        <v>30</v>
      </c>
      <c r="L11" s="6">
        <f t="shared" ca="1" si="3"/>
        <v>-6.047084694382181</v>
      </c>
      <c r="M11" s="6" t="s">
        <v>37</v>
      </c>
      <c r="O11" s="1" t="s">
        <v>22</v>
      </c>
      <c r="Q11" s="5">
        <v>45291</v>
      </c>
      <c r="R11" s="6">
        <f ca="1">_xlfn.FORECAST.LINEAR(Q11,$R$4:$R$7,$Q$4:$Q$7)</f>
        <v>0.406708396423479</v>
      </c>
    </row>
    <row r="12" spans="1:23">
      <c r="A12" s="5">
        <v>45210</v>
      </c>
      <c r="B12" s="6">
        <f t="shared" ca="1" si="0"/>
        <v>0.16377790085713706</v>
      </c>
      <c r="C12">
        <v>30</v>
      </c>
      <c r="D12" s="6">
        <f ca="1">(B12-B11)*C12</f>
        <v>2.1156063058757457</v>
      </c>
      <c r="E12" s="6" t="s">
        <v>37</v>
      </c>
      <c r="G12" s="26">
        <f ca="1">SUM(D1:D15)/F7</f>
        <v>-1.2098516623282601E-2</v>
      </c>
      <c r="I12" s="5"/>
      <c r="J12" s="6"/>
      <c r="L12" s="6"/>
      <c r="M12" s="6"/>
      <c r="O12" s="22">
        <f ca="1">SUM(L:L)/N7</f>
        <v>-1.4339883832803478E-2</v>
      </c>
      <c r="Q12" s="5">
        <v>45657</v>
      </c>
      <c r="R12" s="6">
        <f ca="1">_xlfn.FORECAST.LINEAR(Q12,$R$4:$R$7,$Q$4:$Q$7)</f>
        <v>0.20812049716613501</v>
      </c>
      <c r="W12" s="1" t="s">
        <v>22</v>
      </c>
    </row>
    <row r="13" spans="1:23">
      <c r="A13" s="5">
        <v>45355</v>
      </c>
      <c r="B13" s="6">
        <f t="shared" ca="1" si="0"/>
        <v>0.99661476386512349</v>
      </c>
      <c r="C13">
        <v>30</v>
      </c>
      <c r="D13" s="6">
        <f ca="1">(B13-B12)*C13</f>
        <v>24.985105890239591</v>
      </c>
      <c r="E13" s="6" t="s">
        <v>38</v>
      </c>
      <c r="M13" s="6"/>
      <c r="Q13" s="5"/>
      <c r="R13" s="6"/>
      <c r="W13" s="22">
        <v>135.7901304526749</v>
      </c>
    </row>
    <row r="14" spans="1:23">
      <c r="A14" s="5">
        <v>45390</v>
      </c>
      <c r="B14" s="6">
        <f t="shared" ca="1" si="0"/>
        <v>0.43050988999678852</v>
      </c>
      <c r="C14">
        <v>30</v>
      </c>
      <c r="D14" s="6">
        <f ca="1">(B14-B13)*C14</f>
        <v>-16.983146216050049</v>
      </c>
      <c r="E14" s="6" t="s">
        <v>38</v>
      </c>
      <c r="Q14" s="5"/>
    </row>
    <row r="15" spans="1:23">
      <c r="A15" s="5">
        <v>45637</v>
      </c>
      <c r="B15" s="6">
        <f t="shared" ca="1" si="0"/>
        <v>0.65897154878204567</v>
      </c>
      <c r="C15">
        <v>30</v>
      </c>
      <c r="D15" s="6">
        <f ca="1">(B15-B14)*C15</f>
        <v>6.8538497635577142</v>
      </c>
      <c r="E15" s="6" t="s">
        <v>38</v>
      </c>
      <c r="I15" s="5">
        <v>45291</v>
      </c>
      <c r="J15">
        <f ca="1">_xlfn.FORECAST.LINEAR(I15,$J$3:$J$11,I3:I11)</f>
        <v>0.57563785706262616</v>
      </c>
      <c r="Q15" s="5"/>
    </row>
    <row r="16" spans="1:23">
      <c r="I16" s="5">
        <v>45657</v>
      </c>
      <c r="J16">
        <f ca="1">_xlfn.FORECAST.LINEAR(I16,$J$3:$J$11,I3:I11)</f>
        <v>0.54428619832867708</v>
      </c>
    </row>
    <row r="17" spans="1:18">
      <c r="A17" s="5"/>
      <c r="B17" s="6"/>
      <c r="F17" s="5"/>
      <c r="L17" s="6"/>
      <c r="M17" s="6"/>
      <c r="R17" t="s">
        <v>33</v>
      </c>
    </row>
    <row r="18" spans="1:18">
      <c r="A18" s="5"/>
      <c r="F18" s="5"/>
      <c r="L18" s="6"/>
      <c r="M18" s="6"/>
      <c r="Q18">
        <v>2023</v>
      </c>
      <c r="R18">
        <f ca="1">(R11-R10)*S4</f>
        <v>-1.91380135176102</v>
      </c>
    </row>
    <row r="19" spans="1:18">
      <c r="A19" s="5">
        <v>45291</v>
      </c>
      <c r="B19">
        <f ca="1">_xlfn.FORECAST.LINEAR(A19,$B$3:$B$15,$A$3:$A$15)</f>
        <v>0.55929300438111174</v>
      </c>
      <c r="Q19">
        <v>2024</v>
      </c>
      <c r="R19">
        <f ca="1">(R12-R11)*S4</f>
        <v>-1.9243167438036632</v>
      </c>
    </row>
    <row r="20" spans="1:18">
      <c r="A20" s="5"/>
    </row>
    <row r="21" spans="1:18">
      <c r="A21" s="5">
        <v>45657</v>
      </c>
      <c r="B21">
        <f ca="1">_xlfn.FORECAST.LINEAR(A21,$B$3:$B$15,$A$3:$A$15)</f>
        <v>0.51375167061825611</v>
      </c>
      <c r="F21" s="6"/>
      <c r="N21" s="6"/>
    </row>
    <row r="25" spans="1:18">
      <c r="B25" t="s">
        <v>32</v>
      </c>
    </row>
    <row r="26" spans="1:18">
      <c r="A26">
        <v>2023</v>
      </c>
      <c r="B26">
        <f ca="1">($B$19-$B$5)*$C$3+($J$15-$J$6)*$C$3</f>
        <v>-15.095417068050162</v>
      </c>
      <c r="C26" t="s">
        <v>31</v>
      </c>
    </row>
    <row r="27" spans="1:18">
      <c r="A27">
        <v>2024</v>
      </c>
      <c r="B27">
        <f ca="1">(B21-B19)*C3+(J16-J15)*K3</f>
        <v>-2.3067897749041411</v>
      </c>
      <c r="C27" t="s">
        <v>31</v>
      </c>
    </row>
    <row r="29" spans="1:18">
      <c r="D29" s="5"/>
      <c r="E29" s="6"/>
    </row>
    <row r="30" spans="1:18">
      <c r="A30" s="5"/>
      <c r="B30" s="6"/>
      <c r="D30" s="5"/>
      <c r="E30" s="6"/>
    </row>
    <row r="31" spans="1:18">
      <c r="A31" s="5"/>
      <c r="B31" s="6"/>
      <c r="D31" s="5"/>
    </row>
    <row r="32" spans="1:18">
      <c r="A32" s="5"/>
      <c r="B32" s="6"/>
      <c r="D32" s="5"/>
    </row>
    <row r="33" spans="1:5">
      <c r="A33" s="5"/>
      <c r="B33" s="6"/>
      <c r="D33" s="5"/>
      <c r="E33" s="6"/>
    </row>
    <row r="34" spans="1:5">
      <c r="A34" s="5"/>
      <c r="B34" s="6"/>
      <c r="D34" s="5"/>
      <c r="E34" s="6"/>
    </row>
    <row r="35" spans="1:5">
      <c r="A35" s="5"/>
      <c r="B35" s="6"/>
      <c r="D35" s="5"/>
      <c r="E35" s="6"/>
    </row>
    <row r="36" spans="1:5">
      <c r="A36" s="5"/>
      <c r="B36" s="6"/>
      <c r="D36" s="5"/>
      <c r="E36" s="6"/>
    </row>
    <row r="37" spans="1:5">
      <c r="A37" s="5"/>
      <c r="B37" s="6"/>
      <c r="D37" s="5"/>
      <c r="E37" s="6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30e81b-7803-4d8a-85f4-3cee90106561">
      <Terms xmlns="http://schemas.microsoft.com/office/infopath/2007/PartnerControls"/>
    </lcf76f155ced4ddcb4097134ff3c332f>
    <TaxCatchAll xmlns="f2ecb985-20fa-44af-a068-ee706ed5b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8AE1E2C526944EA46BCE8D57CE53AA" ma:contentTypeVersion="15" ma:contentTypeDescription="Ein neues Dokument erstellen." ma:contentTypeScope="" ma:versionID="72d3d2dc855a82388ddb52c6b51c45a0">
  <xsd:schema xmlns:xsd="http://www.w3.org/2001/XMLSchema" xmlns:xs="http://www.w3.org/2001/XMLSchema" xmlns:p="http://schemas.microsoft.com/office/2006/metadata/properties" xmlns:ns2="0430e81b-7803-4d8a-85f4-3cee90106561" xmlns:ns3="f2ecb985-20fa-44af-a068-ee706ed5b31e" targetNamespace="http://schemas.microsoft.com/office/2006/metadata/properties" ma:root="true" ma:fieldsID="222a9f59f1f2569ca65cef1b97851fb3" ns2:_="" ns3:_="">
    <xsd:import namespace="0430e81b-7803-4d8a-85f4-3cee90106561"/>
    <xsd:import namespace="f2ecb985-20fa-44af-a068-ee706ed5b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0e81b-7803-4d8a-85f4-3cee90106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cb985-20fa-44af-a068-ee706ed5b3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20b96b8-708e-441b-b9b6-bcbe2a7c843e}" ma:internalName="TaxCatchAll" ma:showField="CatchAllData" ma:web="f2ecb985-20fa-44af-a068-ee706ed5b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96AD5-596C-4944-8A86-9238724FB9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1B611-2AF7-425E-A5B0-F37FD8D4228E}">
  <ds:schemaRefs>
    <ds:schemaRef ds:uri="f2ecb985-20fa-44af-a068-ee706ed5b31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0430e81b-7803-4d8a-85f4-3cee901065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F62E64F-8A38-4C4B-BE06-78F1113EC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0e81b-7803-4d8a-85f4-3cee90106561"/>
    <ds:schemaRef ds:uri="f2ecb985-20fa-44af-a068-ee706ed5b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Fest</vt:lpstr>
      <vt:lpstr>Zeitübersicht</vt:lpstr>
      <vt:lpstr>Interpolation</vt:lpstr>
    </vt:vector>
  </TitlesOfParts>
  <Manager/>
  <Company>Fraunhofer IPT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Finn Kutschmann</dc:creator>
  <cp:keywords/>
  <dc:description/>
  <cp:lastModifiedBy>Ole Middendorf</cp:lastModifiedBy>
  <cp:revision/>
  <dcterms:created xsi:type="dcterms:W3CDTF">2007-01-10T10:41:47Z</dcterms:created>
  <dcterms:modified xsi:type="dcterms:W3CDTF">2025-02-25T07:10:19Z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0x010100588AE1E2C526944EA46BCE8D57CE53AA</vt:lpwstr>
  </property>
  <property fmtid="{D5CDD505-2E9C-101B-9397-08002B2CF9AE}" pid="3" name="MediaServiceImageTags">
    <vt:lpwstr/>
  </property>
</Properties>
</file>