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TWORK\Documents\KTU\Kompiuterių tinklai\"/>
    </mc:Choice>
  </mc:AlternateContent>
  <xr:revisionPtr revIDLastSave="0" documentId="13_ncr:1_{248939E9-A185-42CD-95F0-7A584833A88E}" xr6:coauthVersionLast="47" xr6:coauthVersionMax="47" xr10:uidLastSave="{00000000-0000-0000-0000-000000000000}"/>
  <bookViews>
    <workbookView xWindow="-120" yWindow="-120" windowWidth="38640" windowHeight="15840" activeTab="4" xr2:uid="{2798BDED-C797-4101-A786-8A6A58F44214}"/>
  </bookViews>
  <sheets>
    <sheet name="SIGNALAI TEKSTE" sheetId="1" r:id="rId1"/>
    <sheet name="ATSAKO LAIKAS" sheetId="2" r:id="rId2"/>
    <sheet name="TCP" sheetId="3" r:id="rId3"/>
    <sheet name="SLOPINIMAS" sheetId="4" r:id="rId4"/>
    <sheet name="BANGŲ MULTIPLEKSAVIMAS" sheetId="5" r:id="rId5"/>
    <sheet name="PASLAUGŲ PATEIKIAMUMA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9" i="6" l="1"/>
  <c r="AC9" i="6"/>
  <c r="W10" i="6"/>
  <c r="U12" i="6"/>
  <c r="U13" i="6" s="1"/>
  <c r="X14" i="2"/>
  <c r="AI28" i="5"/>
  <c r="AI27" i="5"/>
  <c r="AI26" i="5"/>
  <c r="AI25" i="5"/>
  <c r="AI24" i="5"/>
  <c r="AI23" i="5"/>
  <c r="AI22" i="5"/>
  <c r="AI21" i="5"/>
  <c r="AV10" i="5"/>
  <c r="AV11" i="5"/>
  <c r="AV12" i="5"/>
  <c r="AV13" i="5"/>
  <c r="AV14" i="5"/>
  <c r="AV15" i="5"/>
  <c r="AV16" i="5"/>
  <c r="AV17" i="5"/>
  <c r="AV18" i="5"/>
  <c r="AV19" i="5"/>
  <c r="AV20" i="5"/>
  <c r="AV21" i="5"/>
  <c r="AV9" i="5"/>
  <c r="K26" i="5"/>
  <c r="K25" i="5"/>
  <c r="K24" i="5"/>
  <c r="K23" i="5"/>
  <c r="K22" i="5"/>
  <c r="K21" i="5"/>
  <c r="K20" i="5"/>
  <c r="B27" i="5"/>
  <c r="B26" i="5"/>
  <c r="B25" i="5"/>
  <c r="B24" i="5"/>
  <c r="B23" i="5"/>
  <c r="B22" i="5"/>
  <c r="B21" i="5"/>
  <c r="B20" i="5"/>
  <c r="AI16" i="5"/>
  <c r="AI15" i="5"/>
  <c r="AI14" i="5"/>
  <c r="AI13" i="5"/>
  <c r="AI12" i="5"/>
  <c r="AI11" i="5"/>
  <c r="AI10" i="5"/>
  <c r="O26" i="5"/>
  <c r="O25" i="5"/>
  <c r="O24" i="5"/>
  <c r="O23" i="5"/>
  <c r="O22" i="5"/>
  <c r="O21" i="5"/>
  <c r="O20" i="5"/>
  <c r="F27" i="5"/>
  <c r="F26" i="5"/>
  <c r="F25" i="5"/>
  <c r="F24" i="5"/>
  <c r="F23" i="5"/>
  <c r="F22" i="5"/>
  <c r="F21" i="5"/>
  <c r="F20" i="5"/>
  <c r="M26" i="5"/>
  <c r="M25" i="5"/>
  <c r="M24" i="5"/>
  <c r="M23" i="5"/>
  <c r="M22" i="5"/>
  <c r="M21" i="5"/>
  <c r="M20" i="5"/>
  <c r="D27" i="5"/>
  <c r="D26" i="5"/>
  <c r="D25" i="5"/>
  <c r="D24" i="5"/>
  <c r="D23" i="5"/>
  <c r="D22" i="5"/>
  <c r="D21" i="5"/>
  <c r="D20" i="5"/>
  <c r="Y18" i="4"/>
  <c r="Q12" i="4"/>
  <c r="E12" i="4"/>
  <c r="E13" i="4"/>
  <c r="E14" i="4"/>
  <c r="E11" i="4"/>
  <c r="O8" i="3"/>
  <c r="O7" i="3"/>
  <c r="AD12" i="2"/>
  <c r="W12" i="2"/>
  <c r="X16" i="2" s="1"/>
  <c r="AE14" i="2"/>
  <c r="AE16" i="2" s="1"/>
  <c r="P12" i="2"/>
  <c r="P13" i="2"/>
  <c r="J3" i="2"/>
  <c r="J2" i="2"/>
  <c r="AC18" i="1"/>
  <c r="AC17" i="1"/>
  <c r="AC16" i="1"/>
  <c r="AA14" i="1"/>
  <c r="AB5" i="1"/>
  <c r="AB6" i="1" s="1"/>
  <c r="Z8" i="1"/>
  <c r="L8" i="1"/>
  <c r="F15" i="1"/>
  <c r="G13" i="1"/>
  <c r="C17" i="1" s="1"/>
  <c r="G14" i="1"/>
  <c r="C5" i="1"/>
  <c r="C7" i="1"/>
  <c r="C10" i="1" s="1"/>
  <c r="AC10" i="6" l="1"/>
  <c r="AC11" i="6" s="1"/>
  <c r="AF10" i="6"/>
  <c r="AF11" i="6" s="1"/>
  <c r="U14" i="6"/>
  <c r="U15" i="6" s="1"/>
  <c r="U16" i="6" s="1"/>
  <c r="P19" i="6" s="1"/>
  <c r="P14" i="2"/>
  <c r="AB8" i="1"/>
</calcChain>
</file>

<file path=xl/sharedStrings.xml><?xml version="1.0" encoding="utf-8"?>
<sst xmlns="http://schemas.openxmlformats.org/spreadsheetml/2006/main" count="304" uniqueCount="199">
  <si>
    <t>Simboliai</t>
  </si>
  <si>
    <t>Tikimybė</t>
  </si>
  <si>
    <t>A</t>
  </si>
  <si>
    <t>B</t>
  </si>
  <si>
    <t>C</t>
  </si>
  <si>
    <t>D</t>
  </si>
  <si>
    <t>E</t>
  </si>
  <si>
    <t>F</t>
  </si>
  <si>
    <t>G</t>
  </si>
  <si>
    <t>H</t>
  </si>
  <si>
    <t>1 Simbolio informacijos kiekis</t>
  </si>
  <si>
    <t>h</t>
  </si>
  <si>
    <t>Tekstas</t>
  </si>
  <si>
    <t>Informacijos kiekis</t>
  </si>
  <si>
    <t>AAABCCDDDD</t>
  </si>
  <si>
    <t>bit</t>
  </si>
  <si>
    <t>Būsenų skaičius (L)</t>
  </si>
  <si>
    <t>Bitų skaičius bode (K)</t>
  </si>
  <si>
    <t>Duota</t>
  </si>
  <si>
    <t>Rezultatas</t>
  </si>
  <si>
    <t>Sig. Būsenų pasikeitimo dažnis</t>
  </si>
  <si>
    <t>Pranšimo perd. Laikas</t>
  </si>
  <si>
    <t>s</t>
  </si>
  <si>
    <t>Iliustruotas pavyzdys</t>
  </si>
  <si>
    <t>00</t>
  </si>
  <si>
    <t>01</t>
  </si>
  <si>
    <t>10</t>
  </si>
  <si>
    <t>11</t>
  </si>
  <si>
    <t>Laikas</t>
  </si>
  <si>
    <t>K</t>
  </si>
  <si>
    <t>Bodai</t>
  </si>
  <si>
    <t>Signalo būsenų pasikeitimų dažnis matuojamas bodais</t>
  </si>
  <si>
    <t>Ryšys tarp bitų per sek. ir bodų</t>
  </si>
  <si>
    <t>Signalai tekste</t>
  </si>
  <si>
    <t>Dažnių juostos plotis (B)</t>
  </si>
  <si>
    <t>Signal. Būsenų sk (L)</t>
  </si>
  <si>
    <t>Maksimali galima sparta (Vmax)</t>
  </si>
  <si>
    <r>
      <t>Maksimali galima sparta (</t>
    </r>
    <r>
      <rPr>
        <b/>
        <sz val="11"/>
        <color theme="1"/>
        <rFont val="Aptos Narrow"/>
        <family val="2"/>
        <scheme val="minor"/>
      </rPr>
      <t>Vmax</t>
    </r>
    <r>
      <rPr>
        <sz val="11"/>
        <color theme="1"/>
        <rFont val="Aptos Narrow"/>
        <family val="2"/>
        <charset val="186"/>
        <scheme val="minor"/>
      </rPr>
      <t>)</t>
    </r>
  </si>
  <si>
    <t>Nyquist formulė  - kanalas be triukšmo</t>
  </si>
  <si>
    <t>Amplitiudės</t>
  </si>
  <si>
    <t>Fazės</t>
  </si>
  <si>
    <t>Busenų skaičius</t>
  </si>
  <si>
    <t>Pagal X-QAM</t>
  </si>
  <si>
    <t>X-QAM</t>
  </si>
  <si>
    <t>X-QAM -&gt; X</t>
  </si>
  <si>
    <t>Paskaičiuoti kanalo pralaidumą b/s, kai naudojamas X-QAM
Vmax=2B∙log2(X)</t>
  </si>
  <si>
    <t>Hz</t>
  </si>
  <si>
    <t>Signalo būsenų formavimas ir X-QAM</t>
  </si>
  <si>
    <t>b/s</t>
  </si>
  <si>
    <t>Kbps</t>
  </si>
  <si>
    <t>Mbps</t>
  </si>
  <si>
    <t>1 B/s</t>
  </si>
  <si>
    <t>8 bps</t>
  </si>
  <si>
    <t>Paketo išsiuntimas į ryšio terpę t_siunt</t>
  </si>
  <si>
    <t xml:space="preserve">Paketo sklidimas ryšio terpe t_sklid </t>
  </si>
  <si>
    <t>atstumas tarp tinklo mazgų</t>
  </si>
  <si>
    <t>signalo sklidimo greitis m/s</t>
  </si>
  <si>
    <t>paketo ilgis (bitais)</t>
  </si>
  <si>
    <t>tinklo greitaveika (bps)</t>
  </si>
  <si>
    <t>L</t>
  </si>
  <si>
    <t>V</t>
  </si>
  <si>
    <t>R</t>
  </si>
  <si>
    <t>Uždavinys</t>
  </si>
  <si>
    <t>Atkarpos K-V ilgis 100 km. Sparta visose atkarpose 2 Mbps. Koks minimalus RTT ping‘ui iš K į V, jei kontrolinio paketo dydis 2000 bitų?</t>
  </si>
  <si>
    <t>m</t>
  </si>
  <si>
    <t>bitų</t>
  </si>
  <si>
    <t>m/s</t>
  </si>
  <si>
    <t>km</t>
  </si>
  <si>
    <t>Tsklid</t>
  </si>
  <si>
    <t>Tsiunt</t>
  </si>
  <si>
    <t>RTT</t>
  </si>
  <si>
    <t>bps</t>
  </si>
  <si>
    <t>Y</t>
  </si>
  <si>
    <t>Gbps</t>
  </si>
  <si>
    <t>Pilno žiedo ilgis buvo X km. Atkarpos K-V ilgis Y km. Sparta visose atkarpose 10 Gbps (didelė,  siuntimų laikų nevertinti).
Koks minimalus galimas RTT ping‘ui iš K į V</t>
  </si>
  <si>
    <t>X</t>
  </si>
  <si>
    <t>L apskaičiuotas (Žiedos ilgis - atkarpa)</t>
  </si>
  <si>
    <t>TCP siuntimo langas</t>
  </si>
  <si>
    <t>Metodo esmė: išsiunčiamos n porcijų paeiliui. Kol tebevyksta siuntimas, turėtų ateiti pirmųjų porcijų gavimo patvirtinimas. Taigi, tolesnio siuntimo galima nestabdyti tol, kol kelyje esančių porcijų skaičius neviršys n (n- siuntimo langas). Esant idealioms siuntimo sąlygoms n porcijų dydžio langas slenkasi išsiunčiamų duomenų eile maksimaliai galimu siuntimo greičiu</t>
  </si>
  <si>
    <t>Greitaveika, Bps</t>
  </si>
  <si>
    <t>TCP lango dydis baitais</t>
  </si>
  <si>
    <t>kelionės laikas, s</t>
  </si>
  <si>
    <t>Throughput</t>
  </si>
  <si>
    <t>RWIN</t>
  </si>
  <si>
    <t>Throughput &lt;=</t>
  </si>
  <si>
    <t>TCP greitaveika atvirkščiai proporcinga RTT</t>
  </si>
  <si>
    <t>ms</t>
  </si>
  <si>
    <t>Througput</t>
  </si>
  <si>
    <t>Bps</t>
  </si>
  <si>
    <t>MBps</t>
  </si>
  <si>
    <t>Slopinimas matuojamas decibelais dB</t>
  </si>
  <si>
    <t>Galiai P</t>
  </si>
  <si>
    <t>Įtampai U</t>
  </si>
  <si>
    <t>Ap = 10lg (Pįj/Piš)</t>
  </si>
  <si>
    <t>(P=UI=U^2/R) =&gt; 20lg (Uįj/Uiš)</t>
  </si>
  <si>
    <t>Koks ryšis tarp slopinimo kartais (k=(Pįj/Piš) ir decibelais?</t>
  </si>
  <si>
    <t>Ap, dB</t>
  </si>
  <si>
    <t>lg(k)=n</t>
  </si>
  <si>
    <t>10^n=k</t>
  </si>
  <si>
    <t>k=?</t>
  </si>
  <si>
    <t>Tarp dviejų miestų X ir Y nutiestas 200 km optinis kabelis, 
kurio gijoje slopinimas yra 0,2 dB/km. Ryšio galuose 
bus naudojami optiniai keitikliai, kurių optinis biudžetas yra 25 dB.</t>
  </si>
  <si>
    <t>Slopinimas</t>
  </si>
  <si>
    <t>Kelias</t>
  </si>
  <si>
    <t>dB/km</t>
  </si>
  <si>
    <t>Viso kabelio slopinimas</t>
  </si>
  <si>
    <t>dB</t>
  </si>
  <si>
    <t>Galų optinis biudžetas</t>
  </si>
  <si>
    <t xml:space="preserve">Kiek dB praras signalas pavaizduotame kelyje, jei kabelio, ilgis (Fiber) 10 km,kabelio slopinimas 0,3 dB/km,nuostolis vienoje  jungtyje (connector) 0.4 dB, nuostolis suvirinimo taške (splice) 0,1 dB. </t>
  </si>
  <si>
    <t>Kabelio ilgis</t>
  </si>
  <si>
    <t>Kabelio slopinimas</t>
  </si>
  <si>
    <t>Nuostolis (connector)</t>
  </si>
  <si>
    <t>Nuostolis (splice)</t>
  </si>
  <si>
    <t>Jungčių sk.</t>
  </si>
  <si>
    <t>Suvirin. Taškų sk.</t>
  </si>
  <si>
    <t>Prarasti dB</t>
  </si>
  <si>
    <t>OLT</t>
  </si>
  <si>
    <t>SP1</t>
  </si>
  <si>
    <t>SP2</t>
  </si>
  <si>
    <t>SP3</t>
  </si>
  <si>
    <t>SP4</t>
  </si>
  <si>
    <t>SP5</t>
  </si>
  <si>
    <t>SP6</t>
  </si>
  <si>
    <t>SP7</t>
  </si>
  <si>
    <t>M1</t>
  </si>
  <si>
    <t>M2</t>
  </si>
  <si>
    <t>M3</t>
  </si>
  <si>
    <t>M4</t>
  </si>
  <si>
    <t>M6</t>
  </si>
  <si>
    <t>M5</t>
  </si>
  <si>
    <t>M7</t>
  </si>
  <si>
    <t>M8</t>
  </si>
  <si>
    <t>SP N</t>
  </si>
  <si>
    <t>M N</t>
  </si>
  <si>
    <t>Dalikliai</t>
  </si>
  <si>
    <t>Galiniai mazgai</t>
  </si>
  <si>
    <t>Pradinis mazgas</t>
  </si>
  <si>
    <t>Nuo</t>
  </si>
  <si>
    <t>Iki</t>
  </si>
  <si>
    <t>Galų suvir. Nuostolis</t>
  </si>
  <si>
    <t>Skirtumas</t>
  </si>
  <si>
    <t>Ratio</t>
  </si>
  <si>
    <t>50/50</t>
  </si>
  <si>
    <t>55/45</t>
  </si>
  <si>
    <t>60/40</t>
  </si>
  <si>
    <t>65/35</t>
  </si>
  <si>
    <t>70/30</t>
  </si>
  <si>
    <t>75/25</t>
  </si>
  <si>
    <t>80/20</t>
  </si>
  <si>
    <t>85/15</t>
  </si>
  <si>
    <t>90/10</t>
  </si>
  <si>
    <t>95/05</t>
  </si>
  <si>
    <t>97/03</t>
  </si>
  <si>
    <t>98/02</t>
  </si>
  <si>
    <t>99/01</t>
  </si>
  <si>
    <t>/</t>
  </si>
  <si>
    <t>Ilmax(dB)</t>
  </si>
  <si>
    <t>Diff</t>
  </si>
  <si>
    <t>Slopinimas kabeliuose</t>
  </si>
  <si>
    <t>Pateikiamumas per laikotarpį t</t>
  </si>
  <si>
    <t>Prastovų laikas (Downtime)</t>
  </si>
  <si>
    <t>Veikimo laikas (Uptime)</t>
  </si>
  <si>
    <t>P(t)</t>
  </si>
  <si>
    <t>Upt</t>
  </si>
  <si>
    <t>DNt</t>
  </si>
  <si>
    <t>Upt + DNt</t>
  </si>
  <si>
    <t xml:space="preserve">P(t) = </t>
  </si>
  <si>
    <t>t=</t>
  </si>
  <si>
    <t>Duomenų perdavimo sutartyje numatytas 98% paslaugos pateikiamumas per mėnesį. Rugsėjo mėnesį paslauga neveikė  tris kartus po 5 valandas. Ar buvo pažeistos sutarties sąlygos?</t>
  </si>
  <si>
    <t>Pasl. Pateikiamumas per mėn.</t>
  </si>
  <si>
    <t>Neveikė kartų</t>
  </si>
  <si>
    <t>Karto neveikimo laikas</t>
  </si>
  <si>
    <t>k.</t>
  </si>
  <si>
    <t>Mėnesis</t>
  </si>
  <si>
    <t>Dienų skaičius</t>
  </si>
  <si>
    <t>Val. Skaičius</t>
  </si>
  <si>
    <t>Veikimo h pagal sutart.</t>
  </si>
  <si>
    <t>Galimas neveikimas</t>
  </si>
  <si>
    <t>d.</t>
  </si>
  <si>
    <t>Viso neveikė</t>
  </si>
  <si>
    <t>Kaip parinkti realią pateikiamumo reikšmę žinant įrangos patikimumą ir gedimo šalinimo laiką?</t>
  </si>
  <si>
    <t xml:space="preserve">vidutinis laikas tarp sutrikimų (Mean Time Between Failure).  </t>
  </si>
  <si>
    <t>vidutinis gedimo šalinimo laikas  (Mean Time to Repair)</t>
  </si>
  <si>
    <t>MTBF</t>
  </si>
  <si>
    <t>MTTR</t>
  </si>
  <si>
    <t>per laikotarpį t vidutinis prastovų laikas</t>
  </si>
  <si>
    <t>DNt_vid</t>
  </si>
  <si>
    <t>UPt</t>
  </si>
  <si>
    <t>* MTTR</t>
  </si>
  <si>
    <t xml:space="preserve">DNt_vid = </t>
  </si>
  <si>
    <t>%</t>
  </si>
  <si>
    <t>P</t>
  </si>
  <si>
    <t>Metams</t>
  </si>
  <si>
    <t>Mėnesiui</t>
  </si>
  <si>
    <t>Netenkinimo tikimybė (p) atskaitos laikotarpiui</t>
  </si>
  <si>
    <t>k=1/2*p</t>
  </si>
  <si>
    <t>Prastovų laikas su netenkinimo tikimybe p per laikotarpį t</t>
  </si>
  <si>
    <t>DNt_p=k*</t>
  </si>
  <si>
    <t>*MTTR</t>
  </si>
  <si>
    <t>Formulė gali būti taikoma tik kai p&lt;=0.1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</si>
</sst>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charset val="186"/>
      <scheme val="minor"/>
    </font>
    <font>
      <sz val="11"/>
      <color rgb="FFFF0000"/>
      <name val="Aptos Narrow"/>
      <family val="2"/>
      <charset val="186"/>
      <scheme val="minor"/>
    </font>
    <font>
      <sz val="11"/>
      <color theme="0"/>
      <name val="Aptos Narrow"/>
      <family val="2"/>
      <charset val="186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charset val="186"/>
      <scheme val="minor"/>
    </font>
    <font>
      <i/>
      <sz val="10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9"/>
      <color theme="1"/>
      <name val="Aptos Narrow"/>
      <family val="2"/>
      <charset val="186"/>
      <scheme val="minor"/>
    </font>
    <font>
      <i/>
      <sz val="9"/>
      <color theme="1"/>
      <name val="Aptos Narrow"/>
      <family val="2"/>
      <scheme val="minor"/>
    </font>
    <font>
      <sz val="14"/>
      <color theme="1"/>
      <name val="Aptos Narrow"/>
      <family val="2"/>
      <charset val="186"/>
      <scheme val="minor"/>
    </font>
    <font>
      <b/>
      <sz val="1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 diagonalUp="1">
      <left/>
      <right/>
      <top/>
      <bottom/>
      <diagonal style="thick">
        <color indexed="64"/>
      </diagonal>
    </border>
    <border>
      <left/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4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5" xfId="0" applyBorder="1" applyAlignment="1">
      <alignment horizontal="center" vertic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4" xfId="0" applyBorder="1"/>
    <xf numFmtId="0" fontId="3" fillId="0" borderId="13" xfId="0" applyFont="1" applyBorder="1" applyAlignment="1">
      <alignment horizontal="right" vertical="center"/>
    </xf>
    <xf numFmtId="0" fontId="3" fillId="0" borderId="14" xfId="0" applyFont="1" applyBorder="1" applyAlignment="1">
      <alignment horizontal="right" vertical="center"/>
    </xf>
    <xf numFmtId="0" fontId="3" fillId="0" borderId="14" xfId="0" applyFont="1" applyBorder="1" applyAlignment="1">
      <alignment horizontal="left" vertical="center"/>
    </xf>
    <xf numFmtId="0" fontId="3" fillId="0" borderId="8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11" xfId="0" applyBorder="1"/>
    <xf numFmtId="0" fontId="0" fillId="2" borderId="2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23" xfId="0" applyFill="1" applyBorder="1" applyAlignment="1">
      <alignment horizontal="right" vertical="center"/>
    </xf>
    <xf numFmtId="0" fontId="0" fillId="0" borderId="23" xfId="0" applyBorder="1" applyAlignment="1">
      <alignment horizontal="left" vertical="center"/>
    </xf>
    <xf numFmtId="0" fontId="0" fillId="2" borderId="20" xfId="0" applyFill="1" applyBorder="1" applyAlignment="1">
      <alignment horizontal="right" vertical="center"/>
    </xf>
    <xf numFmtId="0" fontId="0" fillId="0" borderId="20" xfId="0" applyBorder="1" applyAlignment="1">
      <alignment horizontal="left" vertical="center"/>
    </xf>
    <xf numFmtId="0" fontId="0" fillId="0" borderId="9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6" xfId="0" applyBorder="1" applyAlignment="1">
      <alignment horizontal="left"/>
    </xf>
    <xf numFmtId="0" fontId="0" fillId="0" borderId="16" xfId="0" applyBorder="1" applyAlignment="1">
      <alignment horizontal="left"/>
    </xf>
    <xf numFmtId="49" fontId="0" fillId="0" borderId="0" xfId="0" applyNumberFormat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49" fontId="0" fillId="3" borderId="7" xfId="0" applyNumberFormat="1" applyFill="1" applyBorder="1" applyAlignment="1">
      <alignment horizontal="center"/>
    </xf>
    <xf numFmtId="49" fontId="0" fillId="3" borderId="5" xfId="0" applyNumberFormat="1" applyFill="1" applyBorder="1" applyAlignment="1">
      <alignment horizontal="center"/>
    </xf>
    <xf numFmtId="49" fontId="0" fillId="3" borderId="3" xfId="0" applyNumberFormat="1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0" fillId="3" borderId="30" xfId="0" applyNumberFormat="1" applyFill="1" applyBorder="1" applyAlignment="1">
      <alignment horizontal="right"/>
    </xf>
    <xf numFmtId="49" fontId="0" fillId="3" borderId="9" xfId="0" applyNumberFormat="1" applyFill="1" applyBorder="1" applyAlignment="1">
      <alignment horizontal="center"/>
    </xf>
    <xf numFmtId="49" fontId="0" fillId="3" borderId="11" xfId="0" applyNumberFormat="1" applyFill="1" applyBorder="1" applyAlignment="1">
      <alignment horizontal="center"/>
    </xf>
    <xf numFmtId="49" fontId="0" fillId="3" borderId="31" xfId="0" applyNumberFormat="1" applyFill="1" applyBorder="1" applyAlignment="1">
      <alignment horizontal="center"/>
    </xf>
    <xf numFmtId="49" fontId="0" fillId="3" borderId="32" xfId="0" applyNumberFormat="1" applyFill="1" applyBorder="1" applyAlignment="1">
      <alignment horizontal="right"/>
    </xf>
    <xf numFmtId="49" fontId="0" fillId="3" borderId="0" xfId="0" applyNumberFormat="1" applyFill="1" applyBorder="1" applyAlignment="1">
      <alignment horizontal="center"/>
    </xf>
    <xf numFmtId="49" fontId="0" fillId="3" borderId="33" xfId="0" applyNumberFormat="1" applyFill="1" applyBorder="1" applyAlignment="1">
      <alignment horizontal="center"/>
    </xf>
    <xf numFmtId="49" fontId="0" fillId="3" borderId="34" xfId="0" applyNumberFormat="1" applyFill="1" applyBorder="1" applyAlignment="1">
      <alignment horizontal="center"/>
    </xf>
    <xf numFmtId="49" fontId="0" fillId="3" borderId="35" xfId="0" applyNumberFormat="1" applyFill="1" applyBorder="1" applyAlignment="1">
      <alignment horizontal="center"/>
    </xf>
    <xf numFmtId="0" fontId="0" fillId="3" borderId="36" xfId="0" applyFill="1" applyBorder="1"/>
    <xf numFmtId="0" fontId="0" fillId="3" borderId="5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0" borderId="0" xfId="0" applyAlignment="1"/>
    <xf numFmtId="0" fontId="0" fillId="0" borderId="30" xfId="0" applyBorder="1"/>
    <xf numFmtId="0" fontId="0" fillId="0" borderId="11" xfId="0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36" xfId="0" applyBorder="1"/>
    <xf numFmtId="0" fontId="0" fillId="0" borderId="5" xfId="0" applyBorder="1" applyAlignment="1">
      <alignment horizontal="center" wrapText="1"/>
    </xf>
    <xf numFmtId="0" fontId="0" fillId="0" borderId="33" xfId="0" applyBorder="1" applyAlignment="1">
      <alignment horizontal="center" wrapText="1"/>
    </xf>
    <xf numFmtId="0" fontId="3" fillId="0" borderId="30" xfId="0" applyFont="1" applyBorder="1"/>
    <xf numFmtId="0" fontId="3" fillId="0" borderId="16" xfId="0" applyFont="1" applyBorder="1"/>
    <xf numFmtId="0" fontId="3" fillId="0" borderId="0" xfId="0" applyFont="1" applyAlignment="1">
      <alignment horizontal="center"/>
    </xf>
    <xf numFmtId="0" fontId="3" fillId="0" borderId="28" xfId="0" applyFont="1" applyBorder="1" applyAlignment="1">
      <alignment horizontal="center"/>
    </xf>
    <xf numFmtId="0" fontId="0" fillId="2" borderId="17" xfId="0" applyFill="1" applyBorder="1"/>
    <xf numFmtId="0" fontId="0" fillId="2" borderId="38" xfId="0" applyFill="1" applyBorder="1"/>
    <xf numFmtId="0" fontId="3" fillId="0" borderId="39" xfId="0" applyFont="1" applyBorder="1"/>
    <xf numFmtId="0" fontId="0" fillId="0" borderId="40" xfId="0" applyBorder="1" applyAlignment="1">
      <alignment horizontal="center"/>
    </xf>
    <xf numFmtId="0" fontId="0" fillId="0" borderId="32" xfId="0" applyBorder="1"/>
    <xf numFmtId="0" fontId="0" fillId="0" borderId="34" xfId="0" applyBorder="1"/>
    <xf numFmtId="0" fontId="3" fillId="0" borderId="41" xfId="0" applyFont="1" applyBorder="1" applyAlignment="1">
      <alignment horizontal="center" vertical="center" wrapText="1"/>
    </xf>
    <xf numFmtId="0" fontId="0" fillId="0" borderId="42" xfId="0" applyBorder="1"/>
    <xf numFmtId="0" fontId="3" fillId="0" borderId="36" xfId="0" applyFont="1" applyBorder="1" applyAlignment="1">
      <alignment horizontal="center" vertical="center" wrapText="1"/>
    </xf>
    <xf numFmtId="0" fontId="0" fillId="0" borderId="33" xfId="0" applyBorder="1"/>
    <xf numFmtId="0" fontId="0" fillId="2" borderId="44" xfId="0" applyFill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3" fillId="0" borderId="9" xfId="0" applyFont="1" applyBorder="1" applyAlignment="1"/>
    <xf numFmtId="0" fontId="3" fillId="0" borderId="6" xfId="0" applyFont="1" applyBorder="1" applyAlignment="1">
      <alignment horizontal="left"/>
    </xf>
    <xf numFmtId="0" fontId="3" fillId="0" borderId="44" xfId="0" applyFont="1" applyBorder="1" applyAlignment="1">
      <alignment horizontal="left"/>
    </xf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4" xfId="0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5" xfId="0" applyBorder="1" applyAlignment="1">
      <alignment horizontal="left"/>
    </xf>
    <xf numFmtId="0" fontId="0" fillId="2" borderId="8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0" borderId="5" xfId="0" applyBorder="1" applyAlignment="1">
      <alignment horizontal="right"/>
    </xf>
    <xf numFmtId="0" fontId="0" fillId="2" borderId="8" xfId="0" applyFill="1" applyBorder="1" applyAlignment="1">
      <alignment horizontal="right" vertical="center"/>
    </xf>
    <xf numFmtId="0" fontId="0" fillId="2" borderId="5" xfId="0" applyFill="1" applyBorder="1" applyAlignment="1">
      <alignment horizontal="right" vertical="center"/>
    </xf>
    <xf numFmtId="0" fontId="0" fillId="2" borderId="5" xfId="0" applyFill="1" applyBorder="1" applyAlignment="1">
      <alignment horizontal="left" vertical="center"/>
    </xf>
    <xf numFmtId="0" fontId="0" fillId="2" borderId="5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6" xfId="0" applyFill="1" applyBorder="1" applyAlignment="1">
      <alignment horizontal="right"/>
    </xf>
    <xf numFmtId="0" fontId="0" fillId="2" borderId="16" xfId="0" applyFill="1" applyBorder="1" applyAlignment="1">
      <alignment horizontal="right"/>
    </xf>
    <xf numFmtId="0" fontId="0" fillId="2" borderId="43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3" fillId="2" borderId="37" xfId="0" applyFont="1" applyFill="1" applyBorder="1"/>
    <xf numFmtId="0" fontId="3" fillId="2" borderId="43" xfId="0" applyFont="1" applyFill="1" applyBorder="1" applyAlignment="1">
      <alignment horizontal="center" vertical="center"/>
    </xf>
    <xf numFmtId="0" fontId="3" fillId="2" borderId="15" xfId="0" applyFont="1" applyFill="1" applyBorder="1"/>
    <xf numFmtId="0" fontId="3" fillId="2" borderId="19" xfId="0" applyFont="1" applyFill="1" applyBorder="1" applyAlignment="1">
      <alignment horizontal="left" wrapText="1"/>
    </xf>
    <xf numFmtId="0" fontId="3" fillId="2" borderId="29" xfId="0" applyFont="1" applyFill="1" applyBorder="1" applyAlignment="1">
      <alignment horizontal="left" wrapText="1"/>
    </xf>
    <xf numFmtId="0" fontId="0" fillId="2" borderId="5" xfId="0" applyFill="1" applyBorder="1" applyAlignment="1">
      <alignment horizontal="right"/>
    </xf>
    <xf numFmtId="0" fontId="0" fillId="0" borderId="46" xfId="0" applyBorder="1"/>
    <xf numFmtId="0" fontId="0" fillId="0" borderId="31" xfId="0" applyBorder="1"/>
    <xf numFmtId="0" fontId="0" fillId="2" borderId="43" xfId="0" applyFill="1" applyBorder="1" applyAlignment="1">
      <alignment horizontal="right"/>
    </xf>
    <xf numFmtId="0" fontId="0" fillId="0" borderId="36" xfId="0" applyBorder="1" applyAlignment="1">
      <alignment horizontal="left"/>
    </xf>
    <xf numFmtId="0" fontId="0" fillId="0" borderId="32" xfId="0" applyBorder="1" applyAlignment="1">
      <alignment horizontal="center" wrapText="1"/>
    </xf>
    <xf numFmtId="0" fontId="0" fillId="2" borderId="36" xfId="0" applyFill="1" applyBorder="1" applyAlignment="1">
      <alignment horizontal="right"/>
    </xf>
    <xf numFmtId="0" fontId="0" fillId="0" borderId="36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8" xfId="0" applyBorder="1" applyAlignment="1">
      <alignment horizontal="left"/>
    </xf>
    <xf numFmtId="0" fontId="5" fillId="0" borderId="5" xfId="0" applyFont="1" applyBorder="1" applyAlignment="1">
      <alignment horizontal="right"/>
    </xf>
    <xf numFmtId="0" fontId="3" fillId="0" borderId="5" xfId="0" applyFont="1" applyBorder="1" applyAlignment="1">
      <alignment horizontal="left"/>
    </xf>
    <xf numFmtId="0" fontId="0" fillId="4" borderId="3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31" xfId="0" applyFill="1" applyBorder="1" applyAlignment="1">
      <alignment horizontal="center"/>
    </xf>
    <xf numFmtId="0" fontId="0" fillId="4" borderId="32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34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3" borderId="30" xfId="0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0" fillId="3" borderId="31" xfId="0" applyFill="1" applyBorder="1" applyAlignment="1">
      <alignment horizontal="left"/>
    </xf>
    <xf numFmtId="0" fontId="7" fillId="3" borderId="0" xfId="0" applyFont="1" applyFill="1" applyBorder="1" applyAlignment="1">
      <alignment horizontal="center" vertical="top"/>
    </xf>
    <xf numFmtId="0" fontId="7" fillId="3" borderId="34" xfId="0" applyFont="1" applyFill="1" applyBorder="1" applyAlignment="1">
      <alignment horizontal="center" vertical="top"/>
    </xf>
    <xf numFmtId="0" fontId="7" fillId="3" borderId="32" xfId="0" applyFont="1" applyFill="1" applyBorder="1" applyAlignment="1">
      <alignment horizontal="center" vertical="top"/>
    </xf>
    <xf numFmtId="0" fontId="0" fillId="3" borderId="32" xfId="0" applyFill="1" applyBorder="1"/>
    <xf numFmtId="0" fontId="0" fillId="3" borderId="0" xfId="0" applyFill="1" applyBorder="1"/>
    <xf numFmtId="0" fontId="0" fillId="3" borderId="34" xfId="0" applyFill="1" applyBorder="1"/>
    <xf numFmtId="0" fontId="0" fillId="3" borderId="8" xfId="0" applyFill="1" applyBorder="1" applyAlignment="1">
      <alignment horizontal="right"/>
    </xf>
    <xf numFmtId="0" fontId="0" fillId="3" borderId="5" xfId="0" applyFill="1" applyBorder="1" applyAlignment="1">
      <alignment horizontal="right"/>
    </xf>
    <xf numFmtId="0" fontId="0" fillId="3" borderId="5" xfId="0" applyFill="1" applyBorder="1" applyAlignment="1">
      <alignment horizontal="left"/>
    </xf>
    <xf numFmtId="0" fontId="0" fillId="3" borderId="36" xfId="0" applyFill="1" applyBorder="1" applyAlignment="1">
      <alignment horizontal="center"/>
    </xf>
    <xf numFmtId="0" fontId="0" fillId="3" borderId="5" xfId="0" applyFill="1" applyBorder="1"/>
    <xf numFmtId="0" fontId="0" fillId="3" borderId="33" xfId="0" applyFill="1" applyBorder="1"/>
    <xf numFmtId="0" fontId="7" fillId="3" borderId="30" xfId="0" applyFont="1" applyFill="1" applyBorder="1" applyAlignment="1">
      <alignment horizontal="center" vertical="top" wrapText="1"/>
    </xf>
    <xf numFmtId="0" fontId="7" fillId="3" borderId="11" xfId="0" applyFont="1" applyFill="1" applyBorder="1" applyAlignment="1">
      <alignment horizontal="center" vertical="top"/>
    </xf>
    <xf numFmtId="0" fontId="7" fillId="3" borderId="31" xfId="0" applyFont="1" applyFill="1" applyBorder="1" applyAlignment="1">
      <alignment horizontal="center" vertical="top"/>
    </xf>
    <xf numFmtId="0" fontId="7" fillId="3" borderId="36" xfId="0" applyFont="1" applyFill="1" applyBorder="1" applyAlignment="1">
      <alignment horizontal="center" vertical="top"/>
    </xf>
    <xf numFmtId="0" fontId="7" fillId="3" borderId="5" xfId="0" applyFont="1" applyFill="1" applyBorder="1" applyAlignment="1">
      <alignment horizontal="center" vertical="top"/>
    </xf>
    <xf numFmtId="0" fontId="7" fillId="3" borderId="33" xfId="0" applyFont="1" applyFill="1" applyBorder="1" applyAlignment="1">
      <alignment horizontal="center" vertical="top"/>
    </xf>
    <xf numFmtId="0" fontId="0" fillId="0" borderId="43" xfId="0" applyBorder="1" applyAlignment="1">
      <alignment horizontal="center"/>
    </xf>
    <xf numFmtId="0" fontId="0" fillId="3" borderId="43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44" xfId="0" applyFill="1" applyBorder="1" applyAlignment="1">
      <alignment horizontal="center"/>
    </xf>
    <xf numFmtId="0" fontId="7" fillId="3" borderId="30" xfId="0" applyFont="1" applyFill="1" applyBorder="1" applyAlignment="1">
      <alignment horizontal="center" wrapText="1"/>
    </xf>
    <xf numFmtId="0" fontId="7" fillId="3" borderId="11" xfId="0" applyFont="1" applyFill="1" applyBorder="1" applyAlignment="1">
      <alignment horizontal="center"/>
    </xf>
    <xf numFmtId="0" fontId="7" fillId="3" borderId="31" xfId="0" applyFont="1" applyFill="1" applyBorder="1" applyAlignment="1">
      <alignment horizontal="center"/>
    </xf>
    <xf numFmtId="0" fontId="7" fillId="3" borderId="32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36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0" fillId="3" borderId="6" xfId="0" applyFill="1" applyBorder="1" applyAlignment="1">
      <alignment horizontal="left"/>
    </xf>
    <xf numFmtId="0" fontId="0" fillId="2" borderId="8" xfId="0" applyFill="1" applyBorder="1" applyAlignment="1">
      <alignment horizontal="right"/>
    </xf>
    <xf numFmtId="0" fontId="0" fillId="2" borderId="9" xfId="0" applyFill="1" applyBorder="1" applyAlignment="1">
      <alignment horizontal="right"/>
    </xf>
    <xf numFmtId="0" fontId="0" fillId="2" borderId="32" xfId="0" applyFill="1" applyBorder="1"/>
    <xf numFmtId="0" fontId="0" fillId="2" borderId="36" xfId="0" applyFill="1" applyBorder="1"/>
    <xf numFmtId="0" fontId="0" fillId="2" borderId="5" xfId="0" applyFill="1" applyBorder="1"/>
    <xf numFmtId="0" fontId="0" fillId="2" borderId="33" xfId="0" applyFill="1" applyBorder="1"/>
    <xf numFmtId="0" fontId="0" fillId="2" borderId="11" xfId="0" applyFill="1" applyBorder="1" applyAlignment="1">
      <alignment horizontal="right"/>
    </xf>
    <xf numFmtId="0" fontId="0" fillId="2" borderId="10" xfId="0" applyFill="1" applyBorder="1" applyAlignment="1">
      <alignment horizontal="right"/>
    </xf>
    <xf numFmtId="0" fontId="0" fillId="2" borderId="44" xfId="0" applyFill="1" applyBorder="1" applyAlignment="1"/>
    <xf numFmtId="0" fontId="0" fillId="2" borderId="33" xfId="0" applyFill="1" applyBorder="1" applyAlignment="1"/>
    <xf numFmtId="0" fontId="7" fillId="3" borderId="11" xfId="0" applyFont="1" applyFill="1" applyBorder="1" applyAlignment="1">
      <alignment horizontal="center" wrapText="1"/>
    </xf>
    <xf numFmtId="0" fontId="7" fillId="3" borderId="31" xfId="0" applyFont="1" applyFill="1" applyBorder="1" applyAlignment="1">
      <alignment horizontal="center" wrapText="1"/>
    </xf>
    <xf numFmtId="0" fontId="7" fillId="3" borderId="32" xfId="0" applyFont="1" applyFill="1" applyBorder="1" applyAlignment="1">
      <alignment horizontal="center" wrapText="1"/>
    </xf>
    <xf numFmtId="0" fontId="7" fillId="3" borderId="0" xfId="0" applyFont="1" applyFill="1" applyBorder="1" applyAlignment="1">
      <alignment horizontal="center" wrapText="1"/>
    </xf>
    <xf numFmtId="0" fontId="7" fillId="3" borderId="34" xfId="0" applyFont="1" applyFill="1" applyBorder="1" applyAlignment="1">
      <alignment horizontal="center" wrapText="1"/>
    </xf>
    <xf numFmtId="0" fontId="7" fillId="3" borderId="36" xfId="0" applyFont="1" applyFill="1" applyBorder="1" applyAlignment="1">
      <alignment horizontal="center" wrapText="1"/>
    </xf>
    <xf numFmtId="0" fontId="7" fillId="3" borderId="5" xfId="0" applyFont="1" applyFill="1" applyBorder="1" applyAlignment="1">
      <alignment horizontal="center" wrapText="1"/>
    </xf>
    <xf numFmtId="0" fontId="7" fillId="3" borderId="33" xfId="0" applyFont="1" applyFill="1" applyBorder="1" applyAlignment="1">
      <alignment horizontal="center" wrapText="1"/>
    </xf>
    <xf numFmtId="0" fontId="0" fillId="3" borderId="30" xfId="0" applyFill="1" applyBorder="1"/>
    <xf numFmtId="0" fontId="0" fillId="3" borderId="0" xfId="0" applyFill="1" applyBorder="1" applyAlignment="1">
      <alignment horizontal="right"/>
    </xf>
    <xf numFmtId="0" fontId="0" fillId="3" borderId="11" xfId="0" applyFill="1" applyBorder="1"/>
    <xf numFmtId="0" fontId="0" fillId="3" borderId="0" xfId="0" applyFill="1" applyBorder="1" applyAlignment="1">
      <alignment horizontal="center"/>
    </xf>
    <xf numFmtId="0" fontId="0" fillId="3" borderId="11" xfId="0" applyFill="1" applyBorder="1" applyAlignment="1">
      <alignment horizontal="right"/>
    </xf>
    <xf numFmtId="0" fontId="0" fillId="3" borderId="31" xfId="0" applyFill="1" applyBorder="1"/>
    <xf numFmtId="0" fontId="0" fillId="3" borderId="15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2" borderId="47" xfId="0" applyFill="1" applyBorder="1"/>
    <xf numFmtId="0" fontId="0" fillId="2" borderId="15" xfId="0" applyFill="1" applyBorder="1"/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horizontal="right"/>
    </xf>
    <xf numFmtId="0" fontId="0" fillId="0" borderId="0" xfId="0" applyAlignment="1">
      <alignment vertical="center"/>
    </xf>
    <xf numFmtId="0" fontId="0" fillId="5" borderId="0" xfId="0" applyFill="1" applyAlignment="1">
      <alignment horizontal="right" vertical="center"/>
    </xf>
    <xf numFmtId="0" fontId="0" fillId="5" borderId="5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6" fillId="0" borderId="5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9" xfId="0" applyBorder="1" applyAlignment="1">
      <alignment horizontal="center"/>
    </xf>
    <xf numFmtId="0" fontId="0" fillId="0" borderId="35" xfId="0" applyBorder="1" applyAlignment="1">
      <alignment horizontal="left"/>
    </xf>
    <xf numFmtId="0" fontId="0" fillId="0" borderId="33" xfId="0" applyBorder="1" applyAlignment="1">
      <alignment horizontal="left"/>
    </xf>
    <xf numFmtId="0" fontId="0" fillId="3" borderId="43" xfId="0" applyFill="1" applyBorder="1" applyAlignment="1">
      <alignment horizontal="left"/>
    </xf>
    <xf numFmtId="0" fontId="0" fillId="3" borderId="44" xfId="0" applyFill="1" applyBorder="1" applyAlignment="1">
      <alignment horizontal="left"/>
    </xf>
    <xf numFmtId="0" fontId="0" fillId="3" borderId="36" xfId="0" applyFill="1" applyBorder="1" applyAlignment="1">
      <alignment horizontal="right"/>
    </xf>
    <xf numFmtId="0" fontId="0" fillId="0" borderId="0" xfId="0" applyFill="1"/>
    <xf numFmtId="0" fontId="3" fillId="7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0" fillId="0" borderId="51" xfId="0" applyBorder="1"/>
    <xf numFmtId="0" fontId="0" fillId="0" borderId="52" xfId="0" applyBorder="1"/>
    <xf numFmtId="0" fontId="0" fillId="8" borderId="43" xfId="0" applyFill="1" applyBorder="1" applyAlignment="1">
      <alignment horizontal="center"/>
    </xf>
    <xf numFmtId="0" fontId="0" fillId="8" borderId="44" xfId="0" applyFill="1" applyBorder="1" applyAlignment="1">
      <alignment horizontal="center"/>
    </xf>
    <xf numFmtId="0" fontId="0" fillId="8" borderId="50" xfId="0" applyFill="1" applyBorder="1" applyAlignment="1">
      <alignment horizontal="center"/>
    </xf>
    <xf numFmtId="0" fontId="0" fillId="8" borderId="48" xfId="0" applyFill="1" applyBorder="1" applyAlignment="1">
      <alignment horizontal="center"/>
    </xf>
    <xf numFmtId="0" fontId="9" fillId="0" borderId="5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0" fillId="0" borderId="12" xfId="0" applyBorder="1"/>
    <xf numFmtId="0" fontId="3" fillId="0" borderId="1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4" xfId="0" applyBorder="1"/>
    <xf numFmtId="0" fontId="3" fillId="0" borderId="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10" fillId="7" borderId="0" xfId="0" applyFont="1" applyFill="1" applyAlignment="1">
      <alignment horizontal="center" vertical="center"/>
    </xf>
    <xf numFmtId="0" fontId="0" fillId="9" borderId="12" xfId="0" applyFill="1" applyBorder="1"/>
    <xf numFmtId="0" fontId="0" fillId="9" borderId="4" xfId="0" applyFill="1" applyBorder="1"/>
    <xf numFmtId="0" fontId="0" fillId="7" borderId="12" xfId="0" applyFill="1" applyBorder="1"/>
    <xf numFmtId="0" fontId="0" fillId="7" borderId="4" xfId="0" applyFill="1" applyBorder="1"/>
    <xf numFmtId="0" fontId="0" fillId="10" borderId="12" xfId="0" applyFill="1" applyBorder="1"/>
    <xf numFmtId="0" fontId="0" fillId="10" borderId="4" xfId="0" applyFill="1" applyBorder="1"/>
    <xf numFmtId="0" fontId="0" fillId="11" borderId="12" xfId="0" applyFill="1" applyBorder="1"/>
    <xf numFmtId="0" fontId="0" fillId="11" borderId="4" xfId="0" applyFill="1" applyBorder="1"/>
    <xf numFmtId="0" fontId="2" fillId="12" borderId="12" xfId="0" applyFont="1" applyFill="1" applyBorder="1"/>
    <xf numFmtId="0" fontId="2" fillId="12" borderId="4" xfId="0" applyFont="1" applyFill="1" applyBorder="1"/>
    <xf numFmtId="0" fontId="2" fillId="12" borderId="12" xfId="0" applyFont="1" applyFill="1" applyBorder="1" applyAlignment="1">
      <alignment horizontal="center"/>
    </xf>
    <xf numFmtId="0" fontId="2" fillId="12" borderId="4" xfId="0" applyFont="1" applyFill="1" applyBorder="1" applyAlignment="1">
      <alignment horizontal="center"/>
    </xf>
    <xf numFmtId="0" fontId="0" fillId="13" borderId="12" xfId="0" applyFill="1" applyBorder="1"/>
    <xf numFmtId="0" fontId="0" fillId="13" borderId="12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4" borderId="12" xfId="0" applyFill="1" applyBorder="1"/>
    <xf numFmtId="0" fontId="0" fillId="14" borderId="12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5" borderId="12" xfId="0" applyFill="1" applyBorder="1"/>
    <xf numFmtId="0" fontId="0" fillId="15" borderId="12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1" fillId="2" borderId="25" xfId="0" applyFont="1" applyFill="1" applyBorder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25" xfId="0" applyFont="1" applyFill="1" applyBorder="1" applyAlignment="1">
      <alignment horizontal="left"/>
    </xf>
    <xf numFmtId="0" fontId="1" fillId="2" borderId="45" xfId="0" applyFont="1" applyFill="1" applyBorder="1" applyAlignment="1">
      <alignment horizontal="left"/>
    </xf>
    <xf numFmtId="0" fontId="1" fillId="2" borderId="53" xfId="0" applyFont="1" applyFill="1" applyBorder="1" applyAlignment="1">
      <alignment horizontal="center"/>
    </xf>
    <xf numFmtId="0" fontId="0" fillId="5" borderId="4" xfId="0" applyFill="1" applyBorder="1"/>
    <xf numFmtId="0" fontId="0" fillId="5" borderId="2" xfId="0" applyFill="1" applyBorder="1"/>
    <xf numFmtId="0" fontId="0" fillId="5" borderId="55" xfId="0" applyFill="1" applyBorder="1" applyAlignment="1">
      <alignment horizontal="left"/>
    </xf>
    <xf numFmtId="0" fontId="3" fillId="5" borderId="30" xfId="0" applyFont="1" applyFill="1" applyBorder="1" applyAlignment="1">
      <alignment horizontal="center"/>
    </xf>
    <xf numFmtId="0" fontId="3" fillId="5" borderId="18" xfId="0" applyFont="1" applyFill="1" applyBorder="1" applyAlignment="1">
      <alignment horizontal="center"/>
    </xf>
    <xf numFmtId="0" fontId="3" fillId="5" borderId="31" xfId="0" applyFont="1" applyFill="1" applyBorder="1" applyAlignment="1">
      <alignment horizontal="center"/>
    </xf>
    <xf numFmtId="49" fontId="0" fillId="5" borderId="56" xfId="0" applyNumberFormat="1" applyFill="1" applyBorder="1" applyAlignment="1">
      <alignment horizontal="center"/>
    </xf>
    <xf numFmtId="0" fontId="0" fillId="5" borderId="57" xfId="0" applyFill="1" applyBorder="1"/>
    <xf numFmtId="49" fontId="0" fillId="5" borderId="58" xfId="0" applyNumberFormat="1" applyFill="1" applyBorder="1" applyAlignment="1">
      <alignment horizontal="center"/>
    </xf>
    <xf numFmtId="0" fontId="0" fillId="5" borderId="59" xfId="0" applyFill="1" applyBorder="1"/>
    <xf numFmtId="0" fontId="0" fillId="5" borderId="22" xfId="0" applyFill="1" applyBorder="1"/>
    <xf numFmtId="0" fontId="0" fillId="5" borderId="29" xfId="0" applyFill="1" applyBorder="1" applyAlignment="1">
      <alignment horizontal="left"/>
    </xf>
    <xf numFmtId="0" fontId="0" fillId="5" borderId="60" xfId="0" applyFill="1" applyBorder="1"/>
    <xf numFmtId="0" fontId="0" fillId="0" borderId="55" xfId="0" applyBorder="1" applyAlignment="1">
      <alignment horizontal="center"/>
    </xf>
    <xf numFmtId="0" fontId="0" fillId="0" borderId="2" xfId="0" applyBorder="1"/>
    <xf numFmtId="0" fontId="0" fillId="0" borderId="55" xfId="0" applyBorder="1"/>
    <xf numFmtId="10" fontId="0" fillId="2" borderId="8" xfId="0" applyNumberFormat="1" applyFill="1" applyBorder="1" applyAlignment="1">
      <alignment horizontal="center"/>
    </xf>
    <xf numFmtId="0" fontId="0" fillId="2" borderId="8" xfId="0" applyFill="1" applyBorder="1" applyAlignment="1">
      <alignment horizontal="right"/>
    </xf>
    <xf numFmtId="0" fontId="0" fillId="2" borderId="9" xfId="0" applyFill="1" applyBorder="1" applyAlignment="1"/>
    <xf numFmtId="0" fontId="8" fillId="0" borderId="0" xfId="0" applyFont="1" applyAlignment="1">
      <alignment horizontal="right" vertical="center" wrapText="1"/>
    </xf>
    <xf numFmtId="10" fontId="0" fillId="2" borderId="33" xfId="0" applyNumberFormat="1" applyFill="1" applyBorder="1" applyAlignment="1">
      <alignment horizontal="center"/>
    </xf>
    <xf numFmtId="0" fontId="0" fillId="3" borderId="30" xfId="0" applyFill="1" applyBorder="1" applyAlignment="1">
      <alignment horizontal="right"/>
    </xf>
    <xf numFmtId="0" fontId="0" fillId="3" borderId="31" xfId="0" applyFill="1" applyBorder="1" applyAlignment="1"/>
    <xf numFmtId="0" fontId="0" fillId="3" borderId="32" xfId="0" applyFill="1" applyBorder="1" applyAlignment="1">
      <alignment horizontal="right"/>
    </xf>
    <xf numFmtId="0" fontId="0" fillId="3" borderId="32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7" fillId="3" borderId="30" xfId="0" applyFont="1" applyFill="1" applyBorder="1" applyAlignment="1">
      <alignment horizontal="left" vertical="center" wrapText="1"/>
    </xf>
    <xf numFmtId="0" fontId="7" fillId="3" borderId="11" xfId="0" applyFont="1" applyFill="1" applyBorder="1" applyAlignment="1">
      <alignment horizontal="left" vertical="center" wrapText="1"/>
    </xf>
    <xf numFmtId="0" fontId="7" fillId="3" borderId="31" xfId="0" applyFont="1" applyFill="1" applyBorder="1" applyAlignment="1">
      <alignment horizontal="left" vertical="center" wrapText="1"/>
    </xf>
    <xf numFmtId="0" fontId="7" fillId="3" borderId="32" xfId="0" applyFont="1" applyFill="1" applyBorder="1" applyAlignment="1">
      <alignment horizontal="left" vertical="center" wrapText="1"/>
    </xf>
    <xf numFmtId="0" fontId="7" fillId="3" borderId="0" xfId="0" applyFont="1" applyFill="1" applyBorder="1" applyAlignment="1">
      <alignment horizontal="left" vertical="center" wrapText="1"/>
    </xf>
    <xf numFmtId="0" fontId="7" fillId="3" borderId="34" xfId="0" applyFont="1" applyFill="1" applyBorder="1" applyAlignment="1">
      <alignment horizontal="left" vertical="center" wrapText="1"/>
    </xf>
    <xf numFmtId="0" fontId="7" fillId="3" borderId="36" xfId="0" applyFont="1" applyFill="1" applyBorder="1" applyAlignment="1">
      <alignment horizontal="left" vertical="center" wrapText="1"/>
    </xf>
    <xf numFmtId="0" fontId="7" fillId="3" borderId="5" xfId="0" applyFont="1" applyFill="1" applyBorder="1" applyAlignment="1">
      <alignment horizontal="left" vertical="center" wrapText="1"/>
    </xf>
    <xf numFmtId="0" fontId="7" fillId="3" borderId="33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/>
    <xf numFmtId="0" fontId="11" fillId="0" borderId="0" xfId="0" applyFont="1" applyAlignment="1"/>
    <xf numFmtId="0" fontId="11" fillId="0" borderId="0" xfId="0" applyFont="1" applyBorder="1" applyAlignment="1"/>
    <xf numFmtId="0" fontId="11" fillId="0" borderId="0" xfId="0" applyFont="1"/>
    <xf numFmtId="0" fontId="11" fillId="0" borderId="0" xfId="0" applyFont="1" applyAlignment="1">
      <alignment wrapText="1"/>
    </xf>
    <xf numFmtId="0" fontId="11" fillId="3" borderId="43" xfId="0" applyFont="1" applyFill="1" applyBorder="1" applyAlignment="1">
      <alignment horizontal="left" wrapText="1"/>
    </xf>
    <xf numFmtId="0" fontId="11" fillId="3" borderId="6" xfId="0" applyFont="1" applyFill="1" applyBorder="1" applyAlignment="1">
      <alignment horizontal="left" wrapText="1"/>
    </xf>
    <xf numFmtId="0" fontId="11" fillId="3" borderId="44" xfId="0" applyFont="1" applyFill="1" applyBorder="1" applyAlignment="1">
      <alignment horizontal="left" wrapText="1"/>
    </xf>
    <xf numFmtId="0" fontId="11" fillId="3" borderId="36" xfId="0" applyFont="1" applyFill="1" applyBorder="1" applyAlignment="1">
      <alignment horizontal="center"/>
    </xf>
    <xf numFmtId="0" fontId="11" fillId="3" borderId="5" xfId="0" applyFont="1" applyFill="1" applyBorder="1" applyAlignment="1">
      <alignment horizontal="center"/>
    </xf>
    <xf numFmtId="0" fontId="11" fillId="3" borderId="6" xfId="0" applyFont="1" applyFill="1" applyBorder="1" applyAlignment="1"/>
    <xf numFmtId="0" fontId="11" fillId="3" borderId="44" xfId="0" applyFont="1" applyFill="1" applyBorder="1" applyAlignment="1"/>
    <xf numFmtId="0" fontId="11" fillId="3" borderId="5" xfId="0" applyFont="1" applyFill="1" applyBorder="1" applyAlignment="1"/>
    <xf numFmtId="0" fontId="11" fillId="3" borderId="33" xfId="0" applyFont="1" applyFill="1" applyBorder="1" applyAlignment="1"/>
    <xf numFmtId="0" fontId="11" fillId="3" borderId="9" xfId="0" applyFont="1" applyFill="1" applyBorder="1" applyAlignment="1">
      <alignment horizontal="right"/>
    </xf>
    <xf numFmtId="0" fontId="11" fillId="3" borderId="6" xfId="0" applyFont="1" applyFill="1" applyBorder="1" applyAlignment="1">
      <alignment horizontal="right"/>
    </xf>
    <xf numFmtId="0" fontId="11" fillId="2" borderId="43" xfId="0" applyFont="1" applyFill="1" applyBorder="1" applyAlignment="1">
      <alignment horizontal="right" wrapText="1"/>
    </xf>
    <xf numFmtId="0" fontId="11" fillId="2" borderId="6" xfId="0" applyFont="1" applyFill="1" applyBorder="1" applyAlignment="1">
      <alignment horizontal="right" wrapText="1"/>
    </xf>
    <xf numFmtId="0" fontId="11" fillId="2" borderId="9" xfId="0" applyFont="1" applyFill="1" applyBorder="1" applyAlignment="1">
      <alignment horizontal="right" wrapText="1"/>
    </xf>
    <xf numFmtId="0" fontId="11" fillId="2" borderId="44" xfId="0" applyFont="1" applyFill="1" applyBorder="1" applyAlignment="1">
      <alignment wrapText="1"/>
    </xf>
    <xf numFmtId="0" fontId="11" fillId="2" borderId="36" xfId="0" applyFont="1" applyFill="1" applyBorder="1" applyAlignment="1">
      <alignment horizontal="right"/>
    </xf>
    <xf numFmtId="0" fontId="11" fillId="2" borderId="5" xfId="0" applyFont="1" applyFill="1" applyBorder="1" applyAlignment="1">
      <alignment horizontal="right"/>
    </xf>
    <xf numFmtId="0" fontId="11" fillId="2" borderId="8" xfId="0" applyFont="1" applyFill="1" applyBorder="1" applyAlignment="1">
      <alignment horizontal="right"/>
    </xf>
    <xf numFmtId="0" fontId="11" fillId="2" borderId="33" xfId="0" applyFont="1" applyFill="1" applyBorder="1"/>
    <xf numFmtId="0" fontId="11" fillId="2" borderId="36" xfId="0" applyFont="1" applyFill="1" applyBorder="1" applyAlignment="1">
      <alignment horizontal="right" vertical="center" wrapText="1"/>
    </xf>
    <xf numFmtId="0" fontId="11" fillId="2" borderId="5" xfId="0" applyFont="1" applyFill="1" applyBorder="1" applyAlignment="1">
      <alignment horizontal="right" vertical="center" wrapText="1"/>
    </xf>
    <xf numFmtId="10" fontId="11" fillId="2" borderId="8" xfId="0" applyNumberFormat="1" applyFont="1" applyFill="1" applyBorder="1" applyAlignment="1">
      <alignment horizontal="center" vertical="center" wrapText="1"/>
    </xf>
    <xf numFmtId="10" fontId="11" fillId="2" borderId="5" xfId="0" applyNumberFormat="1" applyFont="1" applyFill="1" applyBorder="1" applyAlignment="1">
      <alignment horizontal="center" vertical="center" wrapText="1"/>
    </xf>
    <xf numFmtId="0" fontId="11" fillId="2" borderId="33" xfId="0" applyFont="1" applyFill="1" applyBorder="1" applyAlignment="1">
      <alignment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3" borderId="30" xfId="0" applyFont="1" applyFill="1" applyBorder="1" applyAlignment="1">
      <alignment vertical="center" wrapText="1"/>
    </xf>
    <xf numFmtId="0" fontId="11" fillId="3" borderId="11" xfId="0" applyFont="1" applyFill="1" applyBorder="1" applyAlignment="1">
      <alignment vertical="center" wrapText="1"/>
    </xf>
    <xf numFmtId="0" fontId="11" fillId="3" borderId="31" xfId="0" applyFont="1" applyFill="1" applyBorder="1" applyAlignment="1">
      <alignment vertical="center" wrapText="1"/>
    </xf>
    <xf numFmtId="0" fontId="11" fillId="3" borderId="32" xfId="0" applyFont="1" applyFill="1" applyBorder="1" applyAlignment="1">
      <alignment vertical="center" wrapText="1"/>
    </xf>
    <xf numFmtId="0" fontId="11" fillId="3" borderId="0" xfId="0" applyFont="1" applyFill="1" applyBorder="1" applyAlignment="1">
      <alignment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11" fillId="3" borderId="33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wrapText="1"/>
    </xf>
    <xf numFmtId="0" fontId="11" fillId="0" borderId="5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80210</xdr:colOff>
      <xdr:row>9</xdr:row>
      <xdr:rowOff>50132</xdr:rowOff>
    </xdr:from>
    <xdr:to>
      <xdr:col>7</xdr:col>
      <xdr:colOff>130342</xdr:colOff>
      <xdr:row>15</xdr:row>
      <xdr:rowOff>111792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0257CD-611E-40BC-9804-7E17F817EC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039" y="1834816"/>
          <a:ext cx="1945106" cy="1254791"/>
        </a:xfrm>
        <a:prstGeom prst="rect">
          <a:avLst/>
        </a:prstGeom>
      </xdr:spPr>
    </xdr:pic>
    <xdr:clientData/>
  </xdr:twoCellAnchor>
  <xdr:twoCellAnchor editAs="oneCell">
    <xdr:from>
      <xdr:col>1</xdr:col>
      <xdr:colOff>175461</xdr:colOff>
      <xdr:row>16</xdr:row>
      <xdr:rowOff>105277</xdr:rowOff>
    </xdr:from>
    <xdr:to>
      <xdr:col>10</xdr:col>
      <xdr:colOff>185488</xdr:colOff>
      <xdr:row>22</xdr:row>
      <xdr:rowOff>11570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E9DEF5B-474A-FB9D-7B1A-764D7C18F5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1290" y="3223461"/>
          <a:ext cx="2852487" cy="10593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65171</xdr:colOff>
      <xdr:row>5</xdr:row>
      <xdr:rowOff>105275</xdr:rowOff>
    </xdr:from>
    <xdr:to>
      <xdr:col>18</xdr:col>
      <xdr:colOff>360948</xdr:colOff>
      <xdr:row>7</xdr:row>
      <xdr:rowOff>88093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21E6B0-5750-E11D-1748-0E69AE534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0" y="1097880"/>
          <a:ext cx="3103145" cy="373845"/>
        </a:xfrm>
        <a:prstGeom prst="rect">
          <a:avLst/>
        </a:prstGeom>
      </xdr:spPr>
    </xdr:pic>
    <xdr:clientData/>
  </xdr:twoCellAnchor>
  <xdr:twoCellAnchor editAs="oneCell">
    <xdr:from>
      <xdr:col>20</xdr:col>
      <xdr:colOff>45118</xdr:colOff>
      <xdr:row>5</xdr:row>
      <xdr:rowOff>29869</xdr:rowOff>
    </xdr:from>
    <xdr:to>
      <xdr:col>27</xdr:col>
      <xdr:colOff>350921</xdr:colOff>
      <xdr:row>8</xdr:row>
      <xdr:rowOff>165433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20401A0-A8DB-811B-80D8-77857DFB2F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66171" y="1022474"/>
          <a:ext cx="3113171" cy="7271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86878-EB7A-491E-8FA3-5AF0FC4531D6}">
  <dimension ref="A2:AH27"/>
  <sheetViews>
    <sheetView zoomScale="115" zoomScaleNormal="115" workbookViewId="0">
      <selection activeCell="V14" sqref="V14:Z14"/>
    </sheetView>
  </sheetViews>
  <sheetFormatPr defaultRowHeight="15" x14ac:dyDescent="0.25"/>
  <cols>
    <col min="2" max="2" width="21.42578125" customWidth="1"/>
    <col min="3" max="10" width="5" customWidth="1"/>
    <col min="12" max="103" width="4.42578125" customWidth="1"/>
  </cols>
  <sheetData>
    <row r="2" spans="1:34" ht="15.75" thickBot="1" x14ac:dyDescent="0.3">
      <c r="V2" s="75" t="s">
        <v>47</v>
      </c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</row>
    <row r="3" spans="1:34" ht="15.75" thickBot="1" x14ac:dyDescent="0.3">
      <c r="B3" s="75" t="s">
        <v>33</v>
      </c>
      <c r="C3" s="75"/>
      <c r="D3" s="75"/>
      <c r="E3" s="75"/>
      <c r="F3" s="75"/>
      <c r="G3" s="75"/>
      <c r="H3" s="75"/>
      <c r="I3" s="75"/>
      <c r="J3" s="75"/>
      <c r="L3" s="99" t="s">
        <v>38</v>
      </c>
      <c r="M3" s="99"/>
      <c r="N3" s="99"/>
      <c r="O3" s="99"/>
      <c r="P3" s="99"/>
      <c r="Q3" s="99"/>
      <c r="R3" s="99"/>
      <c r="S3" s="99"/>
      <c r="V3" s="67"/>
      <c r="W3" s="31"/>
      <c r="X3" s="31"/>
      <c r="Y3" s="31"/>
      <c r="Z3" s="31"/>
      <c r="AA3" s="119"/>
      <c r="AB3" s="31"/>
      <c r="AC3" s="31"/>
      <c r="AD3" s="31"/>
      <c r="AE3" s="31"/>
      <c r="AF3" s="31"/>
      <c r="AG3" s="45"/>
      <c r="AH3" s="120"/>
    </row>
    <row r="4" spans="1:34" ht="15.75" thickBot="1" x14ac:dyDescent="0.3">
      <c r="B4" s="113" t="s">
        <v>0</v>
      </c>
      <c r="C4" s="77" t="s">
        <v>2</v>
      </c>
      <c r="D4" s="77" t="s">
        <v>3</v>
      </c>
      <c r="E4" s="77" t="s">
        <v>4</v>
      </c>
      <c r="F4" s="77" t="s">
        <v>5</v>
      </c>
      <c r="G4" s="77" t="s">
        <v>6</v>
      </c>
      <c r="H4" s="77" t="s">
        <v>7</v>
      </c>
      <c r="I4" s="77" t="s">
        <v>8</v>
      </c>
      <c r="J4" s="78" t="s">
        <v>9</v>
      </c>
      <c r="L4" s="111" t="s">
        <v>34</v>
      </c>
      <c r="M4" s="34"/>
      <c r="N4" s="34"/>
      <c r="O4" s="34"/>
      <c r="P4" s="35"/>
      <c r="Q4" s="33">
        <v>3000</v>
      </c>
      <c r="R4" s="34"/>
      <c r="S4" s="87"/>
      <c r="V4" s="112" t="s">
        <v>44</v>
      </c>
      <c r="W4" s="107"/>
      <c r="X4" s="107"/>
      <c r="Y4" s="107"/>
      <c r="Z4" s="101">
        <v>16</v>
      </c>
      <c r="AA4" s="102"/>
      <c r="AB4" s="15" t="s">
        <v>42</v>
      </c>
      <c r="AC4" s="15"/>
      <c r="AD4" s="15"/>
      <c r="AE4" s="15"/>
      <c r="AF4" s="15"/>
      <c r="AG4" s="46"/>
      <c r="AH4" s="82"/>
    </row>
    <row r="5" spans="1:34" ht="15.75" thickBot="1" x14ac:dyDescent="0.3">
      <c r="B5" s="79" t="s">
        <v>1</v>
      </c>
      <c r="C5" s="25">
        <f>1/(COUNTA($C$4:$J$4))</f>
        <v>0.125</v>
      </c>
      <c r="D5" s="26"/>
      <c r="E5" s="26"/>
      <c r="F5" s="26"/>
      <c r="G5" s="26"/>
      <c r="H5" s="26"/>
      <c r="I5" s="26"/>
      <c r="J5" s="80"/>
      <c r="L5" s="112" t="s">
        <v>35</v>
      </c>
      <c r="M5" s="107"/>
      <c r="N5" s="107"/>
      <c r="O5" s="107"/>
      <c r="P5" s="102"/>
      <c r="Q5" s="101">
        <v>2</v>
      </c>
      <c r="R5" s="107"/>
      <c r="S5" s="108"/>
      <c r="V5" s="121" t="s">
        <v>39</v>
      </c>
      <c r="W5" s="109"/>
      <c r="X5" s="109"/>
      <c r="Y5" s="110"/>
      <c r="Z5" s="33">
        <v>2</v>
      </c>
      <c r="AA5" s="35"/>
      <c r="AB5" s="11">
        <f>SQRT(Z4/4)</f>
        <v>2</v>
      </c>
      <c r="AC5" s="9"/>
      <c r="AD5" s="9"/>
      <c r="AE5" s="9"/>
      <c r="AF5" s="9"/>
      <c r="AG5" s="46"/>
      <c r="AH5" s="82"/>
    </row>
    <row r="6" spans="1:34" ht="15.75" thickBot="1" x14ac:dyDescent="0.3">
      <c r="B6" s="81"/>
      <c r="C6" s="6"/>
      <c r="D6" s="6"/>
      <c r="E6" s="6"/>
      <c r="F6" s="6"/>
      <c r="G6" s="6"/>
      <c r="H6" s="6"/>
      <c r="I6" s="6"/>
      <c r="J6" s="82"/>
      <c r="L6" s="81"/>
      <c r="M6" s="6"/>
      <c r="N6" s="6"/>
      <c r="O6" s="6"/>
      <c r="P6" s="6"/>
      <c r="Q6" s="6"/>
      <c r="R6" s="6"/>
      <c r="S6" s="82"/>
      <c r="V6" s="121" t="s">
        <v>40</v>
      </c>
      <c r="W6" s="109"/>
      <c r="X6" s="109"/>
      <c r="Y6" s="110"/>
      <c r="Z6" s="33">
        <v>8</v>
      </c>
      <c r="AA6" s="35"/>
      <c r="AB6" s="11">
        <f>AB5*4</f>
        <v>8</v>
      </c>
      <c r="AC6" s="9"/>
      <c r="AD6" s="9"/>
      <c r="AE6" s="9"/>
      <c r="AF6" s="9"/>
      <c r="AG6" s="46"/>
      <c r="AH6" s="82"/>
    </row>
    <row r="7" spans="1:34" ht="15.75" thickBot="1" x14ac:dyDescent="0.3">
      <c r="B7" s="83" t="s">
        <v>10</v>
      </c>
      <c r="C7" s="19">
        <f>IF(COUNTA(C4:J4) &gt; 0, ROUND(LOG(COUNTA(C4:J4), 2), 3), "-")</f>
        <v>3</v>
      </c>
      <c r="D7" s="20"/>
      <c r="E7" s="21" t="s">
        <v>15</v>
      </c>
      <c r="F7" s="21"/>
      <c r="G7" s="18"/>
      <c r="H7" s="18"/>
      <c r="I7" s="18"/>
      <c r="J7" s="84"/>
      <c r="L7" s="95" t="s">
        <v>37</v>
      </c>
      <c r="M7" s="15"/>
      <c r="N7" s="15"/>
      <c r="O7" s="15"/>
      <c r="P7" s="15"/>
      <c r="Q7" s="15"/>
      <c r="R7" s="15"/>
      <c r="S7" s="96"/>
      <c r="V7" s="81"/>
      <c r="W7" s="6"/>
      <c r="X7" s="6"/>
      <c r="Y7" s="6"/>
      <c r="Z7" s="6"/>
      <c r="AA7" s="6"/>
      <c r="AB7" s="6"/>
      <c r="AC7" s="6"/>
      <c r="AD7" s="6"/>
      <c r="AE7" s="6"/>
      <c r="AF7" s="6"/>
      <c r="AG7" s="46"/>
      <c r="AH7" s="82"/>
    </row>
    <row r="8" spans="1:34" ht="15.75" thickBot="1" x14ac:dyDescent="0.3">
      <c r="B8" s="85"/>
      <c r="C8" s="22"/>
      <c r="D8" s="23"/>
      <c r="E8" s="24"/>
      <c r="F8" s="24"/>
      <c r="G8" s="8"/>
      <c r="H8" s="8"/>
      <c r="I8" s="8"/>
      <c r="J8" s="86"/>
      <c r="L8" s="97" t="str">
        <f>ROUND(2*Q4*LOG(Q5,2), 3) &amp; " bitai per sek. (b/s)"</f>
        <v>6000 bitai per sek. (b/s)</v>
      </c>
      <c r="M8" s="14"/>
      <c r="N8" s="14"/>
      <c r="O8" s="14"/>
      <c r="P8" s="14"/>
      <c r="Q8" s="14"/>
      <c r="R8" s="14"/>
      <c r="S8" s="98"/>
      <c r="V8" s="122" t="s">
        <v>41</v>
      </c>
      <c r="W8" s="100"/>
      <c r="X8" s="100"/>
      <c r="Y8" s="100"/>
      <c r="Z8" s="93">
        <f>IF(OR(Z6="",Z5=""), "Values not set",Z6*Z5)</f>
        <v>16</v>
      </c>
      <c r="AA8" s="92"/>
      <c r="AB8" s="93">
        <f>IF(OR(AB6="",AB5=""), "Values not set",AB6*AB5)</f>
        <v>16</v>
      </c>
      <c r="AC8" s="15"/>
      <c r="AD8" s="15"/>
      <c r="AE8" s="15"/>
      <c r="AF8" s="15"/>
      <c r="AG8" s="46"/>
      <c r="AH8" s="82"/>
    </row>
    <row r="9" spans="1:34" ht="15.75" thickBot="1" x14ac:dyDescent="0.3">
      <c r="B9" s="114" t="s">
        <v>12</v>
      </c>
      <c r="C9" s="33" t="s">
        <v>14</v>
      </c>
      <c r="D9" s="34"/>
      <c r="E9" s="34"/>
      <c r="F9" s="34"/>
      <c r="G9" s="34"/>
      <c r="H9" s="34"/>
      <c r="I9" s="34"/>
      <c r="J9" s="87"/>
      <c r="L9" s="81"/>
      <c r="M9" s="6"/>
      <c r="N9" s="6"/>
      <c r="O9" s="6"/>
      <c r="P9" s="6"/>
      <c r="Q9" s="6"/>
      <c r="R9" s="6"/>
      <c r="S9" s="82"/>
      <c r="V9" s="81"/>
      <c r="W9" s="6"/>
      <c r="X9" s="6"/>
      <c r="Y9" s="6"/>
      <c r="Z9" s="6"/>
      <c r="AA9" s="6"/>
      <c r="AB9" s="6"/>
      <c r="AC9" s="6"/>
      <c r="AD9" s="6"/>
      <c r="AE9" s="6"/>
      <c r="AF9" s="6"/>
      <c r="AG9" s="46"/>
      <c r="AH9" s="82"/>
    </row>
    <row r="10" spans="1:34" ht="15.75" thickBot="1" x14ac:dyDescent="0.3">
      <c r="B10" s="88" t="s">
        <v>13</v>
      </c>
      <c r="C10" s="89">
        <f>LEN(C9) * C7</f>
        <v>30</v>
      </c>
      <c r="D10" s="90" t="s">
        <v>15</v>
      </c>
      <c r="E10" s="90"/>
      <c r="F10" s="90"/>
      <c r="G10" s="90"/>
      <c r="H10" s="90"/>
      <c r="I10" s="90"/>
      <c r="J10" s="91"/>
      <c r="L10" s="70"/>
      <c r="M10" s="8"/>
      <c r="N10" s="8"/>
      <c r="O10" s="8"/>
      <c r="P10" s="8"/>
      <c r="Q10" s="8"/>
      <c r="R10" s="8"/>
      <c r="S10" s="86"/>
      <c r="V10" s="125" t="s">
        <v>51</v>
      </c>
      <c r="W10" s="103"/>
      <c r="X10" s="103"/>
      <c r="Y10" s="103"/>
      <c r="Z10" s="127" t="s">
        <v>52</v>
      </c>
      <c r="AA10" s="17"/>
      <c r="AB10" s="6"/>
      <c r="AC10" s="6"/>
      <c r="AD10" s="6"/>
      <c r="AE10" s="6"/>
      <c r="AF10" s="6"/>
      <c r="AG10" s="46"/>
      <c r="AH10" s="82"/>
    </row>
    <row r="11" spans="1:34" ht="32.25" customHeight="1" thickBot="1" x14ac:dyDescent="0.3">
      <c r="B11" s="76" t="s">
        <v>32</v>
      </c>
      <c r="C11" s="76"/>
      <c r="D11" s="76"/>
      <c r="E11" s="76"/>
      <c r="F11" s="76"/>
      <c r="G11" s="76"/>
      <c r="H11" s="76"/>
      <c r="I11" s="76"/>
      <c r="J11" s="76"/>
      <c r="V11" s="123" t="s">
        <v>45</v>
      </c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46"/>
      <c r="AH11" s="82"/>
    </row>
    <row r="12" spans="1:34" ht="16.5" thickTop="1" thickBot="1" x14ac:dyDescent="0.3">
      <c r="A12" s="46"/>
      <c r="B12" s="8"/>
      <c r="C12" s="15" t="s">
        <v>18</v>
      </c>
      <c r="D12" s="15"/>
      <c r="E12" s="15"/>
      <c r="G12" s="15" t="s">
        <v>19</v>
      </c>
      <c r="H12" s="15"/>
      <c r="I12" s="15"/>
      <c r="J12" s="48"/>
      <c r="V12" s="81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46"/>
      <c r="AH12" s="82"/>
    </row>
    <row r="13" spans="1:34" ht="15.75" thickBot="1" x14ac:dyDescent="0.3">
      <c r="A13" s="46"/>
      <c r="B13" s="115" t="s">
        <v>16</v>
      </c>
      <c r="C13" s="32"/>
      <c r="D13" s="32"/>
      <c r="E13" s="32"/>
      <c r="F13" s="8"/>
      <c r="G13" s="28">
        <f>IF(C14 = "","K not set",2^C14)</f>
        <v>4</v>
      </c>
      <c r="H13" s="28"/>
      <c r="I13" s="28"/>
      <c r="J13" s="46"/>
      <c r="V13" s="124" t="s">
        <v>34</v>
      </c>
      <c r="W13" s="118"/>
      <c r="X13" s="118"/>
      <c r="Y13" s="118"/>
      <c r="Z13" s="118"/>
      <c r="AA13" s="104">
        <v>100000000</v>
      </c>
      <c r="AB13" s="105"/>
      <c r="AC13" s="105"/>
      <c r="AD13" s="105"/>
      <c r="AE13" s="106" t="s">
        <v>46</v>
      </c>
      <c r="AF13" s="106"/>
      <c r="AG13" s="46"/>
      <c r="AH13" s="82"/>
    </row>
    <row r="14" spans="1:34" ht="15.75" thickBot="1" x14ac:dyDescent="0.3">
      <c r="A14" s="46"/>
      <c r="B14" s="115" t="s">
        <v>17</v>
      </c>
      <c r="C14" s="32">
        <v>2</v>
      </c>
      <c r="D14" s="32"/>
      <c r="E14" s="32"/>
      <c r="F14" s="8"/>
      <c r="G14" s="28" t="str">
        <f>IF(C13="","L not set",LOG(C13,2))</f>
        <v>L not set</v>
      </c>
      <c r="H14" s="28"/>
      <c r="I14" s="28"/>
      <c r="J14" s="46"/>
      <c r="V14" s="125" t="s">
        <v>43</v>
      </c>
      <c r="W14" s="103"/>
      <c r="X14" s="103"/>
      <c r="Y14" s="103"/>
      <c r="Z14" s="103"/>
      <c r="AA14" s="10">
        <f>Z4</f>
        <v>16</v>
      </c>
      <c r="AB14" s="7"/>
      <c r="AC14" s="7"/>
      <c r="AD14" s="7"/>
      <c r="AE14" s="7"/>
      <c r="AF14" s="7"/>
      <c r="AG14" s="47"/>
      <c r="AH14" s="82"/>
    </row>
    <row r="15" spans="1:34" x14ac:dyDescent="0.25">
      <c r="A15" s="46"/>
      <c r="B15" s="116" t="s">
        <v>20</v>
      </c>
      <c r="C15" s="36">
        <v>1000</v>
      </c>
      <c r="D15" s="36"/>
      <c r="E15" s="36"/>
      <c r="F15" s="37" t="str">
        <f>"per sekundę (" &amp;C15 &amp;"Hz)"</f>
        <v>per sekundę (1000Hz)</v>
      </c>
      <c r="G15" s="37"/>
      <c r="H15" s="37"/>
      <c r="I15" s="37"/>
      <c r="J15" s="46"/>
      <c r="V15" s="81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82"/>
    </row>
    <row r="16" spans="1:34" ht="15.75" thickBot="1" x14ac:dyDescent="0.3">
      <c r="A16" s="46"/>
      <c r="B16" s="117"/>
      <c r="C16" s="38"/>
      <c r="D16" s="38"/>
      <c r="E16" s="38"/>
      <c r="F16" s="39"/>
      <c r="G16" s="39"/>
      <c r="H16" s="39"/>
      <c r="I16" s="39"/>
      <c r="J16" s="46"/>
      <c r="V16" s="95" t="s">
        <v>36</v>
      </c>
      <c r="W16" s="15"/>
      <c r="X16" s="15"/>
      <c r="Y16" s="15"/>
      <c r="Z16" s="15"/>
      <c r="AA16" s="15"/>
      <c r="AB16" s="15"/>
      <c r="AC16" s="126">
        <f>2*AA13*LOG(AB8,2)</f>
        <v>800000000</v>
      </c>
      <c r="AD16" s="103"/>
      <c r="AE16" s="103"/>
      <c r="AF16" s="16" t="s">
        <v>48</v>
      </c>
      <c r="AG16" s="16"/>
      <c r="AH16" s="82"/>
    </row>
    <row r="17" spans="1:34" ht="15.75" thickBot="1" x14ac:dyDescent="0.3">
      <c r="A17" s="46"/>
      <c r="B17" s="74" t="s">
        <v>21</v>
      </c>
      <c r="C17" s="40">
        <f>IF(C13="",G13,C13) * (1/C15)</f>
        <v>4.0000000000000001E-3</v>
      </c>
      <c r="D17" s="41"/>
      <c r="E17" s="41"/>
      <c r="F17" s="41"/>
      <c r="G17" s="42" t="s">
        <v>22</v>
      </c>
      <c r="H17" s="42"/>
      <c r="I17" s="43"/>
      <c r="J17" s="46"/>
      <c r="V17" s="81"/>
      <c r="W17" s="6"/>
      <c r="X17" s="6"/>
      <c r="Y17" s="6"/>
      <c r="Z17" s="6"/>
      <c r="AA17" s="6"/>
      <c r="AB17" s="6"/>
      <c r="AC17" s="40">
        <f>AC16/1000</f>
        <v>800000</v>
      </c>
      <c r="AD17" s="41"/>
      <c r="AE17" s="41"/>
      <c r="AF17" s="16" t="s">
        <v>49</v>
      </c>
      <c r="AG17" s="16"/>
      <c r="AH17" s="82"/>
    </row>
    <row r="18" spans="1:34" ht="15.75" thickBot="1" x14ac:dyDescent="0.3">
      <c r="A18" s="46"/>
      <c r="H18" s="45"/>
      <c r="J18" s="46"/>
      <c r="V18" s="70"/>
      <c r="W18" s="8"/>
      <c r="X18" s="8"/>
      <c r="Y18" s="8"/>
      <c r="Z18" s="8"/>
      <c r="AA18" s="8"/>
      <c r="AB18" s="8"/>
      <c r="AC18" s="40">
        <f>AC16/1000000</f>
        <v>800</v>
      </c>
      <c r="AD18" s="41"/>
      <c r="AE18" s="41"/>
      <c r="AF18" s="17" t="s">
        <v>50</v>
      </c>
      <c r="AG18" s="17"/>
      <c r="AH18" s="86"/>
    </row>
    <row r="19" spans="1:34" ht="15.75" thickBot="1" x14ac:dyDescent="0.3">
      <c r="A19" s="46"/>
      <c r="B19" s="1" t="s">
        <v>23</v>
      </c>
      <c r="C19" s="54" t="s">
        <v>27</v>
      </c>
      <c r="D19" s="55" t="s">
        <v>27</v>
      </c>
      <c r="E19" s="56"/>
      <c r="F19" s="56"/>
      <c r="G19" s="57"/>
      <c r="H19" s="46"/>
      <c r="J19" s="46"/>
    </row>
    <row r="20" spans="1:34" ht="15.75" thickBot="1" x14ac:dyDescent="0.3">
      <c r="A20" s="46"/>
      <c r="C20" s="58" t="s">
        <v>26</v>
      </c>
      <c r="D20" s="50"/>
      <c r="E20" s="59"/>
      <c r="F20" s="59"/>
      <c r="G20" s="60" t="s">
        <v>26</v>
      </c>
      <c r="H20" s="46"/>
      <c r="J20" s="46"/>
    </row>
    <row r="21" spans="1:34" ht="15.75" thickBot="1" x14ac:dyDescent="0.3">
      <c r="A21" s="46"/>
      <c r="C21" s="58" t="s">
        <v>25</v>
      </c>
      <c r="D21" s="50"/>
      <c r="E21" s="59"/>
      <c r="F21" s="51" t="s">
        <v>25</v>
      </c>
      <c r="G21" s="61"/>
      <c r="H21" s="47"/>
      <c r="J21" s="46"/>
    </row>
    <row r="22" spans="1:34" ht="15.75" thickBot="1" x14ac:dyDescent="0.3">
      <c r="A22" s="46"/>
      <c r="C22" s="58" t="s">
        <v>24</v>
      </c>
      <c r="D22" s="52"/>
      <c r="E22" s="51" t="s">
        <v>24</v>
      </c>
      <c r="F22" s="53"/>
      <c r="G22" s="62"/>
      <c r="J22" s="46"/>
    </row>
    <row r="23" spans="1:34" ht="15.75" thickBot="1" x14ac:dyDescent="0.3">
      <c r="A23" s="46"/>
      <c r="C23" s="63"/>
      <c r="D23" s="64" t="s">
        <v>28</v>
      </c>
      <c r="E23" s="64"/>
      <c r="F23" s="64"/>
      <c r="G23" s="65"/>
      <c r="J23" s="46"/>
    </row>
    <row r="24" spans="1:34" ht="15.75" thickBot="1" x14ac:dyDescent="0.3">
      <c r="A24" s="46"/>
      <c r="B24" s="49"/>
      <c r="C24" s="49"/>
      <c r="D24" s="49"/>
      <c r="E24" s="49"/>
      <c r="F24" s="49"/>
      <c r="G24" s="49"/>
      <c r="H24" s="49"/>
      <c r="I24" s="49"/>
      <c r="J24" s="47"/>
    </row>
    <row r="25" spans="1:34" ht="16.5" thickTop="1" thickBot="1" x14ac:dyDescent="0.3"/>
    <row r="26" spans="1:34" x14ac:dyDescent="0.25">
      <c r="B26" s="73" t="s">
        <v>30</v>
      </c>
      <c r="C26" s="68" t="s">
        <v>31</v>
      </c>
      <c r="D26" s="68"/>
      <c r="E26" s="68"/>
      <c r="F26" s="68"/>
      <c r="G26" s="68"/>
      <c r="H26" s="68"/>
      <c r="I26" s="68"/>
      <c r="J26" s="69"/>
    </row>
    <row r="27" spans="1:34" ht="15.75" thickBot="1" x14ac:dyDescent="0.3">
      <c r="B27" s="70"/>
      <c r="C27" s="71"/>
      <c r="D27" s="71"/>
      <c r="E27" s="71"/>
      <c r="F27" s="71"/>
      <c r="G27" s="71"/>
      <c r="H27" s="71"/>
      <c r="I27" s="71"/>
      <c r="J27" s="72"/>
    </row>
  </sheetData>
  <mergeCells count="55">
    <mergeCell ref="AF18:AG18"/>
    <mergeCell ref="AF17:AG17"/>
    <mergeCell ref="AF16:AG16"/>
    <mergeCell ref="V10:Y10"/>
    <mergeCell ref="Z10:AA10"/>
    <mergeCell ref="V16:AB16"/>
    <mergeCell ref="V6:Y6"/>
    <mergeCell ref="V2:AG2"/>
    <mergeCell ref="AC16:AE16"/>
    <mergeCell ref="AC18:AE18"/>
    <mergeCell ref="AC17:AE17"/>
    <mergeCell ref="V11:AF11"/>
    <mergeCell ref="V13:Z13"/>
    <mergeCell ref="V14:Z14"/>
    <mergeCell ref="AA14:AF14"/>
    <mergeCell ref="AA13:AD13"/>
    <mergeCell ref="AE13:AF13"/>
    <mergeCell ref="AB4:AF4"/>
    <mergeCell ref="V4:Y4"/>
    <mergeCell ref="Z4:AA4"/>
    <mergeCell ref="AB6:AF6"/>
    <mergeCell ref="AB8:AF8"/>
    <mergeCell ref="Z8:AA8"/>
    <mergeCell ref="Z6:AA6"/>
    <mergeCell ref="V5:Y5"/>
    <mergeCell ref="Z5:AA5"/>
    <mergeCell ref="AB5:AF5"/>
    <mergeCell ref="Q5:S5"/>
    <mergeCell ref="Q4:S4"/>
    <mergeCell ref="L7:S7"/>
    <mergeCell ref="L8:S8"/>
    <mergeCell ref="L3:S3"/>
    <mergeCell ref="D23:G23"/>
    <mergeCell ref="C26:J27"/>
    <mergeCell ref="B11:J11"/>
    <mergeCell ref="B3:J3"/>
    <mergeCell ref="L4:P4"/>
    <mergeCell ref="L5:P5"/>
    <mergeCell ref="B15:B16"/>
    <mergeCell ref="C15:E16"/>
    <mergeCell ref="F15:I16"/>
    <mergeCell ref="C17:F17"/>
    <mergeCell ref="G17:I17"/>
    <mergeCell ref="C5:J5"/>
    <mergeCell ref="C14:E14"/>
    <mergeCell ref="C13:E13"/>
    <mergeCell ref="G14:I14"/>
    <mergeCell ref="G13:I13"/>
    <mergeCell ref="G12:I12"/>
    <mergeCell ref="C12:E12"/>
    <mergeCell ref="D10:J10"/>
    <mergeCell ref="B7:B8"/>
    <mergeCell ref="C7:D8"/>
    <mergeCell ref="C9:J9"/>
    <mergeCell ref="E7:F8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748B7-341E-47C3-9960-9C3D6376B7E8}">
  <dimension ref="B1:AH23"/>
  <sheetViews>
    <sheetView zoomScale="160" zoomScaleNormal="160" workbookViewId="0">
      <selection activeCell="X15" sqref="X15:Z15"/>
    </sheetView>
  </sheetViews>
  <sheetFormatPr defaultRowHeight="15" x14ac:dyDescent="0.25"/>
  <cols>
    <col min="1" max="15" width="4.7109375" customWidth="1"/>
    <col min="16" max="16" width="6.140625" customWidth="1"/>
    <col min="17" max="26" width="4.7109375" customWidth="1"/>
    <col min="27" max="27" width="5.28515625" customWidth="1"/>
    <col min="28" max="33" width="4.7109375" customWidth="1"/>
    <col min="34" max="34" width="5.5703125" customWidth="1"/>
    <col min="35" max="88" width="4.7109375" customWidth="1"/>
  </cols>
  <sheetData>
    <row r="1" spans="2:34" ht="15.75" thickBot="1" x14ac:dyDescent="0.3"/>
    <row r="2" spans="2:34" ht="15.75" thickBot="1" x14ac:dyDescent="0.3">
      <c r="B2" s="128" t="s">
        <v>53</v>
      </c>
      <c r="C2" s="128"/>
      <c r="D2" s="128"/>
      <c r="E2" s="128"/>
      <c r="F2" s="128"/>
      <c r="G2" s="128"/>
      <c r="H2" s="128"/>
      <c r="I2" s="128"/>
      <c r="J2" s="129" t="str">
        <f>"=K/R"</f>
        <v>=K/R</v>
      </c>
      <c r="K2" s="129"/>
      <c r="N2" s="139" t="s">
        <v>62</v>
      </c>
      <c r="O2" s="140"/>
      <c r="P2" s="140"/>
      <c r="Q2" s="140"/>
      <c r="R2" s="140"/>
      <c r="S2" s="140"/>
      <c r="T2" s="141"/>
      <c r="V2" s="161" t="s">
        <v>62</v>
      </c>
      <c r="W2" s="162"/>
      <c r="X2" s="162"/>
      <c r="Y2" s="162"/>
      <c r="Z2" s="162"/>
      <c r="AA2" s="162"/>
      <c r="AB2" s="162"/>
      <c r="AC2" s="162"/>
      <c r="AD2" s="162"/>
      <c r="AE2" s="162"/>
      <c r="AF2" s="162"/>
      <c r="AG2" s="162"/>
      <c r="AH2" s="163"/>
    </row>
    <row r="3" spans="2:34" ht="15.75" customHeight="1" thickBot="1" x14ac:dyDescent="0.3">
      <c r="B3" s="128" t="s">
        <v>54</v>
      </c>
      <c r="C3" s="128"/>
      <c r="D3" s="128"/>
      <c r="E3" s="128"/>
      <c r="F3" s="128"/>
      <c r="G3" s="128"/>
      <c r="H3" s="128"/>
      <c r="I3" s="128"/>
      <c r="J3" s="129" t="str">
        <f>"=L/V"</f>
        <v>=L/V</v>
      </c>
      <c r="K3" s="129"/>
      <c r="N3" s="154" t="s">
        <v>63</v>
      </c>
      <c r="O3" s="155"/>
      <c r="P3" s="155"/>
      <c r="Q3" s="155"/>
      <c r="R3" s="155"/>
      <c r="S3" s="155"/>
      <c r="T3" s="156"/>
      <c r="V3" s="164" t="s">
        <v>74</v>
      </c>
      <c r="W3" s="184"/>
      <c r="X3" s="184"/>
      <c r="Y3" s="184"/>
      <c r="Z3" s="184"/>
      <c r="AA3" s="184"/>
      <c r="AB3" s="184"/>
      <c r="AC3" s="184"/>
      <c r="AD3" s="184"/>
      <c r="AE3" s="184"/>
      <c r="AF3" s="184"/>
      <c r="AG3" s="184"/>
      <c r="AH3" s="185"/>
    </row>
    <row r="4" spans="2:34" x14ac:dyDescent="0.25">
      <c r="N4" s="144"/>
      <c r="O4" s="142"/>
      <c r="P4" s="142"/>
      <c r="Q4" s="142"/>
      <c r="R4" s="142"/>
      <c r="S4" s="142"/>
      <c r="T4" s="143"/>
      <c r="V4" s="186"/>
      <c r="W4" s="187"/>
      <c r="X4" s="187"/>
      <c r="Y4" s="187"/>
      <c r="Z4" s="187"/>
      <c r="AA4" s="187"/>
      <c r="AB4" s="187"/>
      <c r="AC4" s="187"/>
      <c r="AD4" s="187"/>
      <c r="AE4" s="187"/>
      <c r="AF4" s="187"/>
      <c r="AG4" s="187"/>
      <c r="AH4" s="188"/>
    </row>
    <row r="5" spans="2:34" ht="15.75" thickBot="1" x14ac:dyDescent="0.3">
      <c r="B5" s="8"/>
      <c r="C5" s="8"/>
      <c r="D5" s="128" t="s">
        <v>55</v>
      </c>
      <c r="E5" s="128"/>
      <c r="F5" s="128"/>
      <c r="G5" s="128"/>
      <c r="H5" s="128"/>
      <c r="I5" s="128"/>
      <c r="J5" s="13" t="s">
        <v>59</v>
      </c>
      <c r="K5" s="8"/>
      <c r="N5" s="157"/>
      <c r="O5" s="158"/>
      <c r="P5" s="158"/>
      <c r="Q5" s="158"/>
      <c r="R5" s="158"/>
      <c r="S5" s="158"/>
      <c r="T5" s="159"/>
      <c r="V5" s="189"/>
      <c r="W5" s="190"/>
      <c r="X5" s="190"/>
      <c r="Y5" s="190"/>
      <c r="Z5" s="190"/>
      <c r="AA5" s="190"/>
      <c r="AB5" s="190"/>
      <c r="AC5" s="190"/>
      <c r="AD5" s="190"/>
      <c r="AE5" s="190"/>
      <c r="AF5" s="190"/>
      <c r="AG5" s="190"/>
      <c r="AH5" s="191"/>
    </row>
    <row r="6" spans="2:34" ht="15.75" thickBot="1" x14ac:dyDescent="0.3">
      <c r="B6" s="8"/>
      <c r="C6" s="8"/>
      <c r="D6" s="128" t="s">
        <v>56</v>
      </c>
      <c r="E6" s="128"/>
      <c r="F6" s="128"/>
      <c r="G6" s="128"/>
      <c r="H6" s="128"/>
      <c r="I6" s="128"/>
      <c r="J6" s="13" t="s">
        <v>60</v>
      </c>
      <c r="K6" s="8"/>
      <c r="N6" s="145"/>
      <c r="O6" s="146"/>
      <c r="P6" s="146"/>
      <c r="Q6" s="146"/>
      <c r="R6" s="146"/>
      <c r="S6" s="146"/>
      <c r="T6" s="147"/>
      <c r="V6" s="176" t="s">
        <v>75</v>
      </c>
      <c r="W6" s="175">
        <v>1000</v>
      </c>
      <c r="X6" s="109"/>
      <c r="Y6" s="109"/>
      <c r="Z6" s="109"/>
      <c r="AA6" s="182" t="s">
        <v>67</v>
      </c>
      <c r="AC6" s="176" t="s">
        <v>75</v>
      </c>
      <c r="AD6" s="175">
        <v>5000</v>
      </c>
      <c r="AE6" s="109"/>
      <c r="AF6" s="109"/>
      <c r="AG6" s="109"/>
      <c r="AH6" s="182" t="s">
        <v>67</v>
      </c>
    </row>
    <row r="7" spans="2:34" ht="15.75" thickBot="1" x14ac:dyDescent="0.3">
      <c r="B7" s="8"/>
      <c r="C7" s="8"/>
      <c r="D7" s="128" t="s">
        <v>57</v>
      </c>
      <c r="E7" s="128"/>
      <c r="F7" s="128"/>
      <c r="G7" s="128"/>
      <c r="H7" s="128"/>
      <c r="I7" s="128"/>
      <c r="J7" s="13" t="s">
        <v>29</v>
      </c>
      <c r="K7" s="8"/>
      <c r="N7" s="63" t="s">
        <v>59</v>
      </c>
      <c r="O7" s="174">
        <v>100000</v>
      </c>
      <c r="P7" s="118"/>
      <c r="Q7" s="150" t="s">
        <v>64</v>
      </c>
      <c r="R7" s="150"/>
      <c r="S7" s="146"/>
      <c r="T7" s="147"/>
      <c r="V7" s="176" t="s">
        <v>72</v>
      </c>
      <c r="W7" s="174">
        <v>100</v>
      </c>
      <c r="X7" s="118"/>
      <c r="Y7" s="118"/>
      <c r="Z7" s="118"/>
      <c r="AA7" s="183" t="s">
        <v>67</v>
      </c>
      <c r="AC7" s="176" t="s">
        <v>72</v>
      </c>
      <c r="AD7" s="174">
        <v>1000</v>
      </c>
      <c r="AE7" s="118"/>
      <c r="AF7" s="118"/>
      <c r="AG7" s="118"/>
      <c r="AH7" s="183" t="s">
        <v>67</v>
      </c>
    </row>
    <row r="8" spans="2:34" ht="15.75" thickBot="1" x14ac:dyDescent="0.3">
      <c r="B8" s="8"/>
      <c r="C8" s="8"/>
      <c r="D8" s="128" t="s">
        <v>58</v>
      </c>
      <c r="E8" s="128"/>
      <c r="F8" s="128"/>
      <c r="G8" s="128"/>
      <c r="H8" s="128"/>
      <c r="I8" s="128"/>
      <c r="J8" s="13" t="s">
        <v>61</v>
      </c>
      <c r="K8" s="8"/>
      <c r="N8" s="63" t="s">
        <v>61</v>
      </c>
      <c r="O8" s="175">
        <v>2000000</v>
      </c>
      <c r="P8" s="109"/>
      <c r="Q8" s="173" t="s">
        <v>71</v>
      </c>
      <c r="R8" s="173"/>
      <c r="S8" s="146"/>
      <c r="T8" s="147"/>
      <c r="V8" s="177" t="s">
        <v>61</v>
      </c>
      <c r="W8" s="174">
        <v>10</v>
      </c>
      <c r="X8" s="118"/>
      <c r="Y8" s="118"/>
      <c r="Z8" s="118"/>
      <c r="AA8" s="179" t="s">
        <v>73</v>
      </c>
      <c r="AC8" s="177" t="s">
        <v>61</v>
      </c>
      <c r="AD8" s="174">
        <v>10</v>
      </c>
      <c r="AE8" s="118"/>
      <c r="AF8" s="118"/>
      <c r="AG8" s="118"/>
      <c r="AH8" s="179" t="s">
        <v>73</v>
      </c>
    </row>
    <row r="9" spans="2:34" ht="15.75" thickBot="1" x14ac:dyDescent="0.3">
      <c r="N9" s="63" t="s">
        <v>29</v>
      </c>
      <c r="O9" s="175">
        <v>2000</v>
      </c>
      <c r="P9" s="109"/>
      <c r="Q9" s="173" t="s">
        <v>65</v>
      </c>
      <c r="R9" s="173"/>
      <c r="S9" s="146"/>
      <c r="T9" s="147"/>
      <c r="V9" s="192" t="s">
        <v>60</v>
      </c>
      <c r="W9" s="181">
        <v>200000000</v>
      </c>
      <c r="X9" s="180"/>
      <c r="Y9" s="200" t="s">
        <v>66</v>
      </c>
      <c r="Z9" s="146"/>
      <c r="AA9" s="146"/>
      <c r="AB9" s="194"/>
      <c r="AC9" s="194"/>
      <c r="AD9" s="195"/>
      <c r="AE9" s="195"/>
      <c r="AF9" s="195"/>
      <c r="AG9" s="195"/>
      <c r="AH9" s="147"/>
    </row>
    <row r="10" spans="2:34" ht="15.75" thickBot="1" x14ac:dyDescent="0.3">
      <c r="B10" s="130"/>
      <c r="C10" s="131"/>
      <c r="D10" s="131"/>
      <c r="E10" s="131"/>
      <c r="F10" s="131"/>
      <c r="G10" s="131"/>
      <c r="H10" s="131"/>
      <c r="I10" s="131"/>
      <c r="J10" s="131"/>
      <c r="K10" s="132"/>
      <c r="N10" s="63" t="s">
        <v>60</v>
      </c>
      <c r="O10" s="175">
        <v>200000000</v>
      </c>
      <c r="P10" s="109"/>
      <c r="Q10" s="173" t="s">
        <v>66</v>
      </c>
      <c r="R10" s="173"/>
      <c r="S10" s="146"/>
      <c r="T10" s="147"/>
      <c r="V10" s="63" t="s">
        <v>29</v>
      </c>
      <c r="W10" s="174">
        <v>2000</v>
      </c>
      <c r="X10" s="118"/>
      <c r="Y10" s="201" t="s">
        <v>65</v>
      </c>
      <c r="Z10" s="152"/>
      <c r="AA10" s="152"/>
      <c r="AB10" s="152"/>
      <c r="AC10" s="152"/>
      <c r="AD10" s="152"/>
      <c r="AE10" s="152"/>
      <c r="AF10" s="152"/>
      <c r="AG10" s="152"/>
      <c r="AH10" s="153"/>
    </row>
    <row r="11" spans="2:34" x14ac:dyDescent="0.25">
      <c r="B11" s="133"/>
      <c r="C11" s="134"/>
      <c r="D11" s="134"/>
      <c r="E11" s="134"/>
      <c r="F11" s="134"/>
      <c r="G11" s="134"/>
      <c r="H11" s="134"/>
      <c r="I11" s="134"/>
      <c r="J11" s="134"/>
      <c r="K11" s="135"/>
      <c r="N11" s="145"/>
      <c r="O11" s="146"/>
      <c r="P11" s="146"/>
      <c r="Q11" s="146"/>
      <c r="R11" s="146"/>
      <c r="S11" s="146"/>
      <c r="T11" s="147"/>
      <c r="V11" s="192"/>
      <c r="W11" s="196"/>
      <c r="X11" s="196"/>
      <c r="Y11" s="194"/>
      <c r="Z11" s="194"/>
      <c r="AA11" s="197"/>
      <c r="AB11" s="194"/>
      <c r="AC11" s="192"/>
      <c r="AD11" s="196"/>
      <c r="AE11" s="196"/>
      <c r="AF11" s="194"/>
      <c r="AG11" s="194"/>
      <c r="AH11" s="197"/>
    </row>
    <row r="12" spans="2:34" ht="15.75" thickBot="1" x14ac:dyDescent="0.3">
      <c r="B12" s="133"/>
      <c r="C12" s="134"/>
      <c r="D12" s="134"/>
      <c r="E12" s="134"/>
      <c r="F12" s="134"/>
      <c r="G12" s="134"/>
      <c r="H12" s="134"/>
      <c r="I12" s="134"/>
      <c r="J12" s="134"/>
      <c r="K12" s="135"/>
      <c r="N12" s="151" t="s">
        <v>68</v>
      </c>
      <c r="O12" s="64"/>
      <c r="P12" s="148">
        <f>2*(O7/O10)</f>
        <v>1E-3</v>
      </c>
      <c r="Q12" s="149"/>
      <c r="R12" s="149"/>
      <c r="S12" s="146" t="s">
        <v>22</v>
      </c>
      <c r="T12" s="147"/>
      <c r="V12" s="63" t="s">
        <v>59</v>
      </c>
      <c r="W12" s="148">
        <f>(W6-W7)*1000*2</f>
        <v>1800000</v>
      </c>
      <c r="X12" s="149"/>
      <c r="Y12" s="152" t="s">
        <v>64</v>
      </c>
      <c r="Z12" s="152"/>
      <c r="AA12" s="153"/>
      <c r="AB12" s="146"/>
      <c r="AC12" s="63" t="s">
        <v>59</v>
      </c>
      <c r="AD12" s="148">
        <f>(AD6-AD7)*1000*2</f>
        <v>8000000</v>
      </c>
      <c r="AE12" s="149"/>
      <c r="AF12" s="152" t="s">
        <v>64</v>
      </c>
      <c r="AG12" s="152"/>
      <c r="AH12" s="153"/>
    </row>
    <row r="13" spans="2:34" ht="15.75" thickBot="1" x14ac:dyDescent="0.3">
      <c r="B13" s="133"/>
      <c r="C13" s="134"/>
      <c r="D13" s="134"/>
      <c r="E13" s="134"/>
      <c r="F13" s="134"/>
      <c r="G13" s="134"/>
      <c r="H13" s="134"/>
      <c r="I13" s="134"/>
      <c r="J13" s="134"/>
      <c r="K13" s="135"/>
      <c r="N13" s="151" t="s">
        <v>69</v>
      </c>
      <c r="O13" s="64"/>
      <c r="P13" s="148">
        <f>6*(O9/(O8))</f>
        <v>6.0000000000000001E-3</v>
      </c>
      <c r="Q13" s="149"/>
      <c r="R13" s="149"/>
      <c r="S13" s="146" t="s">
        <v>22</v>
      </c>
      <c r="T13" s="147"/>
      <c r="V13" s="145"/>
      <c r="W13" s="193"/>
      <c r="X13" s="193"/>
      <c r="Y13" s="146"/>
      <c r="Z13" s="146"/>
      <c r="AA13" s="147"/>
      <c r="AB13" s="146"/>
      <c r="AC13" s="145"/>
      <c r="AD13" s="193"/>
      <c r="AE13" s="193"/>
      <c r="AF13" s="146"/>
      <c r="AG13" s="146"/>
      <c r="AH13" s="147"/>
    </row>
    <row r="14" spans="2:34" ht="15.75" thickBot="1" x14ac:dyDescent="0.3">
      <c r="B14" s="133"/>
      <c r="C14" s="134"/>
      <c r="D14" s="134"/>
      <c r="E14" s="134"/>
      <c r="F14" s="134"/>
      <c r="G14" s="134"/>
      <c r="H14" s="134"/>
      <c r="I14" s="134"/>
      <c r="J14" s="134"/>
      <c r="K14" s="135"/>
      <c r="N14" s="151" t="s">
        <v>70</v>
      </c>
      <c r="O14" s="64"/>
      <c r="P14" s="148">
        <f>P12+P13</f>
        <v>7.0000000000000001E-3</v>
      </c>
      <c r="Q14" s="149"/>
      <c r="R14" s="149"/>
      <c r="S14" s="146" t="s">
        <v>22</v>
      </c>
      <c r="T14" s="147"/>
      <c r="V14" s="151" t="s">
        <v>68</v>
      </c>
      <c r="W14" s="198"/>
      <c r="X14" s="199">
        <f>W12/W9</f>
        <v>8.9999999999999993E-3</v>
      </c>
      <c r="Y14" s="64"/>
      <c r="Z14" s="64"/>
      <c r="AA14" s="147" t="s">
        <v>22</v>
      </c>
      <c r="AB14" s="146"/>
      <c r="AC14" s="151" t="s">
        <v>68</v>
      </c>
      <c r="AD14" s="198"/>
      <c r="AE14" s="199">
        <f>AD12/W9</f>
        <v>0.04</v>
      </c>
      <c r="AF14" s="64"/>
      <c r="AG14" s="64"/>
      <c r="AH14" s="147" t="s">
        <v>22</v>
      </c>
    </row>
    <row r="15" spans="2:34" ht="15.75" thickBot="1" x14ac:dyDescent="0.3">
      <c r="B15" s="133"/>
      <c r="C15" s="134"/>
      <c r="D15" s="134"/>
      <c r="E15" s="134"/>
      <c r="F15" s="134"/>
      <c r="G15" s="134"/>
      <c r="H15" s="134"/>
      <c r="I15" s="134"/>
      <c r="J15" s="134"/>
      <c r="K15" s="135"/>
      <c r="N15" s="63"/>
      <c r="O15" s="152"/>
      <c r="P15" s="152"/>
      <c r="Q15" s="152"/>
      <c r="R15" s="152"/>
      <c r="S15" s="152"/>
      <c r="T15" s="153"/>
      <c r="V15" s="151" t="s">
        <v>69</v>
      </c>
      <c r="W15" s="64"/>
      <c r="X15" s="199"/>
      <c r="Y15" s="64"/>
      <c r="Z15" s="64"/>
      <c r="AA15" s="147" t="s">
        <v>22</v>
      </c>
      <c r="AB15" s="146"/>
      <c r="AC15" s="151" t="s">
        <v>69</v>
      </c>
      <c r="AD15" s="64"/>
      <c r="AE15" s="199"/>
      <c r="AF15" s="64"/>
      <c r="AG15" s="64"/>
      <c r="AH15" s="147" t="s">
        <v>22</v>
      </c>
    </row>
    <row r="16" spans="2:34" ht="15.75" thickBot="1" x14ac:dyDescent="0.3">
      <c r="B16" s="133"/>
      <c r="C16" s="134"/>
      <c r="D16" s="134"/>
      <c r="E16" s="134"/>
      <c r="F16" s="134"/>
      <c r="G16" s="134"/>
      <c r="H16" s="134"/>
      <c r="I16" s="134"/>
      <c r="J16" s="134"/>
      <c r="K16" s="135"/>
      <c r="V16" s="151" t="s">
        <v>70</v>
      </c>
      <c r="W16" s="64"/>
      <c r="X16" s="199">
        <f>X14+X15</f>
        <v>8.9999999999999993E-3</v>
      </c>
      <c r="Y16" s="64"/>
      <c r="Z16" s="64"/>
      <c r="AA16" s="147" t="s">
        <v>22</v>
      </c>
      <c r="AB16" s="146"/>
      <c r="AC16" s="151" t="s">
        <v>70</v>
      </c>
      <c r="AD16" s="64"/>
      <c r="AE16" s="199">
        <f>AE14+AE15</f>
        <v>0.04</v>
      </c>
      <c r="AF16" s="64"/>
      <c r="AG16" s="64"/>
      <c r="AH16" s="147" t="s">
        <v>22</v>
      </c>
    </row>
    <row r="17" spans="2:34" ht="15.75" thickBot="1" x14ac:dyDescent="0.3">
      <c r="B17" s="133"/>
      <c r="C17" s="134"/>
      <c r="D17" s="134"/>
      <c r="E17" s="134"/>
      <c r="F17" s="134"/>
      <c r="G17" s="134"/>
      <c r="H17" s="134"/>
      <c r="I17" s="134"/>
      <c r="J17" s="134"/>
      <c r="K17" s="135"/>
      <c r="V17" s="63"/>
      <c r="W17" s="152"/>
      <c r="X17" s="152"/>
      <c r="Y17" s="152"/>
      <c r="Z17" s="152"/>
      <c r="AA17" s="153"/>
      <c r="AB17" s="152"/>
      <c r="AC17" s="63"/>
      <c r="AD17" s="152"/>
      <c r="AE17" s="152"/>
      <c r="AF17" s="152"/>
      <c r="AG17" s="152"/>
      <c r="AH17" s="153"/>
    </row>
    <row r="18" spans="2:34" x14ac:dyDescent="0.25">
      <c r="B18" s="133"/>
      <c r="C18" s="134"/>
      <c r="D18" s="134"/>
      <c r="E18" s="134"/>
      <c r="F18" s="134"/>
      <c r="G18" s="134"/>
      <c r="H18" s="134"/>
      <c r="I18" s="134"/>
      <c r="J18" s="134"/>
      <c r="K18" s="135"/>
    </row>
    <row r="19" spans="2:34" x14ac:dyDescent="0.25">
      <c r="B19" s="133"/>
      <c r="C19" s="134"/>
      <c r="D19" s="134"/>
      <c r="E19" s="134"/>
      <c r="F19" s="134"/>
      <c r="G19" s="134"/>
      <c r="H19" s="134"/>
      <c r="I19" s="134"/>
      <c r="J19" s="134"/>
      <c r="K19" s="135"/>
      <c r="V19" s="202" t="s">
        <v>76</v>
      </c>
      <c r="W19" s="202"/>
      <c r="X19" s="202"/>
      <c r="Y19" s="202"/>
      <c r="Z19" s="202"/>
      <c r="AA19" s="202"/>
      <c r="AB19" s="202"/>
      <c r="AC19" s="202"/>
      <c r="AD19" s="202"/>
      <c r="AE19" s="202"/>
      <c r="AF19" s="202"/>
      <c r="AG19" s="202"/>
      <c r="AH19" s="202"/>
    </row>
    <row r="20" spans="2:34" x14ac:dyDescent="0.25">
      <c r="B20" s="133"/>
      <c r="C20" s="134"/>
      <c r="D20" s="134"/>
      <c r="E20" s="134"/>
      <c r="F20" s="134"/>
      <c r="G20" s="134"/>
      <c r="H20" s="134"/>
      <c r="I20" s="134"/>
      <c r="J20" s="134"/>
      <c r="K20" s="135"/>
      <c r="V20" s="203"/>
      <c r="W20" s="203"/>
      <c r="X20" s="203"/>
      <c r="Y20" s="203"/>
      <c r="Z20" s="203"/>
      <c r="AA20" s="203"/>
      <c r="AB20" s="203"/>
      <c r="AC20" s="203"/>
      <c r="AD20" s="203"/>
      <c r="AE20" s="203"/>
      <c r="AF20" s="203"/>
      <c r="AG20" s="203"/>
      <c r="AH20" s="203"/>
    </row>
    <row r="21" spans="2:34" x14ac:dyDescent="0.25">
      <c r="B21" s="133"/>
      <c r="C21" s="134"/>
      <c r="D21" s="134"/>
      <c r="E21" s="134"/>
      <c r="F21" s="134"/>
      <c r="G21" s="134"/>
      <c r="H21" s="134"/>
      <c r="I21" s="134"/>
      <c r="J21" s="134"/>
      <c r="K21" s="135"/>
      <c r="V21" s="203"/>
      <c r="W21" s="203"/>
      <c r="X21" s="203"/>
      <c r="Y21" s="203"/>
      <c r="Z21" s="203"/>
      <c r="AA21" s="203"/>
      <c r="AB21" s="203"/>
      <c r="AC21" s="203"/>
      <c r="AD21" s="203"/>
      <c r="AE21" s="203"/>
      <c r="AF21" s="203"/>
      <c r="AG21" s="203"/>
      <c r="AH21" s="203"/>
    </row>
    <row r="22" spans="2:34" x14ac:dyDescent="0.25">
      <c r="B22" s="133"/>
      <c r="C22" s="134"/>
      <c r="D22" s="134"/>
      <c r="E22" s="134"/>
      <c r="F22" s="134"/>
      <c r="G22" s="134"/>
      <c r="H22" s="134"/>
      <c r="I22" s="134"/>
      <c r="J22" s="134"/>
      <c r="K22" s="135"/>
    </row>
    <row r="23" spans="2:34" ht="15.75" thickBot="1" x14ac:dyDescent="0.3">
      <c r="B23" s="136"/>
      <c r="C23" s="137"/>
      <c r="D23" s="137"/>
      <c r="E23" s="137"/>
      <c r="F23" s="137"/>
      <c r="G23" s="137"/>
      <c r="H23" s="137"/>
      <c r="I23" s="137"/>
      <c r="J23" s="137"/>
      <c r="K23" s="138"/>
    </row>
  </sheetData>
  <mergeCells count="55">
    <mergeCell ref="V19:AH19"/>
    <mergeCell ref="AE16:AG16"/>
    <mergeCell ref="AE15:AG15"/>
    <mergeCell ref="AE14:AG14"/>
    <mergeCell ref="X16:Z16"/>
    <mergeCell ref="X15:Z15"/>
    <mergeCell ref="X14:Z14"/>
    <mergeCell ref="W8:Z8"/>
    <mergeCell ref="AC16:AD16"/>
    <mergeCell ref="AC15:AD15"/>
    <mergeCell ref="AC14:AD14"/>
    <mergeCell ref="V16:W16"/>
    <mergeCell ref="V15:W15"/>
    <mergeCell ref="V14:W14"/>
    <mergeCell ref="AD9:AG9"/>
    <mergeCell ref="AD7:AG7"/>
    <mergeCell ref="AD6:AG6"/>
    <mergeCell ref="W7:Z7"/>
    <mergeCell ref="W6:Z6"/>
    <mergeCell ref="AD8:AG8"/>
    <mergeCell ref="AD11:AE11"/>
    <mergeCell ref="AD12:AE12"/>
    <mergeCell ref="W13:X13"/>
    <mergeCell ref="AD13:AE13"/>
    <mergeCell ref="W11:X11"/>
    <mergeCell ref="W12:X12"/>
    <mergeCell ref="W10:X10"/>
    <mergeCell ref="V3:AH5"/>
    <mergeCell ref="V2:AH2"/>
    <mergeCell ref="P14:R14"/>
    <mergeCell ref="P13:R13"/>
    <mergeCell ref="P12:R12"/>
    <mergeCell ref="W9:X9"/>
    <mergeCell ref="Q7:R7"/>
    <mergeCell ref="N14:O14"/>
    <mergeCell ref="N13:O13"/>
    <mergeCell ref="N12:O12"/>
    <mergeCell ref="B10:K23"/>
    <mergeCell ref="N2:T2"/>
    <mergeCell ref="N3:T5"/>
    <mergeCell ref="O10:P10"/>
    <mergeCell ref="O9:P9"/>
    <mergeCell ref="O8:P8"/>
    <mergeCell ref="O7:P7"/>
    <mergeCell ref="Q10:R10"/>
    <mergeCell ref="Q9:R9"/>
    <mergeCell ref="Q8:R8"/>
    <mergeCell ref="B2:I2"/>
    <mergeCell ref="B3:I3"/>
    <mergeCell ref="J3:K3"/>
    <mergeCell ref="J2:K2"/>
    <mergeCell ref="D8:I8"/>
    <mergeCell ref="D7:I7"/>
    <mergeCell ref="D6:I6"/>
    <mergeCell ref="D5:I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1B371-7BEA-4E27-AB33-BA81F47F467F}">
  <dimension ref="B1:T17"/>
  <sheetViews>
    <sheetView zoomScale="175" zoomScaleNormal="175" workbookViewId="0">
      <selection activeCell="O15" sqref="O15"/>
    </sheetView>
  </sheetViews>
  <sheetFormatPr defaultRowHeight="15" x14ac:dyDescent="0.25"/>
  <cols>
    <col min="1" max="40" width="5.42578125" customWidth="1"/>
  </cols>
  <sheetData>
    <row r="1" spans="2:20" ht="15.75" thickBot="1" x14ac:dyDescent="0.3"/>
    <row r="2" spans="2:20" x14ac:dyDescent="0.25">
      <c r="B2" s="2" t="s">
        <v>77</v>
      </c>
      <c r="C2" s="2"/>
      <c r="D2" s="2"/>
      <c r="E2" s="2"/>
      <c r="F2" s="2"/>
      <c r="G2" s="2"/>
      <c r="H2" s="2"/>
      <c r="I2" s="2"/>
      <c r="J2" s="2"/>
      <c r="M2" s="139" t="s">
        <v>62</v>
      </c>
      <c r="N2" s="140"/>
      <c r="O2" s="140"/>
      <c r="P2" s="140"/>
      <c r="Q2" s="140"/>
      <c r="R2" s="140"/>
      <c r="S2" s="140"/>
      <c r="T2" s="141"/>
    </row>
    <row r="3" spans="2:20" x14ac:dyDescent="0.25">
      <c r="B3" s="204" t="s">
        <v>78</v>
      </c>
      <c r="C3" s="204"/>
      <c r="D3" s="204"/>
      <c r="E3" s="204"/>
      <c r="F3" s="204"/>
      <c r="G3" s="204"/>
      <c r="H3" s="204"/>
      <c r="I3" s="204"/>
      <c r="J3" s="204"/>
      <c r="M3" s="145"/>
      <c r="N3" s="146"/>
      <c r="O3" s="146"/>
      <c r="P3" s="146"/>
      <c r="Q3" s="146"/>
      <c r="R3" s="146"/>
      <c r="S3" s="146"/>
      <c r="T3" s="147"/>
    </row>
    <row r="4" spans="2:20" ht="15.75" thickBot="1" x14ac:dyDescent="0.3">
      <c r="B4" s="204"/>
      <c r="C4" s="204"/>
      <c r="D4" s="204"/>
      <c r="E4" s="204"/>
      <c r="F4" s="204"/>
      <c r="G4" s="204"/>
      <c r="H4" s="204"/>
      <c r="I4" s="204"/>
      <c r="J4" s="204"/>
      <c r="M4" s="151" t="s">
        <v>70</v>
      </c>
      <c r="N4" s="64"/>
      <c r="O4" s="174">
        <v>2</v>
      </c>
      <c r="P4" s="118"/>
      <c r="Q4" s="118"/>
      <c r="R4" s="118"/>
      <c r="S4" s="118"/>
      <c r="T4" s="179" t="s">
        <v>86</v>
      </c>
    </row>
    <row r="5" spans="2:20" ht="15.75" thickBot="1" x14ac:dyDescent="0.3">
      <c r="B5" s="204"/>
      <c r="C5" s="204"/>
      <c r="D5" s="204"/>
      <c r="E5" s="204"/>
      <c r="F5" s="204"/>
      <c r="G5" s="204"/>
      <c r="H5" s="204"/>
      <c r="I5" s="204"/>
      <c r="J5" s="204"/>
      <c r="M5" s="151" t="s">
        <v>83</v>
      </c>
      <c r="N5" s="64"/>
      <c r="O5" s="174">
        <v>50000</v>
      </c>
      <c r="P5" s="118"/>
      <c r="Q5" s="118"/>
      <c r="R5" s="118"/>
      <c r="S5" s="118"/>
      <c r="T5" s="179" t="s">
        <v>3</v>
      </c>
    </row>
    <row r="6" spans="2:20" x14ac:dyDescent="0.25">
      <c r="B6" s="204"/>
      <c r="C6" s="204"/>
      <c r="D6" s="204"/>
      <c r="E6" s="204"/>
      <c r="F6" s="204"/>
      <c r="G6" s="204"/>
      <c r="H6" s="204"/>
      <c r="I6" s="204"/>
      <c r="J6" s="204"/>
      <c r="M6" s="145"/>
      <c r="N6" s="146"/>
      <c r="O6" s="146"/>
      <c r="P6" s="146"/>
      <c r="Q6" s="146"/>
      <c r="R6" s="146"/>
      <c r="S6" s="146"/>
      <c r="T6" s="147"/>
    </row>
    <row r="7" spans="2:20" ht="15.75" thickBot="1" x14ac:dyDescent="0.3">
      <c r="B7" s="204"/>
      <c r="C7" s="204"/>
      <c r="D7" s="204"/>
      <c r="E7" s="204"/>
      <c r="F7" s="204"/>
      <c r="G7" s="204"/>
      <c r="H7" s="204"/>
      <c r="I7" s="204"/>
      <c r="J7" s="204"/>
      <c r="M7" s="151" t="s">
        <v>87</v>
      </c>
      <c r="N7" s="64"/>
      <c r="O7" s="148">
        <f>O5/(O4/1000)</f>
        <v>25000000</v>
      </c>
      <c r="P7" s="149"/>
      <c r="Q7" s="149"/>
      <c r="R7" s="149"/>
      <c r="S7" s="149"/>
      <c r="T7" s="153" t="s">
        <v>88</v>
      </c>
    </row>
    <row r="8" spans="2:20" ht="15.75" thickBot="1" x14ac:dyDescent="0.3">
      <c r="B8" s="204"/>
      <c r="C8" s="204"/>
      <c r="D8" s="204"/>
      <c r="E8" s="204"/>
      <c r="F8" s="204"/>
      <c r="G8" s="204"/>
      <c r="H8" s="204"/>
      <c r="I8" s="204"/>
      <c r="J8" s="204"/>
      <c r="M8" s="145"/>
      <c r="N8" s="146"/>
      <c r="O8" s="148">
        <f>O7/1000000</f>
        <v>25</v>
      </c>
      <c r="P8" s="149"/>
      <c r="Q8" s="149"/>
      <c r="R8" s="149"/>
      <c r="S8" s="149"/>
      <c r="T8" s="153" t="s">
        <v>89</v>
      </c>
    </row>
    <row r="9" spans="2:20" ht="15.75" thickBot="1" x14ac:dyDescent="0.3">
      <c r="M9" s="63"/>
      <c r="N9" s="152"/>
      <c r="O9" s="152"/>
      <c r="P9" s="152"/>
      <c r="Q9" s="152"/>
      <c r="R9" s="152"/>
      <c r="S9" s="152"/>
      <c r="T9" s="153"/>
    </row>
    <row r="10" spans="2:20" x14ac:dyDescent="0.25">
      <c r="B10" s="205" t="s">
        <v>79</v>
      </c>
      <c r="C10" s="205"/>
      <c r="D10" s="205"/>
      <c r="E10" s="205"/>
      <c r="F10" s="205"/>
      <c r="G10" s="205"/>
      <c r="H10" s="2" t="s">
        <v>82</v>
      </c>
      <c r="I10" s="2"/>
      <c r="J10" s="2"/>
    </row>
    <row r="11" spans="2:20" x14ac:dyDescent="0.25">
      <c r="B11" s="205" t="s">
        <v>80</v>
      </c>
      <c r="C11" s="205"/>
      <c r="D11" s="205"/>
      <c r="E11" s="205"/>
      <c r="F11" s="205"/>
      <c r="G11" s="205"/>
      <c r="H11" s="2" t="s">
        <v>83</v>
      </c>
      <c r="I11" s="2"/>
      <c r="J11" s="2"/>
    </row>
    <row r="12" spans="2:20" x14ac:dyDescent="0.25">
      <c r="B12" s="205" t="s">
        <v>81</v>
      </c>
      <c r="C12" s="205"/>
      <c r="D12" s="205"/>
      <c r="E12" s="205"/>
      <c r="F12" s="205"/>
      <c r="G12" s="205"/>
      <c r="H12" s="2" t="s">
        <v>70</v>
      </c>
      <c r="I12" s="2"/>
      <c r="J12" s="2"/>
    </row>
    <row r="14" spans="2:20" ht="15.75" thickBot="1" x14ac:dyDescent="0.3">
      <c r="E14" s="207" t="s">
        <v>84</v>
      </c>
      <c r="F14" s="207"/>
      <c r="G14" s="207"/>
      <c r="H14" s="208" t="s">
        <v>83</v>
      </c>
      <c r="I14" s="208"/>
      <c r="J14" s="208"/>
    </row>
    <row r="15" spans="2:20" x14ac:dyDescent="0.25">
      <c r="E15" s="207"/>
      <c r="F15" s="207"/>
      <c r="G15" s="207"/>
      <c r="H15" s="209" t="s">
        <v>70</v>
      </c>
      <c r="I15" s="209"/>
      <c r="J15" s="209"/>
    </row>
    <row r="17" spans="2:10" x14ac:dyDescent="0.25">
      <c r="B17" s="3" t="s">
        <v>85</v>
      </c>
      <c r="C17" s="2"/>
      <c r="D17" s="2"/>
      <c r="E17" s="2"/>
      <c r="F17" s="2"/>
      <c r="G17" s="2"/>
      <c r="H17" s="2"/>
      <c r="I17" s="2"/>
      <c r="J17" s="2"/>
    </row>
  </sheetData>
  <mergeCells count="20">
    <mergeCell ref="O7:S7"/>
    <mergeCell ref="O8:S8"/>
    <mergeCell ref="E14:G15"/>
    <mergeCell ref="H15:J15"/>
    <mergeCell ref="H14:J14"/>
    <mergeCell ref="B17:J17"/>
    <mergeCell ref="M2:T2"/>
    <mergeCell ref="M5:N5"/>
    <mergeCell ref="M4:N4"/>
    <mergeCell ref="O5:S5"/>
    <mergeCell ref="O4:S4"/>
    <mergeCell ref="M7:N7"/>
    <mergeCell ref="B2:J2"/>
    <mergeCell ref="B3:J8"/>
    <mergeCell ref="B12:G12"/>
    <mergeCell ref="B11:G11"/>
    <mergeCell ref="B10:G10"/>
    <mergeCell ref="H12:J12"/>
    <mergeCell ref="H11:J11"/>
    <mergeCell ref="H10:J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DC888-3F5E-4EC4-865A-303292BD25A5}">
  <dimension ref="B1:AB19"/>
  <sheetViews>
    <sheetView zoomScale="190" zoomScaleNormal="190" workbookViewId="0">
      <selection activeCell="AE11" sqref="AE11"/>
    </sheetView>
  </sheetViews>
  <sheetFormatPr defaultRowHeight="15" x14ac:dyDescent="0.25"/>
  <cols>
    <col min="1" max="39" width="6" customWidth="1"/>
  </cols>
  <sheetData>
    <row r="1" spans="2:28" ht="15.75" thickBot="1" x14ac:dyDescent="0.3"/>
    <row r="2" spans="2:28" ht="15.75" thickBot="1" x14ac:dyDescent="0.3">
      <c r="L2" s="216" t="s">
        <v>62</v>
      </c>
      <c r="M2" s="173"/>
      <c r="N2" s="173"/>
      <c r="O2" s="173"/>
      <c r="P2" s="173"/>
      <c r="Q2" s="173"/>
      <c r="R2" s="173"/>
      <c r="S2" s="217"/>
      <c r="U2" s="216" t="s">
        <v>62</v>
      </c>
      <c r="V2" s="173"/>
      <c r="W2" s="173"/>
      <c r="X2" s="173"/>
      <c r="Y2" s="173"/>
      <c r="Z2" s="173"/>
      <c r="AA2" s="173"/>
      <c r="AB2" s="217"/>
    </row>
    <row r="3" spans="2:28" ht="15.75" thickBot="1" x14ac:dyDescent="0.3">
      <c r="B3" s="210" t="s">
        <v>90</v>
      </c>
      <c r="C3" s="210"/>
      <c r="D3" s="210"/>
      <c r="E3" s="210"/>
      <c r="F3" s="210"/>
      <c r="G3" s="210"/>
      <c r="H3" s="210"/>
      <c r="I3" s="210"/>
      <c r="J3" s="210"/>
      <c r="L3" s="164" t="s">
        <v>100</v>
      </c>
      <c r="M3" s="165"/>
      <c r="N3" s="165"/>
      <c r="O3" s="165"/>
      <c r="P3" s="165"/>
      <c r="Q3" s="165"/>
      <c r="R3" s="165"/>
      <c r="S3" s="166"/>
      <c r="U3" s="164" t="s">
        <v>107</v>
      </c>
      <c r="V3" s="165"/>
      <c r="W3" s="165"/>
      <c r="X3" s="165"/>
      <c r="Y3" s="165"/>
      <c r="Z3" s="165"/>
      <c r="AA3" s="165"/>
      <c r="AB3" s="166"/>
    </row>
    <row r="4" spans="2:28" x14ac:dyDescent="0.25">
      <c r="L4" s="167"/>
      <c r="M4" s="168"/>
      <c r="N4" s="168"/>
      <c r="O4" s="168"/>
      <c r="P4" s="168"/>
      <c r="Q4" s="168"/>
      <c r="R4" s="168"/>
      <c r="S4" s="169"/>
      <c r="U4" s="167"/>
      <c r="V4" s="168"/>
      <c r="W4" s="168"/>
      <c r="X4" s="168"/>
      <c r="Y4" s="168"/>
      <c r="Z4" s="168"/>
      <c r="AA4" s="168"/>
      <c r="AB4" s="169"/>
    </row>
    <row r="5" spans="2:28" ht="15.75" thickBot="1" x14ac:dyDescent="0.3">
      <c r="B5" s="15" t="s">
        <v>91</v>
      </c>
      <c r="C5" s="15"/>
      <c r="D5" s="15"/>
      <c r="E5" s="93" t="s">
        <v>93</v>
      </c>
      <c r="F5" s="15"/>
      <c r="G5" s="15"/>
      <c r="H5" s="15"/>
      <c r="I5" s="15"/>
      <c r="J5" s="15"/>
      <c r="L5" s="170"/>
      <c r="M5" s="171"/>
      <c r="N5" s="171"/>
      <c r="O5" s="171"/>
      <c r="P5" s="171"/>
      <c r="Q5" s="171"/>
      <c r="R5" s="171"/>
      <c r="S5" s="172"/>
      <c r="U5" s="170"/>
      <c r="V5" s="171"/>
      <c r="W5" s="171"/>
      <c r="X5" s="171"/>
      <c r="Y5" s="171"/>
      <c r="Z5" s="171"/>
      <c r="AA5" s="171"/>
      <c r="AB5" s="172"/>
    </row>
    <row r="6" spans="2:28" ht="15.75" thickBot="1" x14ac:dyDescent="0.3">
      <c r="B6" s="15" t="s">
        <v>92</v>
      </c>
      <c r="C6" s="15"/>
      <c r="D6" s="15"/>
      <c r="E6" s="93" t="s">
        <v>94</v>
      </c>
      <c r="F6" s="15"/>
      <c r="G6" s="15"/>
      <c r="H6" s="15"/>
      <c r="I6" s="15"/>
      <c r="J6" s="15"/>
      <c r="L6" s="145"/>
      <c r="M6" s="146"/>
      <c r="N6" s="146"/>
      <c r="O6" s="146"/>
      <c r="P6" s="146"/>
      <c r="Q6" s="146"/>
      <c r="R6" s="146"/>
      <c r="S6" s="147"/>
      <c r="U6" s="192"/>
      <c r="V6" s="194"/>
      <c r="W6" s="194"/>
      <c r="X6" s="194"/>
      <c r="Y6" s="194"/>
      <c r="Z6" s="194"/>
      <c r="AA6" s="194"/>
      <c r="AB6" s="197"/>
    </row>
    <row r="7" spans="2:28" x14ac:dyDescent="0.25">
      <c r="L7" s="145"/>
      <c r="M7" s="146"/>
      <c r="N7" s="146"/>
      <c r="O7" s="146"/>
      <c r="P7" s="146"/>
      <c r="Q7" s="146"/>
      <c r="R7" s="146"/>
      <c r="S7" s="147"/>
      <c r="U7" s="145"/>
      <c r="V7" s="146"/>
      <c r="W7" s="146"/>
      <c r="X7" s="146"/>
      <c r="Y7" s="146"/>
      <c r="Z7" s="146"/>
      <c r="AA7" s="146"/>
      <c r="AB7" s="147"/>
    </row>
    <row r="8" spans="2:28" ht="15.75" thickBot="1" x14ac:dyDescent="0.3">
      <c r="B8" s="15" t="s">
        <v>95</v>
      </c>
      <c r="C8" s="15"/>
      <c r="D8" s="15"/>
      <c r="E8" s="15"/>
      <c r="F8" s="15"/>
      <c r="G8" s="15"/>
      <c r="H8" s="15"/>
      <c r="I8" s="15"/>
      <c r="J8" s="15"/>
      <c r="L8" s="145"/>
      <c r="M8" s="146"/>
      <c r="N8" s="146"/>
      <c r="O8" s="146"/>
      <c r="P8" s="146"/>
      <c r="Q8" s="146"/>
      <c r="R8" s="146"/>
      <c r="S8" s="147"/>
      <c r="U8" s="145"/>
      <c r="V8" s="146"/>
      <c r="W8" s="146"/>
      <c r="X8" s="146"/>
      <c r="Y8" s="146"/>
      <c r="Z8" s="146"/>
      <c r="AA8" s="146"/>
      <c r="AB8" s="147"/>
    </row>
    <row r="9" spans="2:28" ht="15.75" thickBot="1" x14ac:dyDescent="0.3">
      <c r="L9" s="124" t="s">
        <v>101</v>
      </c>
      <c r="M9" s="118"/>
      <c r="N9" s="118"/>
      <c r="O9" s="118"/>
      <c r="P9" s="118"/>
      <c r="Q9" s="174">
        <v>0.2</v>
      </c>
      <c r="R9" s="118"/>
      <c r="S9" s="179" t="s">
        <v>103</v>
      </c>
      <c r="U9" s="63"/>
      <c r="V9" s="152"/>
      <c r="W9" s="152"/>
      <c r="X9" s="152"/>
      <c r="Y9" s="152"/>
      <c r="Z9" s="152"/>
      <c r="AA9" s="152"/>
      <c r="AB9" s="153"/>
    </row>
    <row r="10" spans="2:28" ht="15.75" thickBot="1" x14ac:dyDescent="0.3">
      <c r="C10" s="160" t="s">
        <v>96</v>
      </c>
      <c r="D10" s="9"/>
      <c r="E10" s="11" t="s">
        <v>99</v>
      </c>
      <c r="F10" s="94"/>
      <c r="H10" s="15" t="s">
        <v>97</v>
      </c>
      <c r="I10" s="15"/>
      <c r="J10" s="15"/>
      <c r="L10" s="124" t="s">
        <v>102</v>
      </c>
      <c r="M10" s="118"/>
      <c r="N10" s="118"/>
      <c r="O10" s="118"/>
      <c r="P10" s="118"/>
      <c r="Q10" s="174">
        <v>200</v>
      </c>
      <c r="R10" s="118"/>
      <c r="S10" s="179" t="s">
        <v>67</v>
      </c>
      <c r="U10" s="124" t="s">
        <v>108</v>
      </c>
      <c r="V10" s="118"/>
      <c r="W10" s="118"/>
      <c r="X10" s="118"/>
      <c r="Y10" s="174">
        <v>10</v>
      </c>
      <c r="Z10" s="118"/>
      <c r="AA10" s="118"/>
      <c r="AB10" s="179" t="s">
        <v>67</v>
      </c>
    </row>
    <row r="11" spans="2:28" ht="15.75" thickBot="1" x14ac:dyDescent="0.3">
      <c r="C11" s="213">
        <v>0</v>
      </c>
      <c r="D11" s="211"/>
      <c r="E11" s="212">
        <f>POWER(10,C11/10)</f>
        <v>1</v>
      </c>
      <c r="F11" s="214"/>
      <c r="L11" s="145"/>
      <c r="M11" s="146"/>
      <c r="N11" s="146"/>
      <c r="O11" s="146"/>
      <c r="P11" s="146"/>
      <c r="Q11" s="146"/>
      <c r="R11" s="146"/>
      <c r="S11" s="147"/>
      <c r="U11" s="124" t="s">
        <v>109</v>
      </c>
      <c r="V11" s="118"/>
      <c r="W11" s="118"/>
      <c r="X11" s="118"/>
      <c r="Y11" s="174">
        <v>0.3</v>
      </c>
      <c r="Z11" s="118"/>
      <c r="AA11" s="118"/>
      <c r="AB11" s="179" t="s">
        <v>103</v>
      </c>
    </row>
    <row r="12" spans="2:28" ht="15.75" thickBot="1" x14ac:dyDescent="0.3">
      <c r="C12" s="213">
        <v>10</v>
      </c>
      <c r="D12" s="211"/>
      <c r="E12" s="212">
        <f t="shared" ref="E12:E14" si="0">POWER(10,C12/10)</f>
        <v>10</v>
      </c>
      <c r="F12" s="214"/>
      <c r="H12" s="15" t="s">
        <v>98</v>
      </c>
      <c r="I12" s="15"/>
      <c r="J12" s="15"/>
      <c r="L12" s="218" t="s">
        <v>104</v>
      </c>
      <c r="M12" s="149"/>
      <c r="N12" s="149"/>
      <c r="O12" s="149"/>
      <c r="P12" s="149"/>
      <c r="Q12" s="148">
        <f>Q9*Q10</f>
        <v>40</v>
      </c>
      <c r="R12" s="149"/>
      <c r="S12" s="153" t="s">
        <v>105</v>
      </c>
      <c r="U12" s="124" t="s">
        <v>110</v>
      </c>
      <c r="V12" s="118"/>
      <c r="W12" s="118"/>
      <c r="X12" s="118"/>
      <c r="Y12" s="174">
        <v>0.4</v>
      </c>
      <c r="Z12" s="118"/>
      <c r="AA12" s="118"/>
      <c r="AB12" s="179" t="s">
        <v>105</v>
      </c>
    </row>
    <row r="13" spans="2:28" ht="15.75" thickBot="1" x14ac:dyDescent="0.3">
      <c r="C13" s="213">
        <v>20</v>
      </c>
      <c r="D13" s="211"/>
      <c r="E13" s="212">
        <f t="shared" si="0"/>
        <v>100</v>
      </c>
      <c r="F13" s="214"/>
      <c r="L13" s="145"/>
      <c r="M13" s="146"/>
      <c r="N13" s="146"/>
      <c r="O13" s="146"/>
      <c r="P13" s="146"/>
      <c r="Q13" s="146"/>
      <c r="R13" s="146"/>
      <c r="S13" s="147"/>
      <c r="U13" s="124" t="s">
        <v>111</v>
      </c>
      <c r="V13" s="118"/>
      <c r="W13" s="118"/>
      <c r="X13" s="118"/>
      <c r="Y13" s="174">
        <v>0.1</v>
      </c>
      <c r="Z13" s="118"/>
      <c r="AA13" s="118"/>
      <c r="AB13" s="179" t="s">
        <v>105</v>
      </c>
    </row>
    <row r="14" spans="2:28" ht="15.75" thickBot="1" x14ac:dyDescent="0.3">
      <c r="C14" s="95">
        <v>30</v>
      </c>
      <c r="D14" s="15"/>
      <c r="E14" s="127">
        <f t="shared" si="0"/>
        <v>1000</v>
      </c>
      <c r="F14" s="215"/>
      <c r="L14" s="218" t="s">
        <v>106</v>
      </c>
      <c r="M14" s="149"/>
      <c r="N14" s="149"/>
      <c r="O14" s="149"/>
      <c r="P14" s="149"/>
      <c r="Q14" s="148">
        <v>25</v>
      </c>
      <c r="R14" s="149"/>
      <c r="S14" s="153" t="s">
        <v>105</v>
      </c>
      <c r="U14" s="145"/>
      <c r="V14" s="146"/>
      <c r="W14" s="146"/>
      <c r="X14" s="146"/>
      <c r="Y14" s="146"/>
      <c r="Z14" s="146"/>
      <c r="AA14" s="146"/>
      <c r="AB14" s="147"/>
    </row>
    <row r="15" spans="2:28" ht="15.75" thickBot="1" x14ac:dyDescent="0.3">
      <c r="L15" s="63"/>
      <c r="M15" s="152"/>
      <c r="N15" s="152"/>
      <c r="O15" s="152"/>
      <c r="P15" s="152"/>
      <c r="Q15" s="152"/>
      <c r="R15" s="152"/>
      <c r="S15" s="153"/>
      <c r="U15" s="124" t="s">
        <v>112</v>
      </c>
      <c r="V15" s="118"/>
      <c r="W15" s="118"/>
      <c r="X15" s="118"/>
      <c r="Y15" s="101">
        <v>5</v>
      </c>
      <c r="Z15" s="107"/>
      <c r="AA15" s="107"/>
      <c r="AB15" s="108"/>
    </row>
    <row r="16" spans="2:28" ht="15.75" thickBot="1" x14ac:dyDescent="0.3">
      <c r="U16" s="124" t="s">
        <v>113</v>
      </c>
      <c r="V16" s="118"/>
      <c r="W16" s="118"/>
      <c r="X16" s="118"/>
      <c r="Y16" s="101">
        <v>1</v>
      </c>
      <c r="Z16" s="107"/>
      <c r="AA16" s="107"/>
      <c r="AB16" s="108"/>
    </row>
    <row r="17" spans="21:28" x14ac:dyDescent="0.25">
      <c r="U17" s="145"/>
      <c r="V17" s="146"/>
      <c r="W17" s="146"/>
      <c r="X17" s="146"/>
      <c r="Y17" s="146"/>
      <c r="Z17" s="146"/>
      <c r="AA17" s="146"/>
      <c r="AB17" s="147"/>
    </row>
    <row r="18" spans="21:28" ht="15.75" thickBot="1" x14ac:dyDescent="0.3">
      <c r="U18" s="151" t="s">
        <v>114</v>
      </c>
      <c r="V18" s="64"/>
      <c r="W18" s="64"/>
      <c r="X18" s="64"/>
      <c r="Y18" s="199">
        <f>Y10*Y11 + (Y12*Y15)+(Y13*Y16)</f>
        <v>5.0999999999999996</v>
      </c>
      <c r="Z18" s="64"/>
      <c r="AA18" s="64"/>
      <c r="AB18" s="153" t="s">
        <v>105</v>
      </c>
    </row>
    <row r="19" spans="21:28" ht="15.75" thickBot="1" x14ac:dyDescent="0.3">
      <c r="U19" s="63"/>
      <c r="V19" s="152"/>
      <c r="W19" s="152"/>
      <c r="X19" s="152"/>
      <c r="Y19" s="152"/>
      <c r="Z19" s="152"/>
      <c r="AA19" s="152"/>
      <c r="AB19" s="153"/>
    </row>
  </sheetData>
  <mergeCells count="44">
    <mergeCell ref="U16:X16"/>
    <mergeCell ref="U15:X15"/>
    <mergeCell ref="Y16:AB16"/>
    <mergeCell ref="Y15:AB15"/>
    <mergeCell ref="U18:X18"/>
    <mergeCell ref="Y18:AA18"/>
    <mergeCell ref="U2:AB2"/>
    <mergeCell ref="U3:AB5"/>
    <mergeCell ref="U13:X13"/>
    <mergeCell ref="U12:X12"/>
    <mergeCell ref="U11:X11"/>
    <mergeCell ref="U10:X10"/>
    <mergeCell ref="Y13:AA13"/>
    <mergeCell ref="Y12:AA12"/>
    <mergeCell ref="Y11:AA11"/>
    <mergeCell ref="Y10:AA10"/>
    <mergeCell ref="Q10:R10"/>
    <mergeCell ref="Q9:R9"/>
    <mergeCell ref="L12:P12"/>
    <mergeCell ref="Q12:R12"/>
    <mergeCell ref="Q14:R14"/>
    <mergeCell ref="L14:P14"/>
    <mergeCell ref="E10:F10"/>
    <mergeCell ref="C10:D10"/>
    <mergeCell ref="H12:J12"/>
    <mergeCell ref="H10:J10"/>
    <mergeCell ref="L2:S2"/>
    <mergeCell ref="L3:S5"/>
    <mergeCell ref="L10:P10"/>
    <mergeCell ref="L9:P9"/>
    <mergeCell ref="E14:F14"/>
    <mergeCell ref="E13:F13"/>
    <mergeCell ref="E12:F12"/>
    <mergeCell ref="E11:F11"/>
    <mergeCell ref="C14:D14"/>
    <mergeCell ref="C13:D13"/>
    <mergeCell ref="C12:D12"/>
    <mergeCell ref="C11:D11"/>
    <mergeCell ref="B3:J3"/>
    <mergeCell ref="B5:D5"/>
    <mergeCell ref="B6:D6"/>
    <mergeCell ref="E6:J6"/>
    <mergeCell ref="E5:J5"/>
    <mergeCell ref="B8:J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0A8E8-1773-468B-A661-839EDBF5BFFB}">
  <dimension ref="B3:AV28"/>
  <sheetViews>
    <sheetView tabSelected="1" workbookViewId="0">
      <selection activeCell="AD27" sqref="AD27"/>
    </sheetView>
  </sheetViews>
  <sheetFormatPr defaultRowHeight="15" x14ac:dyDescent="0.25"/>
  <cols>
    <col min="1" max="39" width="5.5703125" customWidth="1"/>
    <col min="44" max="44" width="11.7109375" customWidth="1"/>
    <col min="45" max="45" width="5.5703125" customWidth="1"/>
    <col min="46" max="46" width="2.28515625" customWidth="1"/>
    <col min="47" max="47" width="5.5703125" customWidth="1"/>
  </cols>
  <sheetData>
    <row r="3" spans="2:48" ht="15.75" thickBot="1" x14ac:dyDescent="0.3">
      <c r="B3" s="219"/>
    </row>
    <row r="4" spans="2:48" ht="19.5" thickBot="1" x14ac:dyDescent="0.35">
      <c r="B4" s="221" t="s">
        <v>115</v>
      </c>
      <c r="C4" s="221"/>
      <c r="D4" s="258">
        <v>2</v>
      </c>
      <c r="E4" s="258"/>
      <c r="F4" s="258"/>
      <c r="G4" s="258"/>
      <c r="H4" s="258"/>
      <c r="I4" s="258"/>
      <c r="J4" s="236" t="s">
        <v>116</v>
      </c>
      <c r="K4" s="236"/>
      <c r="L4" s="258">
        <v>0.5</v>
      </c>
      <c r="M4" s="258"/>
      <c r="N4" s="258"/>
      <c r="O4" s="220" t="s">
        <v>117</v>
      </c>
      <c r="P4" s="220"/>
      <c r="Q4" s="258">
        <v>0.5</v>
      </c>
      <c r="R4" s="258"/>
      <c r="S4" s="220" t="s">
        <v>118</v>
      </c>
      <c r="T4" s="220"/>
      <c r="U4" s="258">
        <v>0.5</v>
      </c>
      <c r="V4" s="258"/>
      <c r="W4" s="220" t="s">
        <v>120</v>
      </c>
      <c r="X4" s="220"/>
      <c r="Y4" s="258">
        <v>2.5</v>
      </c>
      <c r="Z4" s="258"/>
      <c r="AA4" s="264"/>
      <c r="AB4" s="226" t="s">
        <v>128</v>
      </c>
      <c r="AI4" s="15" t="s">
        <v>131</v>
      </c>
      <c r="AJ4" s="15"/>
      <c r="AK4" s="228" t="s">
        <v>133</v>
      </c>
      <c r="AL4" s="229"/>
      <c r="AM4" s="229"/>
      <c r="AN4" s="229"/>
      <c r="AO4" s="229"/>
    </row>
    <row r="5" spans="2:48" ht="20.25" thickTop="1" thickBot="1" x14ac:dyDescent="0.35">
      <c r="B5" s="221"/>
      <c r="C5" s="221"/>
      <c r="J5" s="236"/>
      <c r="K5" s="236"/>
      <c r="O5" s="220"/>
      <c r="P5" s="220"/>
      <c r="S5" s="220"/>
      <c r="T5" s="220"/>
      <c r="W5" s="220"/>
      <c r="X5" s="220"/>
      <c r="AB5" s="227"/>
      <c r="AI5" s="15" t="s">
        <v>132</v>
      </c>
      <c r="AJ5" s="15"/>
      <c r="AK5" s="228" t="s">
        <v>134</v>
      </c>
      <c r="AL5" s="229"/>
      <c r="AM5" s="229"/>
      <c r="AN5" s="229"/>
      <c r="AO5" s="229"/>
    </row>
    <row r="6" spans="2:48" ht="19.5" thickBot="1" x14ac:dyDescent="0.35">
      <c r="J6" s="46"/>
      <c r="O6" s="46"/>
      <c r="S6" s="46"/>
      <c r="W6" s="46"/>
      <c r="AI6" s="15" t="s">
        <v>115</v>
      </c>
      <c r="AJ6" s="15"/>
      <c r="AK6" s="228" t="s">
        <v>135</v>
      </c>
      <c r="AL6" s="229"/>
      <c r="AM6" s="229"/>
      <c r="AN6" s="229"/>
      <c r="AO6" s="229"/>
    </row>
    <row r="7" spans="2:48" ht="15.75" thickBot="1" x14ac:dyDescent="0.3">
      <c r="I7" s="259">
        <v>0</v>
      </c>
      <c r="J7" s="260"/>
      <c r="N7" s="259">
        <v>0</v>
      </c>
      <c r="O7" s="260"/>
      <c r="R7" s="259">
        <v>1.5</v>
      </c>
      <c r="S7" s="260"/>
      <c r="W7" s="46"/>
      <c r="X7" s="263">
        <v>0.5</v>
      </c>
      <c r="Y7" s="261"/>
    </row>
    <row r="8" spans="2:48" ht="15.75" thickBot="1" x14ac:dyDescent="0.3">
      <c r="J8" s="222"/>
      <c r="O8" s="222"/>
      <c r="S8" s="46"/>
      <c r="W8" s="46"/>
      <c r="AR8" s="268" t="s">
        <v>140</v>
      </c>
      <c r="AS8" s="269" t="s">
        <v>155</v>
      </c>
      <c r="AT8" s="269"/>
      <c r="AU8" s="269"/>
      <c r="AV8" s="270" t="s">
        <v>156</v>
      </c>
    </row>
    <row r="9" spans="2:48" ht="15.75" thickBot="1" x14ac:dyDescent="0.3">
      <c r="J9" s="224" t="s">
        <v>123</v>
      </c>
      <c r="K9" s="225"/>
      <c r="O9" s="224" t="s">
        <v>124</v>
      </c>
      <c r="P9" s="225"/>
      <c r="S9" s="220" t="s">
        <v>119</v>
      </c>
      <c r="T9" s="220"/>
      <c r="W9" s="220" t="s">
        <v>121</v>
      </c>
      <c r="X9" s="220"/>
      <c r="Y9" s="258">
        <v>0.5</v>
      </c>
      <c r="Z9" s="258"/>
      <c r="AA9" s="220" t="s">
        <v>122</v>
      </c>
      <c r="AB9" s="220"/>
      <c r="AC9" s="258">
        <v>0</v>
      </c>
      <c r="AD9" s="258"/>
      <c r="AE9" s="264"/>
      <c r="AF9" s="226" t="s">
        <v>129</v>
      </c>
      <c r="AK9" s="75" t="s">
        <v>140</v>
      </c>
      <c r="AL9" s="75"/>
      <c r="AM9" s="75"/>
      <c r="AR9" s="271" t="s">
        <v>141</v>
      </c>
      <c r="AS9" s="265">
        <v>3.6</v>
      </c>
      <c r="AT9" s="266" t="s">
        <v>154</v>
      </c>
      <c r="AU9" s="267">
        <v>3.6</v>
      </c>
      <c r="AV9" s="272">
        <f>ABS(AU9-AS9)</f>
        <v>0</v>
      </c>
    </row>
    <row r="10" spans="2:48" ht="15.75" thickBot="1" x14ac:dyDescent="0.3">
      <c r="R10" s="223"/>
      <c r="S10" s="220"/>
      <c r="T10" s="220"/>
      <c r="W10" s="220"/>
      <c r="X10" s="220"/>
      <c r="AA10" s="220"/>
      <c r="AB10" s="220"/>
      <c r="AF10" s="227"/>
      <c r="AI10" s="231" t="str">
        <f>$J$4</f>
        <v>SP1</v>
      </c>
      <c r="AJ10" s="231"/>
      <c r="AK10" s="27"/>
      <c r="AL10" s="27"/>
      <c r="AM10" s="27"/>
      <c r="AR10" s="271" t="s">
        <v>142</v>
      </c>
      <c r="AS10" s="265">
        <v>3.3</v>
      </c>
      <c r="AT10" s="266" t="s">
        <v>154</v>
      </c>
      <c r="AU10" s="267">
        <v>3.9</v>
      </c>
      <c r="AV10" s="272">
        <f t="shared" ref="AV10:AV21" si="0">ABS(AU10-AS10)</f>
        <v>0.60000000000000009</v>
      </c>
    </row>
    <row r="11" spans="2:48" x14ac:dyDescent="0.25">
      <c r="Q11" s="223"/>
      <c r="R11" s="261">
        <v>0</v>
      </c>
      <c r="S11" s="262"/>
      <c r="W11" s="46"/>
      <c r="AA11" s="46"/>
      <c r="AI11" s="231" t="str">
        <f>$O$4</f>
        <v>SP2</v>
      </c>
      <c r="AJ11" s="231"/>
      <c r="AK11" s="27"/>
      <c r="AL11" s="27"/>
      <c r="AM11" s="27"/>
      <c r="AR11" s="271" t="s">
        <v>143</v>
      </c>
      <c r="AS11" s="265">
        <v>2.7</v>
      </c>
      <c r="AT11" s="266" t="s">
        <v>154</v>
      </c>
      <c r="AU11" s="267">
        <v>4.7</v>
      </c>
      <c r="AV11" s="272">
        <f t="shared" si="0"/>
        <v>2</v>
      </c>
    </row>
    <row r="12" spans="2:48" ht="15.75" thickBot="1" x14ac:dyDescent="0.3">
      <c r="P12" s="222"/>
      <c r="S12" s="46"/>
      <c r="W12" s="46"/>
      <c r="AA12" s="46"/>
      <c r="AI12" s="231" t="str">
        <f>$S$4</f>
        <v>SP3</v>
      </c>
      <c r="AJ12" s="231"/>
      <c r="AK12" s="27"/>
      <c r="AL12" s="27"/>
      <c r="AM12" s="27"/>
      <c r="AR12" s="271" t="s">
        <v>144</v>
      </c>
      <c r="AS12" s="265">
        <v>2.2000000000000002</v>
      </c>
      <c r="AT12" s="266" t="s">
        <v>154</v>
      </c>
      <c r="AU12" s="267">
        <v>5</v>
      </c>
      <c r="AV12" s="272">
        <f t="shared" si="0"/>
        <v>2.8</v>
      </c>
    </row>
    <row r="13" spans="2:48" ht="15.75" thickBot="1" x14ac:dyDescent="0.3">
      <c r="P13" s="224" t="s">
        <v>125</v>
      </c>
      <c r="Q13" s="225"/>
      <c r="S13" s="46"/>
      <c r="T13" s="263">
        <v>1</v>
      </c>
      <c r="U13" s="261"/>
      <c r="W13" s="46"/>
      <c r="X13" s="263">
        <v>0</v>
      </c>
      <c r="Y13" s="261"/>
      <c r="AA13" s="46"/>
      <c r="AB13" s="263">
        <v>2</v>
      </c>
      <c r="AC13" s="261"/>
      <c r="AI13" s="231" t="str">
        <f>$S$9</f>
        <v>SP4</v>
      </c>
      <c r="AJ13" s="231"/>
      <c r="AK13" s="27"/>
      <c r="AL13" s="27"/>
      <c r="AM13" s="27"/>
      <c r="AR13" s="271" t="s">
        <v>145</v>
      </c>
      <c r="AS13" s="265">
        <v>1.9</v>
      </c>
      <c r="AT13" s="266" t="s">
        <v>154</v>
      </c>
      <c r="AU13" s="267">
        <v>6</v>
      </c>
      <c r="AV13" s="272">
        <f t="shared" si="0"/>
        <v>4.0999999999999996</v>
      </c>
    </row>
    <row r="14" spans="2:48" x14ac:dyDescent="0.25">
      <c r="S14" s="46"/>
      <c r="W14" s="46"/>
      <c r="AA14" s="46"/>
      <c r="AI14" s="231" t="str">
        <f>$W$4</f>
        <v>SP5</v>
      </c>
      <c r="AJ14" s="231"/>
      <c r="AK14" s="27"/>
      <c r="AL14" s="27"/>
      <c r="AM14" s="27"/>
      <c r="AR14" s="271" t="s">
        <v>146</v>
      </c>
      <c r="AS14" s="265">
        <v>1.6</v>
      </c>
      <c r="AT14" s="266" t="s">
        <v>154</v>
      </c>
      <c r="AU14" s="267">
        <v>6.5</v>
      </c>
      <c r="AV14" s="272">
        <f t="shared" si="0"/>
        <v>4.9000000000000004</v>
      </c>
    </row>
    <row r="15" spans="2:48" ht="15.75" thickBot="1" x14ac:dyDescent="0.3">
      <c r="S15" s="222"/>
      <c r="W15" s="222"/>
      <c r="AA15" s="222"/>
      <c r="AI15" s="231" t="str">
        <f>$W$9</f>
        <v>SP6</v>
      </c>
      <c r="AJ15" s="231"/>
      <c r="AK15" s="27"/>
      <c r="AL15" s="27"/>
      <c r="AM15" s="27"/>
      <c r="AR15" s="271" t="s">
        <v>147</v>
      </c>
      <c r="AS15" s="265">
        <v>1.2</v>
      </c>
      <c r="AT15" s="266" t="s">
        <v>154</v>
      </c>
      <c r="AU15" s="267">
        <v>7.8</v>
      </c>
      <c r="AV15" s="272">
        <f t="shared" si="0"/>
        <v>6.6</v>
      </c>
    </row>
    <row r="16" spans="2:48" ht="15.75" thickBot="1" x14ac:dyDescent="0.3">
      <c r="S16" s="224" t="s">
        <v>126</v>
      </c>
      <c r="T16" s="225"/>
      <c r="W16" s="224" t="s">
        <v>127</v>
      </c>
      <c r="X16" s="225"/>
      <c r="AA16" s="224" t="s">
        <v>130</v>
      </c>
      <c r="AB16" s="225"/>
      <c r="AI16" s="231" t="str">
        <f>$AA$9</f>
        <v>SP7</v>
      </c>
      <c r="AJ16" s="231"/>
      <c r="AK16" s="27"/>
      <c r="AL16" s="27"/>
      <c r="AM16" s="27"/>
      <c r="AR16" s="271" t="s">
        <v>148</v>
      </c>
      <c r="AS16" s="265">
        <v>1</v>
      </c>
      <c r="AT16" s="266" t="s">
        <v>154</v>
      </c>
      <c r="AU16" s="267">
        <v>8.8000000000000007</v>
      </c>
      <c r="AV16" s="272">
        <f t="shared" si="0"/>
        <v>7.8000000000000007</v>
      </c>
    </row>
    <row r="17" spans="2:48" x14ac:dyDescent="0.25">
      <c r="AR17" s="271" t="s">
        <v>149</v>
      </c>
      <c r="AS17" s="265">
        <v>0.6</v>
      </c>
      <c r="AT17" s="266" t="s">
        <v>154</v>
      </c>
      <c r="AU17" s="267">
        <v>11.3</v>
      </c>
      <c r="AV17" s="272">
        <f t="shared" si="0"/>
        <v>10.700000000000001</v>
      </c>
    </row>
    <row r="18" spans="2:48" x14ac:dyDescent="0.25">
      <c r="B18" s="75" t="s">
        <v>157</v>
      </c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AR18" s="271" t="s">
        <v>150</v>
      </c>
      <c r="AS18" s="265">
        <v>0.4</v>
      </c>
      <c r="AT18" s="266" t="s">
        <v>154</v>
      </c>
      <c r="AU18" s="267">
        <v>15.2</v>
      </c>
      <c r="AV18" s="272">
        <f t="shared" si="0"/>
        <v>14.799999999999999</v>
      </c>
    </row>
    <row r="19" spans="2:48" ht="15.75" thickBot="1" x14ac:dyDescent="0.3">
      <c r="B19" s="231" t="s">
        <v>136</v>
      </c>
      <c r="C19" s="231"/>
      <c r="D19" s="231" t="s">
        <v>137</v>
      </c>
      <c r="E19" s="231"/>
      <c r="F19" s="231" t="s">
        <v>101</v>
      </c>
      <c r="G19" s="232"/>
      <c r="H19" s="235"/>
      <c r="I19" s="234"/>
      <c r="K19" s="231" t="s">
        <v>136</v>
      </c>
      <c r="L19" s="231"/>
      <c r="M19" s="231" t="s">
        <v>137</v>
      </c>
      <c r="N19" s="231"/>
      <c r="O19" s="231" t="s">
        <v>101</v>
      </c>
      <c r="P19" s="232"/>
      <c r="Q19" s="235"/>
      <c r="R19" s="234"/>
      <c r="U19" s="107" t="s">
        <v>109</v>
      </c>
      <c r="V19" s="107"/>
      <c r="W19" s="107"/>
      <c r="X19" s="107"/>
      <c r="Y19" s="107"/>
      <c r="Z19" s="174">
        <v>0.3</v>
      </c>
      <c r="AA19" s="118"/>
      <c r="AB19" s="178" t="s">
        <v>105</v>
      </c>
      <c r="AR19" s="271" t="s">
        <v>151</v>
      </c>
      <c r="AS19" s="265">
        <v>0.4</v>
      </c>
      <c r="AT19" s="266" t="s">
        <v>154</v>
      </c>
      <c r="AU19" s="267">
        <v>18.2</v>
      </c>
      <c r="AV19" s="272">
        <f t="shared" si="0"/>
        <v>17.8</v>
      </c>
    </row>
    <row r="20" spans="2:48" ht="15.75" thickBot="1" x14ac:dyDescent="0.3">
      <c r="B20" s="237" t="str">
        <f>$B$4</f>
        <v>OLT</v>
      </c>
      <c r="C20" s="237"/>
      <c r="D20" s="237" t="str">
        <f>J4</f>
        <v>SP1</v>
      </c>
      <c r="E20" s="237"/>
      <c r="F20" s="237">
        <f>$D$4*$Z$19+($Z$20*2)</f>
        <v>1.1000000000000001</v>
      </c>
      <c r="G20" s="238"/>
      <c r="H20" s="12"/>
      <c r="I20" s="14"/>
      <c r="K20" s="245" t="str">
        <f>$S$9</f>
        <v>SP4</v>
      </c>
      <c r="L20" s="245"/>
      <c r="M20" s="245" t="str">
        <f>S16</f>
        <v>M4</v>
      </c>
      <c r="N20" s="245"/>
      <c r="O20" s="247">
        <f>$T$13*$Z$19+($Z$20*2)</f>
        <v>0.8</v>
      </c>
      <c r="P20" s="248"/>
      <c r="Q20" s="12"/>
      <c r="R20" s="14"/>
      <c r="U20" s="107" t="s">
        <v>138</v>
      </c>
      <c r="V20" s="107"/>
      <c r="W20" s="107"/>
      <c r="X20" s="107"/>
      <c r="Y20" s="107"/>
      <c r="Z20" s="174">
        <v>0.25</v>
      </c>
      <c r="AA20" s="118"/>
      <c r="AB20" s="178" t="s">
        <v>105</v>
      </c>
      <c r="AR20" s="271" t="s">
        <v>152</v>
      </c>
      <c r="AS20" s="265">
        <v>0.3</v>
      </c>
      <c r="AT20" s="266" t="s">
        <v>154</v>
      </c>
      <c r="AU20" s="267">
        <v>19.8</v>
      </c>
      <c r="AV20" s="272">
        <f t="shared" si="0"/>
        <v>19.5</v>
      </c>
    </row>
    <row r="21" spans="2:48" ht="15.75" thickBot="1" x14ac:dyDescent="0.3">
      <c r="B21" s="239" t="str">
        <f>$J$4</f>
        <v>SP1</v>
      </c>
      <c r="C21" s="239"/>
      <c r="D21" s="239" t="str">
        <f>J9</f>
        <v>M1</v>
      </c>
      <c r="E21" s="239"/>
      <c r="F21" s="239">
        <f>$I$7*$Z$19+($Z$20*2)</f>
        <v>0.5</v>
      </c>
      <c r="G21" s="240"/>
      <c r="H21" s="12"/>
      <c r="I21" s="14"/>
      <c r="K21" s="249" t="str">
        <f>$W$4</f>
        <v>SP5</v>
      </c>
      <c r="L21" s="249"/>
      <c r="M21" s="249" t="str">
        <f>AB4</f>
        <v>M5</v>
      </c>
      <c r="N21" s="249"/>
      <c r="O21" s="250">
        <f>$Y$4*$Z$19+($Z$20*2)</f>
        <v>1.25</v>
      </c>
      <c r="P21" s="251"/>
      <c r="Q21" s="12"/>
      <c r="R21" s="14"/>
      <c r="AI21" s="27" t="str">
        <f>$J$9</f>
        <v>M1</v>
      </c>
      <c r="AJ21" s="27"/>
      <c r="AK21" s="230"/>
      <c r="AL21" s="230"/>
      <c r="AM21" s="230"/>
      <c r="AR21" s="273" t="s">
        <v>153</v>
      </c>
      <c r="AS21" s="274">
        <v>0.3</v>
      </c>
      <c r="AT21" s="275" t="s">
        <v>154</v>
      </c>
      <c r="AU21" s="276">
        <v>23.5</v>
      </c>
      <c r="AV21" s="277">
        <f t="shared" si="0"/>
        <v>23.2</v>
      </c>
    </row>
    <row r="22" spans="2:48" x14ac:dyDescent="0.25">
      <c r="B22" s="239" t="str">
        <f>$J$4</f>
        <v>SP1</v>
      </c>
      <c r="C22" s="239"/>
      <c r="D22" s="239" t="str">
        <f>O4</f>
        <v>SP2</v>
      </c>
      <c r="E22" s="239"/>
      <c r="F22" s="239">
        <f>$L$4*$Z$19+($Z$20*2)</f>
        <v>0.65</v>
      </c>
      <c r="G22" s="240"/>
      <c r="H22" s="12"/>
      <c r="I22" s="14"/>
      <c r="K22" s="249" t="str">
        <f>$W$4</f>
        <v>SP5</v>
      </c>
      <c r="L22" s="249"/>
      <c r="M22" s="249" t="str">
        <f>W9</f>
        <v>SP6</v>
      </c>
      <c r="N22" s="249"/>
      <c r="O22" s="250">
        <f>$X$7*$Z$19+($Z$20*2)</f>
        <v>0.65</v>
      </c>
      <c r="P22" s="251"/>
      <c r="Q22" s="12"/>
      <c r="R22" s="14"/>
      <c r="AI22" s="27" t="str">
        <f>$O$9</f>
        <v>M2</v>
      </c>
      <c r="AJ22" s="27"/>
      <c r="AK22" s="230"/>
      <c r="AL22" s="230"/>
      <c r="AM22" s="230"/>
      <c r="AR22" s="44"/>
    </row>
    <row r="23" spans="2:48" x14ac:dyDescent="0.25">
      <c r="B23" s="241" t="str">
        <f>$O$4</f>
        <v>SP2</v>
      </c>
      <c r="C23" s="241"/>
      <c r="D23" s="241" t="str">
        <f>O9</f>
        <v>M2</v>
      </c>
      <c r="E23" s="241"/>
      <c r="F23" s="241">
        <f>$N$7*$Z$19+($Z$20*2)</f>
        <v>0.5</v>
      </c>
      <c r="G23" s="242"/>
      <c r="H23" s="12"/>
      <c r="I23" s="14"/>
      <c r="K23" s="252" t="str">
        <f>$W$9</f>
        <v>SP6</v>
      </c>
      <c r="L23" s="252"/>
      <c r="M23" s="252" t="str">
        <f>W16</f>
        <v>M6</v>
      </c>
      <c r="N23" s="252"/>
      <c r="O23" s="253">
        <f>$X$13*$Z$19+($Z$20*2)</f>
        <v>0.5</v>
      </c>
      <c r="P23" s="254"/>
      <c r="Q23" s="12"/>
      <c r="R23" s="14"/>
      <c r="AI23" s="27" t="str">
        <f>$P$13</f>
        <v>M3</v>
      </c>
      <c r="AJ23" s="27"/>
      <c r="AK23" s="230"/>
      <c r="AL23" s="230"/>
      <c r="AM23" s="230"/>
      <c r="AR23" s="44"/>
    </row>
    <row r="24" spans="2:48" x14ac:dyDescent="0.25">
      <c r="B24" s="241" t="str">
        <f>$O$4</f>
        <v>SP2</v>
      </c>
      <c r="C24" s="241"/>
      <c r="D24" s="241" t="str">
        <f>S4</f>
        <v>SP3</v>
      </c>
      <c r="E24" s="241"/>
      <c r="F24" s="241">
        <f>$Q$4*$Z$19+($Z$20*2)</f>
        <v>0.65</v>
      </c>
      <c r="G24" s="242"/>
      <c r="H24" s="12"/>
      <c r="I24" s="14"/>
      <c r="K24" s="252" t="str">
        <f>$W$9</f>
        <v>SP6</v>
      </c>
      <c r="L24" s="252"/>
      <c r="M24" s="252" t="str">
        <f>AA9</f>
        <v>SP7</v>
      </c>
      <c r="N24" s="252"/>
      <c r="O24" s="253">
        <f>$Y$9*$Z$19+($Z$20*2)</f>
        <v>0.65</v>
      </c>
      <c r="P24" s="254"/>
      <c r="Q24" s="12"/>
      <c r="R24" s="14"/>
      <c r="AI24" s="25" t="str">
        <f>$S$16</f>
        <v>M4</v>
      </c>
      <c r="AJ24" s="278"/>
      <c r="AK24" s="233"/>
      <c r="AL24" s="279"/>
      <c r="AM24" s="280"/>
    </row>
    <row r="25" spans="2:48" x14ac:dyDescent="0.25">
      <c r="B25" s="243" t="str">
        <f>$S$4</f>
        <v>SP3</v>
      </c>
      <c r="C25" s="243"/>
      <c r="D25" s="243" t="str">
        <f>S9</f>
        <v>SP4</v>
      </c>
      <c r="E25" s="243"/>
      <c r="F25" s="243">
        <f>$R$7*$Z$19+($Z$20*2)</f>
        <v>0.95</v>
      </c>
      <c r="G25" s="244"/>
      <c r="H25" s="12"/>
      <c r="I25" s="14"/>
      <c r="K25" s="255" t="str">
        <f>$AA$9</f>
        <v>SP7</v>
      </c>
      <c r="L25" s="255"/>
      <c r="M25" s="255" t="str">
        <f>AA16</f>
        <v>M8</v>
      </c>
      <c r="N25" s="255"/>
      <c r="O25" s="256">
        <f>$AB$13*$Z$19+($Z$20*2)</f>
        <v>1.1000000000000001</v>
      </c>
      <c r="P25" s="257"/>
      <c r="Q25" s="12"/>
      <c r="R25" s="14"/>
      <c r="AI25" s="25" t="str">
        <f>$AB$4</f>
        <v>M5</v>
      </c>
      <c r="AJ25" s="278"/>
      <c r="AK25" s="233"/>
      <c r="AL25" s="279"/>
      <c r="AM25" s="280"/>
    </row>
    <row r="26" spans="2:48" x14ac:dyDescent="0.25">
      <c r="B26" s="243" t="str">
        <f>$S$4</f>
        <v>SP3</v>
      </c>
      <c r="C26" s="243"/>
      <c r="D26" s="243" t="str">
        <f>W4</f>
        <v>SP5</v>
      </c>
      <c r="E26" s="243"/>
      <c r="F26" s="243">
        <f>$U$4*$Z$19+($Z$20*2)</f>
        <v>0.65</v>
      </c>
      <c r="G26" s="244"/>
      <c r="H26" s="12"/>
      <c r="I26" s="14"/>
      <c r="K26" s="255" t="str">
        <f>$AA$9</f>
        <v>SP7</v>
      </c>
      <c r="L26" s="255"/>
      <c r="M26" s="255" t="str">
        <f>AF9</f>
        <v>M7</v>
      </c>
      <c r="N26" s="255"/>
      <c r="O26" s="256">
        <f>$AC$9*$Z$19+($Z$20*2)</f>
        <v>0.5</v>
      </c>
      <c r="P26" s="257"/>
      <c r="Q26" s="12"/>
      <c r="R26" s="14"/>
      <c r="AI26" s="25" t="str">
        <f>$W$16</f>
        <v>M6</v>
      </c>
      <c r="AJ26" s="278"/>
      <c r="AK26" s="233"/>
      <c r="AL26" s="279"/>
      <c r="AM26" s="280"/>
    </row>
    <row r="27" spans="2:48" x14ac:dyDescent="0.25">
      <c r="B27" s="245" t="str">
        <f>$S$9</f>
        <v>SP4</v>
      </c>
      <c r="C27" s="245"/>
      <c r="D27" s="245" t="str">
        <f>P13</f>
        <v>M3</v>
      </c>
      <c r="E27" s="245"/>
      <c r="F27" s="245">
        <f>$R$11*$Z$19+($Z$20*2)</f>
        <v>0.5</v>
      </c>
      <c r="G27" s="246"/>
      <c r="H27" s="12"/>
      <c r="I27" s="14"/>
      <c r="AI27" s="25" t="str">
        <f>$AF$9</f>
        <v>M7</v>
      </c>
      <c r="AJ27" s="278"/>
      <c r="AK27" s="233"/>
      <c r="AL27" s="279"/>
      <c r="AM27" s="280"/>
    </row>
    <row r="28" spans="2:48" x14ac:dyDescent="0.25">
      <c r="AI28" s="25" t="str">
        <f>$AA$16</f>
        <v>M8</v>
      </c>
      <c r="AJ28" s="278"/>
      <c r="AK28" s="233"/>
      <c r="AL28" s="279"/>
      <c r="AM28" s="280"/>
    </row>
  </sheetData>
  <mergeCells count="142">
    <mergeCell ref="AI26:AJ26"/>
    <mergeCell ref="AI27:AJ27"/>
    <mergeCell ref="AI28:AJ28"/>
    <mergeCell ref="AK26:AM26"/>
    <mergeCell ref="AK27:AM27"/>
    <mergeCell ref="AK28:AM28"/>
    <mergeCell ref="AK24:AM24"/>
    <mergeCell ref="AK25:AM25"/>
    <mergeCell ref="AI24:AJ24"/>
    <mergeCell ref="AI25:AJ25"/>
    <mergeCell ref="AI22:AJ22"/>
    <mergeCell ref="AI21:AJ21"/>
    <mergeCell ref="AK21:AM21"/>
    <mergeCell ref="AK22:AM22"/>
    <mergeCell ref="AK23:AM23"/>
    <mergeCell ref="AK10:AM10"/>
    <mergeCell ref="AK9:AM9"/>
    <mergeCell ref="AS8:AU8"/>
    <mergeCell ref="B18:P18"/>
    <mergeCell ref="AI23:AJ23"/>
    <mergeCell ref="AK16:AM16"/>
    <mergeCell ref="AK15:AM15"/>
    <mergeCell ref="AK14:AM14"/>
    <mergeCell ref="AK13:AM13"/>
    <mergeCell ref="AK12:AM12"/>
    <mergeCell ref="AK11:AM11"/>
    <mergeCell ref="AI16:AJ16"/>
    <mergeCell ref="AI15:AJ15"/>
    <mergeCell ref="AI14:AJ14"/>
    <mergeCell ref="AI13:AJ13"/>
    <mergeCell ref="AI12:AJ12"/>
    <mergeCell ref="AI11:AJ11"/>
    <mergeCell ref="H21:I21"/>
    <mergeCell ref="H20:I20"/>
    <mergeCell ref="Q26:R26"/>
    <mergeCell ref="Q25:R25"/>
    <mergeCell ref="Q24:R24"/>
    <mergeCell ref="Q23:R23"/>
    <mergeCell ref="Q22:R22"/>
    <mergeCell ref="Q21:R21"/>
    <mergeCell ref="Q20:R20"/>
    <mergeCell ref="H27:I27"/>
    <mergeCell ref="H26:I26"/>
    <mergeCell ref="H25:I25"/>
    <mergeCell ref="H24:I24"/>
    <mergeCell ref="H23:I23"/>
    <mergeCell ref="H22:I22"/>
    <mergeCell ref="O20:P20"/>
    <mergeCell ref="F19:G19"/>
    <mergeCell ref="O19:P19"/>
    <mergeCell ref="U19:Y19"/>
    <mergeCell ref="U20:Y20"/>
    <mergeCell ref="Z20:AA20"/>
    <mergeCell ref="Z19:AA19"/>
    <mergeCell ref="Q19:R19"/>
    <mergeCell ref="H19:I19"/>
    <mergeCell ref="O26:P26"/>
    <mergeCell ref="O25:P25"/>
    <mergeCell ref="O24:P24"/>
    <mergeCell ref="O23:P23"/>
    <mergeCell ref="O22:P22"/>
    <mergeCell ref="O21:P21"/>
    <mergeCell ref="M19:N19"/>
    <mergeCell ref="K19:L19"/>
    <mergeCell ref="D19:E19"/>
    <mergeCell ref="B19:C19"/>
    <mergeCell ref="F27:G27"/>
    <mergeCell ref="F26:G26"/>
    <mergeCell ref="F25:G25"/>
    <mergeCell ref="F24:G24"/>
    <mergeCell ref="F23:G23"/>
    <mergeCell ref="F22:G22"/>
    <mergeCell ref="M20:N20"/>
    <mergeCell ref="D27:E27"/>
    <mergeCell ref="D26:E26"/>
    <mergeCell ref="D25:E25"/>
    <mergeCell ref="D24:E24"/>
    <mergeCell ref="D23:E23"/>
    <mergeCell ref="D22:E22"/>
    <mergeCell ref="D21:E21"/>
    <mergeCell ref="D20:E20"/>
    <mergeCell ref="F21:G21"/>
    <mergeCell ref="M26:N26"/>
    <mergeCell ref="M25:N25"/>
    <mergeCell ref="M24:N24"/>
    <mergeCell ref="M23:N23"/>
    <mergeCell ref="M22:N22"/>
    <mergeCell ref="M21:N21"/>
    <mergeCell ref="K20:L20"/>
    <mergeCell ref="B27:C27"/>
    <mergeCell ref="B26:C26"/>
    <mergeCell ref="B25:C25"/>
    <mergeCell ref="B24:C24"/>
    <mergeCell ref="B23:C23"/>
    <mergeCell ref="B22:C22"/>
    <mergeCell ref="B21:C21"/>
    <mergeCell ref="B20:C20"/>
    <mergeCell ref="F20:G20"/>
    <mergeCell ref="AI4:AJ4"/>
    <mergeCell ref="AK6:AO6"/>
    <mergeCell ref="AK5:AO5"/>
    <mergeCell ref="AK4:AO4"/>
    <mergeCell ref="K26:L26"/>
    <mergeCell ref="K25:L25"/>
    <mergeCell ref="K24:L24"/>
    <mergeCell ref="K23:L23"/>
    <mergeCell ref="K22:L22"/>
    <mergeCell ref="K21:L21"/>
    <mergeCell ref="T13:U13"/>
    <mergeCell ref="N7:O7"/>
    <mergeCell ref="I7:J7"/>
    <mergeCell ref="R11:S11"/>
    <mergeCell ref="AI6:AJ6"/>
    <mergeCell ref="AI5:AJ5"/>
    <mergeCell ref="AI10:AJ10"/>
    <mergeCell ref="P13:Q13"/>
    <mergeCell ref="S16:T16"/>
    <mergeCell ref="W16:X16"/>
    <mergeCell ref="AA16:AB16"/>
    <mergeCell ref="AF9:AF10"/>
    <mergeCell ref="AB4:AB5"/>
    <mergeCell ref="Y4:AA4"/>
    <mergeCell ref="AC9:AE9"/>
    <mergeCell ref="AB13:AC13"/>
    <mergeCell ref="X13:Y13"/>
    <mergeCell ref="Q4:R4"/>
    <mergeCell ref="L4:N4"/>
    <mergeCell ref="D4:I4"/>
    <mergeCell ref="X7:Y7"/>
    <mergeCell ref="R7:S7"/>
    <mergeCell ref="J9:K9"/>
    <mergeCell ref="O9:P9"/>
    <mergeCell ref="B4:C5"/>
    <mergeCell ref="AA9:AB10"/>
    <mergeCell ref="W9:X10"/>
    <mergeCell ref="S9:T10"/>
    <mergeCell ref="W4:X5"/>
    <mergeCell ref="S4:T5"/>
    <mergeCell ref="O4:P5"/>
    <mergeCell ref="J4:K5"/>
    <mergeCell ref="Y9:Z9"/>
    <mergeCell ref="U4:V4"/>
  </mergeCells>
  <pageMargins left="0.7" right="0.7" top="0.75" bottom="0.75" header="0.3" footer="0.3"/>
  <ignoredErrors>
    <ignoredError sqref="AR17:AR18 AR19:AR21" twoDigitTextYea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2269-8E38-4981-9083-118D67248E5F}">
  <dimension ref="B1:AP23"/>
  <sheetViews>
    <sheetView topLeftCell="A6" zoomScale="145" zoomScaleNormal="145" workbookViewId="0">
      <selection activeCell="AJ20" sqref="AJ20"/>
    </sheetView>
  </sheetViews>
  <sheetFormatPr defaultRowHeight="15" x14ac:dyDescent="0.25"/>
  <cols>
    <col min="1" max="71" width="4.140625" customWidth="1"/>
  </cols>
  <sheetData>
    <row r="1" spans="2:42" ht="15.75" thickBot="1" x14ac:dyDescent="0.3"/>
    <row r="2" spans="2:42" ht="15.75" customHeight="1" thickBot="1" x14ac:dyDescent="0.3">
      <c r="P2" s="216" t="s">
        <v>62</v>
      </c>
      <c r="Q2" s="173"/>
      <c r="R2" s="173"/>
      <c r="S2" s="173"/>
      <c r="T2" s="173"/>
      <c r="U2" s="173"/>
      <c r="V2" s="173"/>
      <c r="W2" s="173"/>
      <c r="X2" s="217"/>
      <c r="AA2" s="307" t="s">
        <v>62</v>
      </c>
      <c r="AB2" s="308"/>
      <c r="AC2" s="308"/>
      <c r="AD2" s="308"/>
      <c r="AE2" s="308"/>
      <c r="AF2" s="308"/>
      <c r="AG2" s="308"/>
      <c r="AH2" s="309"/>
      <c r="AI2" s="306"/>
      <c r="AJ2" s="306"/>
      <c r="AK2" s="306"/>
    </row>
    <row r="3" spans="2:42" ht="18" customHeight="1" thickBot="1" x14ac:dyDescent="0.3">
      <c r="B3" s="205" t="s">
        <v>158</v>
      </c>
      <c r="C3" s="205"/>
      <c r="D3" s="205"/>
      <c r="E3" s="205"/>
      <c r="F3" s="205"/>
      <c r="G3" s="205"/>
      <c r="H3" s="205"/>
      <c r="I3" s="205"/>
      <c r="J3" s="205"/>
      <c r="K3" s="2" t="s">
        <v>161</v>
      </c>
      <c r="L3" s="2"/>
      <c r="P3" s="291" t="s">
        <v>167</v>
      </c>
      <c r="Q3" s="292"/>
      <c r="R3" s="292"/>
      <c r="S3" s="292"/>
      <c r="T3" s="292"/>
      <c r="U3" s="292"/>
      <c r="V3" s="292"/>
      <c r="W3" s="292"/>
      <c r="X3" s="293"/>
      <c r="AA3" s="318" t="s">
        <v>182</v>
      </c>
      <c r="AB3" s="319"/>
      <c r="AC3" s="319"/>
      <c r="AD3" s="319"/>
      <c r="AE3" s="320">
        <v>4000</v>
      </c>
      <c r="AF3" s="319"/>
      <c r="AG3" s="319"/>
      <c r="AH3" s="321" t="s">
        <v>11</v>
      </c>
      <c r="AI3" s="300"/>
      <c r="AJ3" s="300"/>
      <c r="AK3" s="300"/>
    </row>
    <row r="4" spans="2:42" ht="18" customHeight="1" thickBot="1" x14ac:dyDescent="0.3">
      <c r="B4" s="205" t="s">
        <v>160</v>
      </c>
      <c r="C4" s="205"/>
      <c r="D4" s="205"/>
      <c r="E4" s="205"/>
      <c r="F4" s="205"/>
      <c r="G4" s="205"/>
      <c r="H4" s="205"/>
      <c r="I4" s="205"/>
      <c r="J4" s="205"/>
      <c r="K4" s="2" t="s">
        <v>162</v>
      </c>
      <c r="L4" s="2"/>
      <c r="P4" s="294"/>
      <c r="Q4" s="295"/>
      <c r="R4" s="295"/>
      <c r="S4" s="295"/>
      <c r="T4" s="295"/>
      <c r="U4" s="295"/>
      <c r="V4" s="295"/>
      <c r="W4" s="295"/>
      <c r="X4" s="296"/>
      <c r="AA4" s="322" t="s">
        <v>183</v>
      </c>
      <c r="AB4" s="323"/>
      <c r="AC4" s="323"/>
      <c r="AD4" s="323"/>
      <c r="AE4" s="324">
        <v>8</v>
      </c>
      <c r="AF4" s="323"/>
      <c r="AG4" s="323"/>
      <c r="AH4" s="325" t="s">
        <v>11</v>
      </c>
    </row>
    <row r="5" spans="2:42" ht="18" customHeight="1" thickBot="1" x14ac:dyDescent="0.3">
      <c r="B5" s="205" t="s">
        <v>159</v>
      </c>
      <c r="C5" s="205"/>
      <c r="D5" s="205"/>
      <c r="E5" s="205"/>
      <c r="F5" s="205"/>
      <c r="G5" s="205"/>
      <c r="H5" s="205"/>
      <c r="I5" s="205"/>
      <c r="J5" s="205"/>
      <c r="K5" s="2" t="s">
        <v>163</v>
      </c>
      <c r="L5" s="2"/>
      <c r="P5" s="297"/>
      <c r="Q5" s="298"/>
      <c r="R5" s="298"/>
      <c r="S5" s="298"/>
      <c r="T5" s="298"/>
      <c r="U5" s="298"/>
      <c r="V5" s="298"/>
      <c r="W5" s="298"/>
      <c r="X5" s="299"/>
      <c r="AA5" s="326" t="s">
        <v>190</v>
      </c>
      <c r="AB5" s="327"/>
      <c r="AC5" s="327"/>
      <c r="AD5" s="327"/>
      <c r="AE5" s="328">
        <v>0.05</v>
      </c>
      <c r="AF5" s="329"/>
      <c r="AG5" s="329"/>
      <c r="AH5" s="330"/>
      <c r="AI5" s="301"/>
      <c r="AJ5" s="206"/>
      <c r="AK5" s="206"/>
    </row>
    <row r="6" spans="2:42" ht="15.75" thickBot="1" x14ac:dyDescent="0.3">
      <c r="P6" s="145"/>
      <c r="Q6" s="146"/>
      <c r="R6" s="146"/>
      <c r="S6" s="146"/>
      <c r="T6" s="146"/>
      <c r="U6" s="146"/>
      <c r="V6" s="146"/>
      <c r="W6" s="146"/>
      <c r="X6" s="147"/>
      <c r="AA6" s="326" t="s">
        <v>29</v>
      </c>
      <c r="AB6" s="327"/>
      <c r="AC6" s="327"/>
      <c r="AD6" s="327"/>
      <c r="AE6" s="331">
        <v>10</v>
      </c>
      <c r="AF6" s="332"/>
      <c r="AG6" s="332"/>
      <c r="AH6" s="330"/>
      <c r="AI6" s="301"/>
      <c r="AJ6" s="206"/>
      <c r="AK6" s="206"/>
    </row>
    <row r="7" spans="2:42" ht="15.75" thickBot="1" x14ac:dyDescent="0.3">
      <c r="D7" s="29" t="s">
        <v>165</v>
      </c>
      <c r="E7" s="29"/>
      <c r="F7" s="15" t="s">
        <v>162</v>
      </c>
      <c r="G7" s="15"/>
      <c r="H7" s="15"/>
      <c r="P7" s="124" t="s">
        <v>168</v>
      </c>
      <c r="Q7" s="118"/>
      <c r="R7" s="118"/>
      <c r="S7" s="118"/>
      <c r="T7" s="118"/>
      <c r="U7" s="118"/>
      <c r="V7" s="118"/>
      <c r="W7" s="281">
        <v>0.98</v>
      </c>
      <c r="X7" s="285"/>
      <c r="AA7" s="333"/>
      <c r="AB7" s="334"/>
      <c r="AC7" s="334"/>
      <c r="AD7" s="334"/>
      <c r="AE7" s="334"/>
      <c r="AF7" s="334"/>
      <c r="AG7" s="334"/>
      <c r="AH7" s="335"/>
      <c r="AI7" s="301"/>
      <c r="AJ7" s="206"/>
      <c r="AK7" s="206"/>
    </row>
    <row r="8" spans="2:42" ht="15.75" thickBot="1" x14ac:dyDescent="0.3">
      <c r="D8" s="29"/>
      <c r="E8" s="29"/>
      <c r="F8" s="2" t="s">
        <v>164</v>
      </c>
      <c r="G8" s="2"/>
      <c r="H8" s="2"/>
      <c r="P8" s="121" t="s">
        <v>169</v>
      </c>
      <c r="Q8" s="109"/>
      <c r="R8" s="109"/>
      <c r="S8" s="109"/>
      <c r="T8" s="109"/>
      <c r="U8" s="109"/>
      <c r="V8" s="109"/>
      <c r="W8" s="283">
        <v>1</v>
      </c>
      <c r="X8" s="182" t="s">
        <v>171</v>
      </c>
      <c r="AA8" s="336"/>
      <c r="AB8" s="337"/>
      <c r="AC8" s="338" t="s">
        <v>191</v>
      </c>
      <c r="AD8" s="338"/>
      <c r="AE8" s="338"/>
      <c r="AF8" s="338" t="s">
        <v>192</v>
      </c>
      <c r="AG8" s="338"/>
      <c r="AH8" s="339"/>
      <c r="AI8" s="301"/>
      <c r="AJ8" s="206"/>
      <c r="AK8" s="206"/>
    </row>
    <row r="9" spans="2:42" ht="15.75" thickBot="1" x14ac:dyDescent="0.3">
      <c r="P9" s="124" t="s">
        <v>170</v>
      </c>
      <c r="Q9" s="118"/>
      <c r="R9" s="118"/>
      <c r="S9" s="118"/>
      <c r="T9" s="118"/>
      <c r="U9" s="118"/>
      <c r="V9" s="118"/>
      <c r="W9" s="282">
        <v>3</v>
      </c>
      <c r="X9" s="179" t="s">
        <v>11</v>
      </c>
      <c r="AA9" s="310" t="s">
        <v>186</v>
      </c>
      <c r="AB9" s="311"/>
      <c r="AC9" s="316">
        <f>24*365*(1-AE5)</f>
        <v>8322</v>
      </c>
      <c r="AD9" s="317"/>
      <c r="AE9" s="312" t="s">
        <v>11</v>
      </c>
      <c r="AF9" s="316">
        <f>24*30*(1-AE5)</f>
        <v>684</v>
      </c>
      <c r="AG9" s="317"/>
      <c r="AH9" s="313" t="s">
        <v>11</v>
      </c>
    </row>
    <row r="10" spans="2:42" ht="15.75" thickBot="1" x14ac:dyDescent="0.3">
      <c r="D10" s="103" t="s">
        <v>166</v>
      </c>
      <c r="E10" s="103"/>
      <c r="F10" s="15" t="s">
        <v>164</v>
      </c>
      <c r="G10" s="15"/>
      <c r="H10" s="15"/>
      <c r="I10" s="8"/>
      <c r="J10" s="8"/>
      <c r="K10" s="8"/>
      <c r="L10" s="8"/>
      <c r="M10" s="8"/>
      <c r="N10" s="8"/>
      <c r="P10" s="286" t="s">
        <v>178</v>
      </c>
      <c r="Q10" s="196"/>
      <c r="R10" s="196"/>
      <c r="S10" s="196"/>
      <c r="T10" s="196"/>
      <c r="U10" s="196"/>
      <c r="V10" s="196"/>
      <c r="W10" s="146">
        <f>W9*W8</f>
        <v>3</v>
      </c>
      <c r="X10" s="147" t="s">
        <v>11</v>
      </c>
      <c r="AA10" s="310" t="s">
        <v>163</v>
      </c>
      <c r="AB10" s="311"/>
      <c r="AC10" s="316">
        <f>AE6*(AC9/AE3)*AE4</f>
        <v>166.44</v>
      </c>
      <c r="AD10" s="317"/>
      <c r="AE10" s="314" t="s">
        <v>11</v>
      </c>
      <c r="AF10" s="316">
        <f>AE6*(AF9/AE3)*AE4</f>
        <v>13.680000000000001</v>
      </c>
      <c r="AG10" s="317"/>
      <c r="AH10" s="315" t="s">
        <v>11</v>
      </c>
      <c r="AI10" s="302"/>
      <c r="AJ10" s="66"/>
      <c r="AK10" s="66"/>
    </row>
    <row r="11" spans="2:42" ht="15.75" thickBot="1" x14ac:dyDescent="0.3">
      <c r="P11" s="124"/>
      <c r="Q11" s="118"/>
      <c r="R11" s="118"/>
      <c r="S11" s="118"/>
      <c r="T11" s="118" t="s">
        <v>172</v>
      </c>
      <c r="U11" s="118"/>
      <c r="V11" s="118"/>
      <c r="W11" s="101">
        <v>28</v>
      </c>
      <c r="X11" s="108"/>
      <c r="AA11" s="310" t="s">
        <v>190</v>
      </c>
      <c r="AB11" s="311"/>
      <c r="AC11" s="316">
        <f>ROUND(AC9/(AC9+AC10),4)</f>
        <v>0.98040000000000005</v>
      </c>
      <c r="AD11" s="317"/>
      <c r="AE11" s="314" t="s">
        <v>189</v>
      </c>
      <c r="AF11" s="316">
        <f>ROUND(AF9/(AF9+AF10),4)</f>
        <v>0.98040000000000005</v>
      </c>
      <c r="AG11" s="317"/>
      <c r="AH11" s="315" t="s">
        <v>189</v>
      </c>
    </row>
    <row r="12" spans="2:42" x14ac:dyDescent="0.25">
      <c r="D12" s="3" t="s">
        <v>179</v>
      </c>
      <c r="E12" s="3"/>
      <c r="F12" s="3"/>
      <c r="G12" s="3"/>
      <c r="H12" s="3"/>
      <c r="I12" s="3"/>
      <c r="J12" s="3"/>
      <c r="K12" s="3"/>
      <c r="L12" s="3"/>
      <c r="M12" s="3"/>
      <c r="N12" s="3"/>
      <c r="P12" s="286" t="s">
        <v>173</v>
      </c>
      <c r="Q12" s="196"/>
      <c r="R12" s="193"/>
      <c r="S12" s="193"/>
      <c r="T12" s="196"/>
      <c r="U12" s="196">
        <f>DAY(EOMONTH(DATE(2023,$W$11, 1), 0))</f>
        <v>30</v>
      </c>
      <c r="V12" s="196"/>
      <c r="W12" s="196"/>
      <c r="X12" s="287" t="s">
        <v>177</v>
      </c>
      <c r="Z12" s="66"/>
      <c r="AA12" s="303"/>
      <c r="AB12" s="303"/>
      <c r="AC12" s="303"/>
      <c r="AD12" s="303"/>
      <c r="AE12" s="304"/>
      <c r="AF12" s="304"/>
      <c r="AG12" s="304"/>
      <c r="AH12" s="305"/>
    </row>
    <row r="13" spans="2:42" x14ac:dyDescent="0.25"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P13" s="288" t="s">
        <v>174</v>
      </c>
      <c r="Q13" s="193"/>
      <c r="R13" s="193"/>
      <c r="S13" s="193"/>
      <c r="T13" s="193"/>
      <c r="U13" s="193">
        <f>U12*24</f>
        <v>720</v>
      </c>
      <c r="V13" s="193"/>
      <c r="W13" s="193"/>
      <c r="X13" s="147" t="s">
        <v>11</v>
      </c>
      <c r="AA13" s="340" t="s">
        <v>193</v>
      </c>
      <c r="AB13" s="340"/>
      <c r="AC13" s="340"/>
      <c r="AD13" s="340"/>
      <c r="AE13" s="340"/>
      <c r="AF13" s="340"/>
      <c r="AG13" s="340"/>
      <c r="AH13" s="340"/>
    </row>
    <row r="14" spans="2:42" ht="15.75" thickBot="1" x14ac:dyDescent="0.3">
      <c r="P14" s="288" t="s">
        <v>175</v>
      </c>
      <c r="Q14" s="193"/>
      <c r="R14" s="193"/>
      <c r="S14" s="193"/>
      <c r="T14" s="193"/>
      <c r="U14" s="193">
        <f>U13*W7</f>
        <v>705.6</v>
      </c>
      <c r="V14" s="193"/>
      <c r="W14" s="193"/>
      <c r="X14" s="147" t="s">
        <v>11</v>
      </c>
      <c r="AA14" s="341"/>
      <c r="AB14" s="341"/>
      <c r="AC14" s="341"/>
      <c r="AD14" s="341"/>
      <c r="AE14" s="341"/>
      <c r="AF14" s="341"/>
      <c r="AG14" s="341"/>
      <c r="AH14" s="341"/>
    </row>
    <row r="15" spans="2:42" x14ac:dyDescent="0.25">
      <c r="D15" s="284" t="s">
        <v>180</v>
      </c>
      <c r="E15" s="284"/>
      <c r="F15" s="284"/>
      <c r="G15" s="284"/>
      <c r="H15" s="284"/>
      <c r="I15" s="284"/>
      <c r="J15" s="284"/>
      <c r="K15" s="284"/>
      <c r="L15" s="284"/>
      <c r="M15" s="4" t="s">
        <v>182</v>
      </c>
      <c r="N15" s="4"/>
      <c r="P15" s="288" t="s">
        <v>176</v>
      </c>
      <c r="Q15" s="193"/>
      <c r="R15" s="193"/>
      <c r="S15" s="193"/>
      <c r="T15" s="193"/>
      <c r="U15" s="193">
        <f>U13-U14</f>
        <v>14.399999999999977</v>
      </c>
      <c r="V15" s="193"/>
      <c r="W15" s="193"/>
      <c r="X15" s="147" t="s">
        <v>11</v>
      </c>
      <c r="AA15" s="2" t="s">
        <v>194</v>
      </c>
      <c r="AB15" s="2"/>
      <c r="AC15" s="2"/>
      <c r="AD15" s="2"/>
      <c r="AE15" s="2"/>
      <c r="AF15" s="2"/>
      <c r="AG15" s="2"/>
      <c r="AH15" s="2"/>
      <c r="AI15" s="343" t="s">
        <v>198</v>
      </c>
      <c r="AJ15" s="343"/>
      <c r="AK15" s="343"/>
      <c r="AL15" s="343"/>
      <c r="AM15" s="343"/>
      <c r="AN15" s="343"/>
      <c r="AO15" s="343"/>
      <c r="AP15" s="343"/>
    </row>
    <row r="16" spans="2:42" x14ac:dyDescent="0.25">
      <c r="D16" s="284"/>
      <c r="E16" s="284"/>
      <c r="F16" s="284"/>
      <c r="G16" s="284"/>
      <c r="H16" s="284"/>
      <c r="I16" s="284"/>
      <c r="J16" s="284"/>
      <c r="K16" s="284"/>
      <c r="L16" s="284"/>
      <c r="M16" s="4"/>
      <c r="N16" s="4"/>
      <c r="P16" s="288" t="s">
        <v>139</v>
      </c>
      <c r="Q16" s="193"/>
      <c r="R16" s="193"/>
      <c r="S16" s="193"/>
      <c r="T16" s="193"/>
      <c r="U16" s="193">
        <f>U15-W10</f>
        <v>11.399999999999977</v>
      </c>
      <c r="V16" s="193"/>
      <c r="W16" s="193"/>
      <c r="X16" s="147" t="s">
        <v>11</v>
      </c>
    </row>
    <row r="17" spans="4:34" x14ac:dyDescent="0.25">
      <c r="D17" s="284" t="s">
        <v>181</v>
      </c>
      <c r="E17" s="284"/>
      <c r="F17" s="284"/>
      <c r="G17" s="284"/>
      <c r="H17" s="284"/>
      <c r="I17" s="284"/>
      <c r="J17" s="284"/>
      <c r="K17" s="284"/>
      <c r="L17" s="284"/>
      <c r="M17" s="4" t="s">
        <v>183</v>
      </c>
      <c r="N17" s="4"/>
      <c r="P17" s="145"/>
      <c r="Q17" s="146"/>
      <c r="R17" s="146"/>
      <c r="S17" s="146"/>
      <c r="T17" s="146"/>
      <c r="U17" s="146"/>
      <c r="V17" s="146"/>
      <c r="W17" s="146"/>
      <c r="X17" s="147"/>
      <c r="AA17" s="342" t="s">
        <v>195</v>
      </c>
      <c r="AB17" s="342"/>
      <c r="AC17" s="342"/>
      <c r="AD17" s="342"/>
      <c r="AE17" s="342"/>
      <c r="AF17" s="342"/>
      <c r="AG17" s="342"/>
      <c r="AH17" s="342"/>
    </row>
    <row r="18" spans="4:34" ht="15.75" thickBot="1" x14ac:dyDescent="0.3">
      <c r="D18" s="284"/>
      <c r="E18" s="284"/>
      <c r="F18" s="284"/>
      <c r="G18" s="284"/>
      <c r="H18" s="284"/>
      <c r="I18" s="284"/>
      <c r="J18" s="284"/>
      <c r="K18" s="284"/>
      <c r="L18" s="284"/>
      <c r="M18" s="4"/>
      <c r="N18" s="4"/>
      <c r="P18" s="289" t="s">
        <v>19</v>
      </c>
      <c r="Q18" s="195"/>
      <c r="R18" s="195"/>
      <c r="S18" s="195"/>
      <c r="T18" s="195"/>
      <c r="U18" s="195"/>
      <c r="V18" s="195"/>
      <c r="W18" s="195"/>
      <c r="X18" s="290"/>
      <c r="AA18" s="71"/>
      <c r="AB18" s="71"/>
      <c r="AC18" s="71"/>
      <c r="AD18" s="71"/>
      <c r="AE18" s="71"/>
      <c r="AF18" s="71"/>
      <c r="AG18" s="71"/>
      <c r="AH18" s="71"/>
    </row>
    <row r="19" spans="4:34" ht="15.75" thickBot="1" x14ac:dyDescent="0.3">
      <c r="P19" s="95" t="str">
        <f>IF(U16&lt;0,"Sutarties sąlygos pažeistos XXX","Sutarties sąlygos nepažeistos YYY")</f>
        <v>Sutarties sąlygos nepažeistos YYY</v>
      </c>
      <c r="Q19" s="15"/>
      <c r="R19" s="15"/>
      <c r="S19" s="15"/>
      <c r="T19" s="15"/>
      <c r="U19" s="15"/>
      <c r="V19" s="15"/>
      <c r="W19" s="15"/>
      <c r="X19" s="96"/>
      <c r="AA19" s="29" t="s">
        <v>196</v>
      </c>
      <c r="AB19" s="29"/>
      <c r="AC19" s="29"/>
      <c r="AD19" s="7" t="s">
        <v>186</v>
      </c>
      <c r="AE19" s="7"/>
      <c r="AF19" s="30" t="s">
        <v>197</v>
      </c>
      <c r="AG19" s="30"/>
    </row>
    <row r="20" spans="4:34" x14ac:dyDescent="0.25">
      <c r="D20" s="205" t="s">
        <v>184</v>
      </c>
      <c r="E20" s="205"/>
      <c r="F20" s="205"/>
      <c r="G20" s="205"/>
      <c r="H20" s="205"/>
      <c r="I20" s="205"/>
      <c r="J20" s="205"/>
      <c r="K20" s="205"/>
      <c r="L20" s="205"/>
      <c r="M20" s="2" t="s">
        <v>185</v>
      </c>
      <c r="N20" s="2"/>
      <c r="AA20" s="29"/>
      <c r="AB20" s="29"/>
      <c r="AC20" s="29"/>
      <c r="AD20" s="4" t="s">
        <v>182</v>
      </c>
      <c r="AE20" s="4"/>
      <c r="AF20" s="30"/>
      <c r="AG20" s="30"/>
    </row>
    <row r="22" spans="4:34" ht="15.75" thickBot="1" x14ac:dyDescent="0.3">
      <c r="D22" s="6"/>
      <c r="E22" s="5" t="s">
        <v>188</v>
      </c>
      <c r="F22" s="5"/>
      <c r="G22" s="15" t="s">
        <v>186</v>
      </c>
      <c r="H22" s="15"/>
      <c r="I22" s="5" t="s">
        <v>187</v>
      </c>
      <c r="J22" s="5"/>
      <c r="K22" s="6"/>
      <c r="L22" s="6"/>
      <c r="M22" s="6"/>
      <c r="N22" s="6"/>
    </row>
    <row r="23" spans="4:34" ht="15.75" thickBot="1" x14ac:dyDescent="0.3">
      <c r="D23" s="8"/>
      <c r="E23" s="7"/>
      <c r="F23" s="7"/>
      <c r="G23" s="15" t="s">
        <v>182</v>
      </c>
      <c r="H23" s="15"/>
      <c r="I23" s="7"/>
      <c r="J23" s="7"/>
      <c r="K23" s="8"/>
      <c r="L23" s="8"/>
      <c r="M23" s="8"/>
      <c r="N23" s="8"/>
    </row>
  </sheetData>
  <mergeCells count="73">
    <mergeCell ref="AA19:AC20"/>
    <mergeCell ref="AF19:AG20"/>
    <mergeCell ref="AD20:AE20"/>
    <mergeCell ref="AD19:AE19"/>
    <mergeCell ref="AI15:AP15"/>
    <mergeCell ref="AA2:AH2"/>
    <mergeCell ref="AF11:AG11"/>
    <mergeCell ref="AF10:AG10"/>
    <mergeCell ref="AF9:AG9"/>
    <mergeCell ref="AA13:AH14"/>
    <mergeCell ref="AA15:AH15"/>
    <mergeCell ref="AA9:AB9"/>
    <mergeCell ref="AF8:AH8"/>
    <mergeCell ref="AC8:AE8"/>
    <mergeCell ref="AC11:AD11"/>
    <mergeCell ref="AC10:AD10"/>
    <mergeCell ref="AC9:AD9"/>
    <mergeCell ref="AE6:AG6"/>
    <mergeCell ref="AE5:AG5"/>
    <mergeCell ref="AE4:AG4"/>
    <mergeCell ref="AE3:AG3"/>
    <mergeCell ref="AA6:AD6"/>
    <mergeCell ref="AA5:AD5"/>
    <mergeCell ref="AA4:AD4"/>
    <mergeCell ref="AA3:AD3"/>
    <mergeCell ref="E22:F23"/>
    <mergeCell ref="G22:H22"/>
    <mergeCell ref="I22:J23"/>
    <mergeCell ref="G23:H23"/>
    <mergeCell ref="AA17:AH18"/>
    <mergeCell ref="D15:L16"/>
    <mergeCell ref="M15:N16"/>
    <mergeCell ref="D17:L18"/>
    <mergeCell ref="M17:N18"/>
    <mergeCell ref="D20:L20"/>
    <mergeCell ref="M20:N20"/>
    <mergeCell ref="D12:N13"/>
    <mergeCell ref="AA11:AB11"/>
    <mergeCell ref="AA10:AB10"/>
    <mergeCell ref="P19:X19"/>
    <mergeCell ref="P15:T15"/>
    <mergeCell ref="U15:W15"/>
    <mergeCell ref="P16:T16"/>
    <mergeCell ref="P10:V10"/>
    <mergeCell ref="P18:X18"/>
    <mergeCell ref="U16:W16"/>
    <mergeCell ref="P12:T12"/>
    <mergeCell ref="P13:T13"/>
    <mergeCell ref="U13:W13"/>
    <mergeCell ref="U12:W12"/>
    <mergeCell ref="U14:W14"/>
    <mergeCell ref="P14:T14"/>
    <mergeCell ref="P7:V7"/>
    <mergeCell ref="P9:V9"/>
    <mergeCell ref="P8:V8"/>
    <mergeCell ref="T11:V11"/>
    <mergeCell ref="P11:Q11"/>
    <mergeCell ref="R11:S11"/>
    <mergeCell ref="W11:X11"/>
    <mergeCell ref="F8:H8"/>
    <mergeCell ref="F7:H7"/>
    <mergeCell ref="D7:E8"/>
    <mergeCell ref="F10:H10"/>
    <mergeCell ref="D10:E10"/>
    <mergeCell ref="P2:X2"/>
    <mergeCell ref="P3:X5"/>
    <mergeCell ref="W7:X7"/>
    <mergeCell ref="B5:J5"/>
    <mergeCell ref="B4:J4"/>
    <mergeCell ref="B3:J3"/>
    <mergeCell ref="K5:L5"/>
    <mergeCell ref="K4:L4"/>
    <mergeCell ref="K3:L3"/>
  </mergeCells>
  <conditionalFormatting sqref="P19:X19">
    <cfRule type="containsText" dxfId="0" priority="2" operator="containsText" text="XXX">
      <formula>NOT(ISERROR(SEARCH("XXX",P19)))</formula>
    </cfRule>
    <cfRule type="containsText" dxfId="1" priority="1" operator="containsText" text="YYY">
      <formula>NOT(ISERROR(SEARCH("YYY",P19)))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SIGNALAI TEKSTE</vt:lpstr>
      <vt:lpstr>ATSAKO LAIKAS</vt:lpstr>
      <vt:lpstr>TCP</vt:lpstr>
      <vt:lpstr>SLOPINIMAS</vt:lpstr>
      <vt:lpstr>BANGŲ MULTIPLEKSAVIMAS</vt:lpstr>
      <vt:lpstr>PASLAUGŲ PATEIKIAMUMAS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XDD DWellHub</dc:creator>
  <cp:lastModifiedBy>XDD DWellHub</cp:lastModifiedBy>
  <dcterms:created xsi:type="dcterms:W3CDTF">2024-01-13T18:11:59Z</dcterms:created>
  <dcterms:modified xsi:type="dcterms:W3CDTF">2024-01-13T23:24:22Z</dcterms:modified>
</cp:coreProperties>
</file>