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orsapruebas-my.sharepoint.com/personal/jhonperez_forsa_net_co/Documents/FORSA - JJPV/APU/05 Rendimientos - A&amp;C/"/>
    </mc:Choice>
  </mc:AlternateContent>
  <xr:revisionPtr revIDLastSave="426" documentId="8_{34C4388D-E9CE-4F7D-BFF8-4F98E8DECEA8}" xr6:coauthVersionLast="47" xr6:coauthVersionMax="47" xr10:uidLastSave="{CAB9741C-1019-49FA-A59B-904F70DD454C}"/>
  <bookViews>
    <workbookView xWindow="-110" yWindow="-110" windowWidth="19420" windowHeight="11500" tabRatio="821" xr2:uid="{E36F9397-91EF-45F1-BED6-91E10360667E}"/>
  </bookViews>
  <sheets>
    <sheet name="Calculo" sheetId="1" r:id="rId1"/>
    <sheet name="Datos" sheetId="13" r:id="rId2"/>
    <sheet name="Fotos" sheetId="6" state="hidden" r:id="rId3"/>
  </sheets>
  <definedNames>
    <definedName name="_xlnm.Print_Area" localSheetId="0">Calculo!$A$1:$G$65</definedName>
  </definedName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3" i="1" l="1"/>
  <c r="C64" i="1" s="1"/>
  <c r="C34" i="1"/>
  <c r="F37" i="1"/>
  <c r="H37" i="1" s="1"/>
  <c r="D35" i="13"/>
  <c r="D53" i="1"/>
  <c r="D55" i="1" s="1"/>
  <c r="F55" i="1" s="1"/>
  <c r="C63" i="1" l="1"/>
  <c r="D63" i="1" s="1"/>
  <c r="F63" i="1" s="1"/>
  <c r="D64" i="1"/>
  <c r="F64" i="1" s="1"/>
  <c r="D54" i="1"/>
  <c r="F54" i="1" s="1"/>
  <c r="F20" i="1"/>
  <c r="F21" i="1" s="1"/>
  <c r="D51" i="1"/>
  <c r="D52" i="1" s="1"/>
  <c r="F52" i="1" s="1"/>
  <c r="C33" i="1"/>
  <c r="C27" i="1"/>
  <c r="C28" i="1"/>
  <c r="C31" i="1"/>
  <c r="C32" i="1" s="1"/>
  <c r="C25" i="1"/>
  <c r="C26" i="1" s="1"/>
  <c r="D59" i="1" s="1"/>
  <c r="C26" i="13"/>
  <c r="J5" i="13"/>
  <c r="J6" i="13"/>
  <c r="J4" i="13"/>
  <c r="G5" i="13"/>
  <c r="G6" i="13"/>
  <c r="G4" i="13"/>
  <c r="H5" i="13"/>
  <c r="H6" i="13"/>
  <c r="H4" i="13"/>
  <c r="F33" i="1" l="1"/>
  <c r="H33" i="1" s="1"/>
  <c r="F28" i="1"/>
  <c r="H28" i="1" s="1"/>
  <c r="F27" i="1"/>
  <c r="H27" i="1" s="1"/>
  <c r="F32" i="1"/>
  <c r="H32" i="1" s="1"/>
  <c r="F23" i="1"/>
  <c r="F34" i="1"/>
  <c r="H34" i="1" s="1"/>
  <c r="F29" i="1"/>
  <c r="H29" i="1" s="1"/>
  <c r="F24" i="1"/>
  <c r="F22" i="1"/>
  <c r="C14" i="1"/>
  <c r="C21" i="1"/>
  <c r="C22" i="1" s="1"/>
  <c r="D47" i="1" l="1"/>
  <c r="D48" i="1" s="1"/>
  <c r="F48" i="1" s="1"/>
  <c r="H23" i="1"/>
  <c r="D45" i="1"/>
  <c r="D46" i="1" s="1"/>
  <c r="F46" i="1" s="1"/>
  <c r="H22" i="1"/>
  <c r="D43" i="1"/>
  <c r="D44" i="1" s="1"/>
  <c r="F44" i="1" s="1"/>
  <c r="H24" i="1"/>
  <c r="D60" i="1"/>
  <c r="F60" i="1" s="1"/>
  <c r="F67" i="1" l="1"/>
</calcChain>
</file>

<file path=xl/sharedStrings.xml><?xml version="1.0" encoding="utf-8"?>
<sst xmlns="http://schemas.openxmlformats.org/spreadsheetml/2006/main" count="138" uniqueCount="120">
  <si>
    <t>m2</t>
  </si>
  <si>
    <t>m</t>
  </si>
  <si>
    <t>m3</t>
  </si>
  <si>
    <t>CANTIDAD APTOS:</t>
  </si>
  <si>
    <t>CANTIDAD FORMALETA:</t>
  </si>
  <si>
    <t>ESPESOR MUROS:</t>
  </si>
  <si>
    <t>ESPESOR LOSA:</t>
  </si>
  <si>
    <t>Personal necesario:</t>
  </si>
  <si>
    <t xml:space="preserve">PROYECTO: </t>
  </si>
  <si>
    <t>CONCRETO x VACIADO:</t>
  </si>
  <si>
    <t>un</t>
  </si>
  <si>
    <t>AREA 1 APTO:</t>
  </si>
  <si>
    <t>ALTURA LIBRE:</t>
  </si>
  <si>
    <t>EJERCICIO</t>
  </si>
  <si>
    <t>RENDIMIENTOS DE OBRA</t>
  </si>
  <si>
    <t>1. Cantidad de Equipos:</t>
  </si>
  <si>
    <t>Alto</t>
  </si>
  <si>
    <t>Medio</t>
  </si>
  <si>
    <t>Bajo</t>
  </si>
  <si>
    <t>TIEMPO OBRA:</t>
  </si>
  <si>
    <t>meses</t>
  </si>
  <si>
    <t>Nivel de experticia:</t>
  </si>
  <si>
    <t>Nivel de Experticia</t>
  </si>
  <si>
    <t>Vaciados/mes</t>
  </si>
  <si>
    <t>Vaciados/mes:</t>
  </si>
  <si>
    <t>Operarios</t>
  </si>
  <si>
    <t>Descripcion</t>
  </si>
  <si>
    <t>m2 Planta/hh</t>
  </si>
  <si>
    <t>m2CC/hh</t>
  </si>
  <si>
    <t>Desencofre - Transporte - Armado</t>
  </si>
  <si>
    <t>Montaje Refuerzos y Tuberias Losa</t>
  </si>
  <si>
    <t>Colocación Concreto - Enrase y Afinado</t>
  </si>
  <si>
    <t>Horas</t>
  </si>
  <si>
    <t>Actividades</t>
  </si>
  <si>
    <t>Carga/m2</t>
  </si>
  <si>
    <t>Carga/kg</t>
  </si>
  <si>
    <t>5 - 6</t>
  </si>
  <si>
    <t>2</t>
  </si>
  <si>
    <t>2 - 4</t>
  </si>
  <si>
    <t>Desencofrado - Min</t>
  </si>
  <si>
    <t>Transporte - Min</t>
  </si>
  <si>
    <t>Montaje - Min</t>
  </si>
  <si>
    <t>Hidráulicos</t>
  </si>
  <si>
    <t>Eléctricos</t>
  </si>
  <si>
    <t>Herreros</t>
  </si>
  <si>
    <t>Resanes</t>
  </si>
  <si>
    <t>Personal Requerido</t>
  </si>
  <si>
    <t>Área (m2)</t>
  </si>
  <si>
    <t>Volumen</t>
  </si>
  <si>
    <t>Tiempo de Colocación - Min</t>
  </si>
  <si>
    <t>Bombeado</t>
  </si>
  <si>
    <t>Grua</t>
  </si>
  <si>
    <t>Afinado Losa / h</t>
  </si>
  <si>
    <t>DATOS:</t>
  </si>
  <si>
    <t>Equipos requeridos:</t>
  </si>
  <si>
    <t>Perímetros (m) Metros lineales de fachada</t>
  </si>
  <si>
    <t># de Andamieros</t>
  </si>
  <si>
    <t>Resanadores:</t>
  </si>
  <si>
    <t>Andamieros:</t>
  </si>
  <si>
    <t>Muros (ml):</t>
  </si>
  <si>
    <t>Juntas entre paneles:</t>
  </si>
  <si>
    <t>Corbatas - FORSA PLUS:</t>
  </si>
  <si>
    <t>Corbatas - FORSA PLUS 4.0:</t>
  </si>
  <si>
    <t>Cuñas - FORSA PLUS:</t>
  </si>
  <si>
    <t>Cuñas - FORSA PLUS 4.0:</t>
  </si>
  <si>
    <t>Pasadores - FORSA PLUS:</t>
  </si>
  <si>
    <t>Pasadores - FORSA PLUS 4.0:</t>
  </si>
  <si>
    <t>Pingrapas Losas:</t>
  </si>
  <si>
    <t>5. Yumbolon:</t>
  </si>
  <si>
    <t>Silletas - Losa (50% Inferior + 50% Superior):</t>
  </si>
  <si>
    <t>7. Viruta:</t>
  </si>
  <si>
    <t>Yumbolon - FORSA PLUS (m):</t>
  </si>
  <si>
    <t>Yumbolon - FORSA PLUS 4.0 (m):</t>
  </si>
  <si>
    <t> Nivel de  limpieza</t>
  </si>
  <si>
    <t>Días de uso  x viruta</t>
  </si>
  <si>
    <t>Equipo limpio</t>
  </si>
  <si>
    <t>Equipo limpieza media</t>
  </si>
  <si>
    <t>Equipo sucio</t>
  </si>
  <si>
    <t>Nivel de limpieza:</t>
  </si>
  <si>
    <t>Cantidad Paquetes (200gr):</t>
  </si>
  <si>
    <t>8. Desmoldante:</t>
  </si>
  <si>
    <t>Desmoldante</t>
  </si>
  <si>
    <t>gr/m2</t>
  </si>
  <si>
    <t>Rendimiento Teorico:</t>
  </si>
  <si>
    <t>Rendimiento Practico:</t>
  </si>
  <si>
    <t>2a. Mano de Obra - Área Formaleta:</t>
  </si>
  <si>
    <t>2b. Mano de Obra - Área Apto:</t>
  </si>
  <si>
    <t>Rendimiento Teórico (Tina/175Kg):</t>
  </si>
  <si>
    <t>Rendimiento Practico (Tina/175Kg):</t>
  </si>
  <si>
    <t>2. Cuñas Por Equipo:</t>
  </si>
  <si>
    <t>1. Corbatas Por Equipo:</t>
  </si>
  <si>
    <t>3. Pasadores Por Equipo:</t>
  </si>
  <si>
    <t>4. Pingrapas Por Equipo:</t>
  </si>
  <si>
    <t>CONSUMIBLES POR PROYECTO</t>
  </si>
  <si>
    <t>ACCESORIOS POR EQUIPO</t>
  </si>
  <si>
    <t>Cajas (50 Paquetes)</t>
  </si>
  <si>
    <t>un/caja</t>
  </si>
  <si>
    <t>Silletas Losa</t>
  </si>
  <si>
    <t>Caja Silletas 2.5 - Losa:</t>
  </si>
  <si>
    <t>Caja Silletas 6.5 - Losa:</t>
  </si>
  <si>
    <t>Yumbolon</t>
  </si>
  <si>
    <t>Rollo</t>
  </si>
  <si>
    <t>RENDIMIENTOS DE OBRA - ACCESORIOS - CONSUMIBLES</t>
  </si>
  <si>
    <t>Yumbolon - FORSA ALUM (m):</t>
  </si>
  <si>
    <t>Pasadores - FORSA ALUM:</t>
  </si>
  <si>
    <t>Corbatas - FORSA ALUM:</t>
  </si>
  <si>
    <t>Cuñas - FORSA ALUM:</t>
  </si>
  <si>
    <t>PERIMETRO EQUIPO:</t>
  </si>
  <si>
    <t>CONTINUO</t>
  </si>
  <si>
    <t>Separadores Muro</t>
  </si>
  <si>
    <t>FD10</t>
  </si>
  <si>
    <t>SIN IVA</t>
  </si>
  <si>
    <t>CAJA VIRUTA</t>
  </si>
  <si>
    <t>Separadores - Muros:</t>
  </si>
  <si>
    <t>Caja Separadores - Muros:</t>
  </si>
  <si>
    <t>6. Separadores y Silletas:</t>
  </si>
  <si>
    <t>PRECIO SIN IVA</t>
  </si>
  <si>
    <t>TOTAL CONSUMIBLES X PROYECTO:</t>
  </si>
  <si>
    <t>10% SUGERIDO</t>
  </si>
  <si>
    <t>ACTUALIZADO 08/06/2023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</si>
</sst>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-&quot;$&quot;* #,##0.00_-;\-&quot;$&quot;* #,##0.00_-;_-&quot;$&quot;* &quot;-&quot;??_-;_-@_-"/>
    <numFmt numFmtId="165" formatCode="[$$-240A]\ #,##0"/>
    <numFmt numFmtId="166" formatCode="0.0"/>
    <numFmt numFmtId="167" formatCode="#,##0.0"/>
    <numFmt numFmtId="168" formatCode="_-&quot;$&quot;* #,##0_-;\-&quot;$&quot;* #,##0_-;_-&quot;$&quot;* &quot;-&quot;??_-;_-@_-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10"/>
      <color rgb="FF0070C0"/>
      <name val="Calibri"/>
      <family val="2"/>
      <scheme val="minor"/>
    </font>
    <font>
      <i/>
      <sz val="8"/>
      <color rgb="FF0070C0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1" fillId="0" borderId="0" applyFont="0" applyFill="0" applyBorder="0" applyAlignment="0" applyProtection="0"/>
    <xf numFmtId="164" fontId="11" fillId="0" borderId="0" applyFont="0" applyFill="0" applyBorder="0" applyAlignment="0" applyProtection="0"/>
  </cellStyleXfs>
  <cellXfs count="95">
    <xf numFmtId="0" fontId="0" fillId="0" borderId="0" xfId="0"/>
    <xf numFmtId="0" fontId="5" fillId="0" borderId="0" xfId="0" applyFont="1"/>
    <xf numFmtId="0" fontId="6" fillId="0" borderId="0" xfId="0" applyFont="1"/>
    <xf numFmtId="0" fontId="5" fillId="0" borderId="2" xfId="0" applyFont="1" applyBorder="1"/>
    <xf numFmtId="2" fontId="5" fillId="0" borderId="2" xfId="0" applyNumberFormat="1" applyFont="1" applyBorder="1" applyAlignment="1">
      <alignment horizontal="center"/>
    </xf>
    <xf numFmtId="0" fontId="5" fillId="0" borderId="4" xfId="0" applyFont="1" applyBorder="1"/>
    <xf numFmtId="0" fontId="5" fillId="0" borderId="5" xfId="0" applyFont="1" applyBorder="1"/>
    <xf numFmtId="0" fontId="5" fillId="0" borderId="6" xfId="0" applyFont="1" applyBorder="1"/>
    <xf numFmtId="0" fontId="4" fillId="0" borderId="0" xfId="0" applyFont="1"/>
    <xf numFmtId="0" fontId="5" fillId="0" borderId="7" xfId="0" applyFont="1" applyBorder="1"/>
    <xf numFmtId="1" fontId="5" fillId="0" borderId="0" xfId="0" applyNumberFormat="1" applyFont="1" applyAlignment="1">
      <alignment horizontal="center"/>
    </xf>
    <xf numFmtId="0" fontId="6" fillId="0" borderId="6" xfId="0" applyFont="1" applyBorder="1"/>
    <xf numFmtId="0" fontId="6" fillId="0" borderId="7" xfId="0" applyFont="1" applyBorder="1"/>
    <xf numFmtId="165" fontId="5" fillId="0" borderId="0" xfId="0" applyNumberFormat="1" applyFont="1"/>
    <xf numFmtId="0" fontId="5" fillId="0" borderId="8" xfId="0" applyFont="1" applyBorder="1"/>
    <xf numFmtId="0" fontId="5" fillId="0" borderId="9" xfId="0" applyFont="1" applyBorder="1"/>
    <xf numFmtId="0" fontId="5" fillId="0" borderId="10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5" fillId="0" borderId="1" xfId="0" applyFont="1" applyBorder="1"/>
    <xf numFmtId="0" fontId="3" fillId="0" borderId="0" xfId="0" applyFont="1"/>
    <xf numFmtId="0" fontId="7" fillId="0" borderId="6" xfId="0" applyFont="1" applyBorder="1"/>
    <xf numFmtId="0" fontId="7" fillId="0" borderId="0" xfId="0" applyFont="1"/>
    <xf numFmtId="0" fontId="7" fillId="0" borderId="7" xfId="0" applyFont="1" applyBorder="1"/>
    <xf numFmtId="0" fontId="8" fillId="0" borderId="0" xfId="0" applyFont="1"/>
    <xf numFmtId="0" fontId="9" fillId="0" borderId="0" xfId="0" applyFont="1"/>
    <xf numFmtId="0" fontId="5" fillId="0" borderId="1" xfId="0" applyFont="1" applyBorder="1" applyAlignment="1">
      <alignment horizontal="center"/>
    </xf>
    <xf numFmtId="165" fontId="3" fillId="0" borderId="0" xfId="0" applyNumberFormat="1" applyFont="1"/>
    <xf numFmtId="0" fontId="5" fillId="0" borderId="0" xfId="0" applyFont="1" applyAlignment="1">
      <alignment horizontal="center"/>
    </xf>
    <xf numFmtId="166" fontId="5" fillId="0" borderId="1" xfId="0" applyNumberFormat="1" applyFont="1" applyBorder="1" applyAlignment="1">
      <alignment horizontal="center"/>
    </xf>
    <xf numFmtId="0" fontId="5" fillId="0" borderId="3" xfId="0" applyFont="1" applyBorder="1" applyAlignment="1">
      <alignment wrapText="1"/>
    </xf>
    <xf numFmtId="1" fontId="5" fillId="2" borderId="1" xfId="0" applyNumberFormat="1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2" fontId="5" fillId="2" borderId="1" xfId="0" applyNumberFormat="1" applyFont="1" applyFill="1" applyBorder="1" applyAlignment="1">
      <alignment horizontal="center"/>
    </xf>
    <xf numFmtId="166" fontId="5" fillId="0" borderId="0" xfId="0" applyNumberFormat="1" applyFont="1" applyAlignment="1">
      <alignment horizontal="center"/>
    </xf>
    <xf numFmtId="0" fontId="4" fillId="2" borderId="1" xfId="0" applyFont="1" applyFill="1" applyBorder="1"/>
    <xf numFmtId="0" fontId="4" fillId="2" borderId="1" xfId="0" applyFont="1" applyFill="1" applyBorder="1" applyAlignment="1">
      <alignment horizontal="center"/>
    </xf>
    <xf numFmtId="49" fontId="5" fillId="0" borderId="1" xfId="0" applyNumberFormat="1" applyFont="1" applyBorder="1" applyAlignment="1">
      <alignment horizontal="center"/>
    </xf>
    <xf numFmtId="1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3" fontId="5" fillId="0" borderId="0" xfId="0" applyNumberFormat="1" applyFont="1"/>
    <xf numFmtId="3" fontId="5" fillId="0" borderId="0" xfId="0" applyNumberFormat="1" applyFont="1" applyAlignment="1">
      <alignment horizontal="center"/>
    </xf>
    <xf numFmtId="3" fontId="4" fillId="0" borderId="0" xfId="0" applyNumberFormat="1" applyFont="1" applyAlignment="1">
      <alignment horizontal="center"/>
    </xf>
    <xf numFmtId="3" fontId="5" fillId="0" borderId="0" xfId="0" applyNumberFormat="1" applyFont="1" applyAlignment="1">
      <alignment horizontal="right"/>
    </xf>
    <xf numFmtId="3" fontId="5" fillId="0" borderId="9" xfId="0" applyNumberFormat="1" applyFont="1" applyBorder="1"/>
    <xf numFmtId="1" fontId="5" fillId="0" borderId="0" xfId="0" applyNumberFormat="1" applyFont="1" applyAlignment="1">
      <alignment horizontal="center" vertical="center"/>
    </xf>
    <xf numFmtId="167" fontId="5" fillId="0" borderId="0" xfId="0" applyNumberFormat="1" applyFont="1" applyAlignment="1">
      <alignment horizontal="center"/>
    </xf>
    <xf numFmtId="2" fontId="5" fillId="0" borderId="1" xfId="0" applyNumberFormat="1" applyFont="1" applyBorder="1" applyAlignment="1">
      <alignment horizontal="center"/>
    </xf>
    <xf numFmtId="2" fontId="5" fillId="0" borderId="0" xfId="0" applyNumberFormat="1" applyFont="1"/>
    <xf numFmtId="2" fontId="5" fillId="3" borderId="1" xfId="0" applyNumberFormat="1" applyFont="1" applyFill="1" applyBorder="1" applyAlignment="1">
      <alignment horizontal="center"/>
    </xf>
    <xf numFmtId="3" fontId="5" fillId="3" borderId="1" xfId="0" applyNumberFormat="1" applyFont="1" applyFill="1" applyBorder="1" applyAlignment="1">
      <alignment horizontal="center"/>
    </xf>
    <xf numFmtId="166" fontId="5" fillId="2" borderId="1" xfId="0" applyNumberFormat="1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4" fontId="5" fillId="0" borderId="0" xfId="0" applyNumberFormat="1" applyFont="1" applyAlignment="1">
      <alignment horizontal="center"/>
    </xf>
    <xf numFmtId="0" fontId="2" fillId="0" borderId="0" xfId="0" applyFont="1" applyAlignment="1">
      <alignment horizontal="left" vertical="center"/>
    </xf>
    <xf numFmtId="168" fontId="5" fillId="0" borderId="0" xfId="2" applyNumberFormat="1" applyFont="1" applyAlignment="1"/>
    <xf numFmtId="168" fontId="4" fillId="2" borderId="1" xfId="2" applyNumberFormat="1" applyFont="1" applyFill="1" applyBorder="1" applyAlignment="1"/>
    <xf numFmtId="168" fontId="5" fillId="0" borderId="1" xfId="2" applyNumberFormat="1" applyFont="1" applyBorder="1" applyAlignment="1">
      <alignment horizontal="center"/>
    </xf>
    <xf numFmtId="168" fontId="4" fillId="2" borderId="1" xfId="2" applyNumberFormat="1" applyFont="1" applyFill="1" applyBorder="1" applyAlignment="1">
      <alignment horizontal="center"/>
    </xf>
    <xf numFmtId="1" fontId="5" fillId="0" borderId="0" xfId="0" applyNumberFormat="1" applyFont="1"/>
    <xf numFmtId="168" fontId="4" fillId="0" borderId="0" xfId="2" applyNumberFormat="1" applyFont="1" applyAlignment="1">
      <alignment horizontal="center"/>
    </xf>
    <xf numFmtId="0" fontId="5" fillId="0" borderId="0" xfId="0" applyFont="1" applyAlignment="1">
      <alignment horizontal="right"/>
    </xf>
    <xf numFmtId="43" fontId="12" fillId="0" borderId="0" xfId="1" applyFont="1"/>
    <xf numFmtId="168" fontId="5" fillId="0" borderId="0" xfId="2" applyNumberFormat="1" applyFont="1"/>
    <xf numFmtId="0" fontId="13" fillId="0" borderId="6" xfId="0" applyFont="1" applyBorder="1"/>
    <xf numFmtId="0" fontId="13" fillId="0" borderId="0" xfId="0" applyFont="1"/>
    <xf numFmtId="43" fontId="14" fillId="0" borderId="0" xfId="1" applyFont="1"/>
    <xf numFmtId="4" fontId="13" fillId="0" borderId="0" xfId="0" applyNumberFormat="1" applyFont="1" applyAlignment="1">
      <alignment horizontal="center"/>
    </xf>
    <xf numFmtId="168" fontId="13" fillId="0" borderId="0" xfId="2" applyNumberFormat="1" applyFont="1"/>
    <xf numFmtId="0" fontId="13" fillId="0" borderId="7" xfId="0" applyFont="1" applyBorder="1"/>
    <xf numFmtId="168" fontId="4" fillId="0" borderId="0" xfId="0" applyNumberFormat="1" applyFont="1"/>
    <xf numFmtId="168" fontId="9" fillId="0" borderId="0" xfId="2" applyNumberFormat="1" applyFont="1" applyAlignment="1"/>
    <xf numFmtId="0" fontId="8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4" fillId="2" borderId="12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left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colors>
    <mruColors>
      <color rgb="FF00FF00"/>
      <color rgb="FF00FFFF"/>
      <color rgb="FFFFFF99"/>
      <color rgb="FFFF6699"/>
      <color rgb="FF3366FF"/>
      <color rgb="FF0066FF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g"/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265966</xdr:colOff>
      <xdr:row>1</xdr:row>
      <xdr:rowOff>15424</xdr:rowOff>
    </xdr:from>
    <xdr:to>
      <xdr:col>5</xdr:col>
      <xdr:colOff>1505171</xdr:colOff>
      <xdr:row>4</xdr:row>
      <xdr:rowOff>21185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BCB37A35-6001-4948-B1BE-F5FB4EDEF624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7303463" y="140034"/>
          <a:ext cx="1239205" cy="575407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2359308</xdr:colOff>
      <xdr:row>5</xdr:row>
      <xdr:rowOff>42952</xdr:rowOff>
    </xdr:from>
    <xdr:to>
      <xdr:col>5</xdr:col>
      <xdr:colOff>1489387</xdr:colOff>
      <xdr:row>14</xdr:row>
      <xdr:rowOff>39368</xdr:rowOff>
    </xdr:to>
    <xdr:pic>
      <xdr:nvPicPr>
        <xdr:cNvPr id="5" name="Imagen 4" descr="Imagen que contiene Diagrama&#10;&#10;Descripción generada automáticamente">
          <a:extLst>
            <a:ext uri="{FF2B5EF4-FFF2-40B4-BE49-F238E27FC236}">
              <a16:creationId xmlns:a16="http://schemas.microsoft.com/office/drawing/2014/main" id="{1C1C4179-31DF-46B1-A5CE-7A0131A659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981745" y="909289"/>
          <a:ext cx="1545139" cy="1545139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 editAs="oneCell">
    <xdr:from>
      <xdr:col>4</xdr:col>
      <xdr:colOff>664589</xdr:colOff>
      <xdr:row>5</xdr:row>
      <xdr:rowOff>48885</xdr:rowOff>
    </xdr:from>
    <xdr:to>
      <xdr:col>4</xdr:col>
      <xdr:colOff>2209728</xdr:colOff>
      <xdr:row>14</xdr:row>
      <xdr:rowOff>45301</xdr:rowOff>
    </xdr:to>
    <xdr:pic>
      <xdr:nvPicPr>
        <xdr:cNvPr id="6" name="Imagen 5" descr="Imagen que contiene interior, escritorio, tabla, computadora&#10;&#10;Descripción generada automáticamente">
          <a:extLst>
            <a:ext uri="{FF2B5EF4-FFF2-40B4-BE49-F238E27FC236}">
              <a16:creationId xmlns:a16="http://schemas.microsoft.com/office/drawing/2014/main" id="{F7527FC2-DD5B-452D-B10D-D198BCE91B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287026" y="915222"/>
          <a:ext cx="1545139" cy="1545139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400050</xdr:colOff>
      <xdr:row>54</xdr:row>
      <xdr:rowOff>104775</xdr:rowOff>
    </xdr:from>
    <xdr:to>
      <xdr:col>0</xdr:col>
      <xdr:colOff>1642441</xdr:colOff>
      <xdr:row>57</xdr:row>
      <xdr:rowOff>101682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5AA04B0-EBE5-4EBC-883B-CC21717347F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400050" y="10772775"/>
          <a:ext cx="1242391" cy="56840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0</xdr:col>
      <xdr:colOff>400050</xdr:colOff>
      <xdr:row>25</xdr:row>
      <xdr:rowOff>104775</xdr:rowOff>
    </xdr:from>
    <xdr:ext cx="1242391" cy="568407"/>
    <xdr:pic>
      <xdr:nvPicPr>
        <xdr:cNvPr id="5" name="Imagen 4">
          <a:extLst>
            <a:ext uri="{FF2B5EF4-FFF2-40B4-BE49-F238E27FC236}">
              <a16:creationId xmlns:a16="http://schemas.microsoft.com/office/drawing/2014/main" id="{59420C85-9944-4C13-B75A-B91D4EE679A4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400050" y="10772775"/>
          <a:ext cx="1242391" cy="568407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0</xdr:col>
      <xdr:colOff>400050</xdr:colOff>
      <xdr:row>112</xdr:row>
      <xdr:rowOff>104775</xdr:rowOff>
    </xdr:from>
    <xdr:ext cx="1242391" cy="568407"/>
    <xdr:pic>
      <xdr:nvPicPr>
        <xdr:cNvPr id="6" name="Imagen 5">
          <a:extLst>
            <a:ext uri="{FF2B5EF4-FFF2-40B4-BE49-F238E27FC236}">
              <a16:creationId xmlns:a16="http://schemas.microsoft.com/office/drawing/2014/main" id="{01C5893D-BB5E-4917-8710-A6D317B3C7C4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400050" y="10391775"/>
          <a:ext cx="1242391" cy="568407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0</xdr:col>
      <xdr:colOff>400050</xdr:colOff>
      <xdr:row>83</xdr:row>
      <xdr:rowOff>104775</xdr:rowOff>
    </xdr:from>
    <xdr:ext cx="1242391" cy="568407"/>
    <xdr:pic>
      <xdr:nvPicPr>
        <xdr:cNvPr id="9" name="Imagen 8">
          <a:extLst>
            <a:ext uri="{FF2B5EF4-FFF2-40B4-BE49-F238E27FC236}">
              <a16:creationId xmlns:a16="http://schemas.microsoft.com/office/drawing/2014/main" id="{E37C02BE-68E2-41D9-BD2C-EA83BD66687D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400050" y="4867275"/>
          <a:ext cx="1242391" cy="568407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4C7FA-1C41-4EF9-BC96-7277191C1F92}">
  <dimension ref="A1:H75"/>
  <sheetViews>
    <sheetView showGridLines="0" tabSelected="1" topLeftCell="A15" zoomScaleNormal="100" zoomScaleSheetLayoutView="145" workbookViewId="0">
      <selection activeCell="C13" sqref="C13"/>
    </sheetView>
  </sheetViews>
  <sheetFormatPr baseColWidth="10" defaultColWidth="11.36328125" defaultRowHeight="13" x14ac:dyDescent="0.3"/>
  <cols>
    <col min="1" max="1" width="1.7265625" style="1" customWidth="1"/>
    <col min="2" max="2" width="27.6328125" style="1" customWidth="1"/>
    <col min="3" max="3" width="27.7265625" style="1" customWidth="1"/>
    <col min="4" max="4" width="18.08984375" style="1" bestFit="1" customWidth="1"/>
    <col min="5" max="5" width="35.36328125" style="1" bestFit="1" customWidth="1"/>
    <col min="6" max="6" width="22.7265625" style="1" customWidth="1"/>
    <col min="7" max="7" width="1.7265625" style="1" customWidth="1"/>
    <col min="8" max="8" width="11.36328125" style="32"/>
    <col min="9" max="16384" width="11.36328125" style="1"/>
  </cols>
  <sheetData>
    <row r="1" spans="1:8" ht="10" customHeight="1" x14ac:dyDescent="0.3">
      <c r="A1" s="34"/>
      <c r="B1" s="5"/>
      <c r="C1" s="5"/>
      <c r="D1" s="5"/>
      <c r="E1" s="5"/>
      <c r="F1" s="5"/>
      <c r="G1" s="6"/>
    </row>
    <row r="2" spans="1:8" s="28" customFormat="1" ht="18" customHeight="1" x14ac:dyDescent="0.5">
      <c r="A2" s="25"/>
      <c r="B2" s="26" t="s">
        <v>102</v>
      </c>
      <c r="C2" s="26"/>
      <c r="D2" s="26"/>
      <c r="E2" s="26"/>
      <c r="F2" s="26"/>
      <c r="G2" s="27"/>
      <c r="H2" s="76"/>
    </row>
    <row r="3" spans="1:8" x14ac:dyDescent="0.3">
      <c r="A3" s="7"/>
      <c r="B3" s="8"/>
      <c r="G3" s="9"/>
    </row>
    <row r="4" spans="1:8" x14ac:dyDescent="0.3">
      <c r="A4" s="7"/>
      <c r="B4" s="1" t="s">
        <v>8</v>
      </c>
      <c r="C4" s="43" t="s">
        <v>13</v>
      </c>
      <c r="G4" s="9"/>
    </row>
    <row r="5" spans="1:8" x14ac:dyDescent="0.3">
      <c r="A5" s="7"/>
      <c r="G5" s="9"/>
    </row>
    <row r="6" spans="1:8" x14ac:dyDescent="0.3">
      <c r="A6" s="7"/>
      <c r="B6" s="1" t="s">
        <v>3</v>
      </c>
      <c r="C6" s="35">
        <v>500</v>
      </c>
      <c r="D6" s="1" t="s">
        <v>10</v>
      </c>
      <c r="G6" s="9"/>
    </row>
    <row r="7" spans="1:8" x14ac:dyDescent="0.3">
      <c r="A7" s="7"/>
      <c r="B7" s="1" t="s">
        <v>19</v>
      </c>
      <c r="C7" s="55">
        <v>12</v>
      </c>
      <c r="D7" s="1" t="s">
        <v>20</v>
      </c>
      <c r="G7" s="9"/>
    </row>
    <row r="8" spans="1:8" x14ac:dyDescent="0.3">
      <c r="A8" s="7"/>
      <c r="B8" s="1" t="s">
        <v>11</v>
      </c>
      <c r="C8" s="36">
        <v>300</v>
      </c>
      <c r="D8" s="1" t="s">
        <v>0</v>
      </c>
      <c r="G8" s="9"/>
    </row>
    <row r="9" spans="1:8" x14ac:dyDescent="0.3">
      <c r="A9" s="7"/>
      <c r="B9" s="1" t="s">
        <v>107</v>
      </c>
      <c r="C9" s="36">
        <v>35</v>
      </c>
      <c r="D9" s="1" t="s">
        <v>1</v>
      </c>
      <c r="E9" s="29"/>
      <c r="G9" s="9"/>
    </row>
    <row r="10" spans="1:8" x14ac:dyDescent="0.3">
      <c r="A10" s="7"/>
      <c r="B10" s="1" t="s">
        <v>5</v>
      </c>
      <c r="C10" s="53">
        <v>0.1</v>
      </c>
      <c r="D10" s="1" t="s">
        <v>1</v>
      </c>
      <c r="G10" s="9"/>
    </row>
    <row r="11" spans="1:8" x14ac:dyDescent="0.3">
      <c r="A11" s="7"/>
      <c r="B11" s="1" t="s">
        <v>6</v>
      </c>
      <c r="C11" s="37">
        <v>0.1</v>
      </c>
      <c r="D11" s="1" t="s">
        <v>1</v>
      </c>
      <c r="G11" s="9"/>
    </row>
    <row r="12" spans="1:8" x14ac:dyDescent="0.3">
      <c r="A12" s="7"/>
      <c r="B12" s="1" t="s">
        <v>12</v>
      </c>
      <c r="C12" s="36">
        <v>2.4</v>
      </c>
      <c r="D12" s="1" t="s">
        <v>1</v>
      </c>
      <c r="G12" s="9"/>
    </row>
    <row r="13" spans="1:8" x14ac:dyDescent="0.3">
      <c r="A13" s="7"/>
      <c r="B13" s="1" t="s">
        <v>4</v>
      </c>
      <c r="C13" s="10">
        <f>C8*5</f>
        <v>1500</v>
      </c>
      <c r="D13" s="1" t="s">
        <v>0</v>
      </c>
      <c r="G13" s="9"/>
    </row>
    <row r="14" spans="1:8" x14ac:dyDescent="0.3">
      <c r="A14" s="7"/>
      <c r="B14" s="1" t="s">
        <v>9</v>
      </c>
      <c r="C14" s="38">
        <f>(C8*C11)+((C13-C8)/2)*C10</f>
        <v>90</v>
      </c>
      <c r="D14" s="1" t="s">
        <v>2</v>
      </c>
      <c r="G14" s="9"/>
    </row>
    <row r="15" spans="1:8" ht="13.5" thickBot="1" x14ac:dyDescent="0.35">
      <c r="A15" s="7"/>
      <c r="B15" s="3"/>
      <c r="C15" s="4"/>
      <c r="D15" s="3"/>
      <c r="E15" s="3"/>
      <c r="F15" s="3"/>
      <c r="G15" s="9"/>
    </row>
    <row r="16" spans="1:8" ht="13.5" thickTop="1" x14ac:dyDescent="0.3">
      <c r="A16" s="7"/>
      <c r="G16" s="9"/>
    </row>
    <row r="17" spans="1:8" s="2" customFormat="1" ht="18.5" x14ac:dyDescent="0.45">
      <c r="A17" s="11"/>
      <c r="B17" s="81" t="s">
        <v>14</v>
      </c>
      <c r="C17" s="82"/>
      <c r="E17" s="81" t="s">
        <v>94</v>
      </c>
      <c r="F17" s="82"/>
      <c r="G17" s="12"/>
      <c r="H17" s="77"/>
    </row>
    <row r="18" spans="1:8" x14ac:dyDescent="0.3">
      <c r="A18" s="7"/>
      <c r="G18" s="9"/>
    </row>
    <row r="19" spans="1:8" x14ac:dyDescent="0.3">
      <c r="A19" s="7"/>
      <c r="B19" s="8" t="s">
        <v>15</v>
      </c>
      <c r="E19" s="8" t="s">
        <v>90</v>
      </c>
      <c r="F19" s="44"/>
      <c r="G19" s="9"/>
      <c r="H19" s="80" t="s">
        <v>118</v>
      </c>
    </row>
    <row r="20" spans="1:8" x14ac:dyDescent="0.3">
      <c r="A20" s="7"/>
      <c r="B20" s="1" t="s">
        <v>21</v>
      </c>
      <c r="C20" s="10" t="s">
        <v>17</v>
      </c>
      <c r="E20" s="1" t="s">
        <v>59</v>
      </c>
      <c r="F20" s="45">
        <f>ROUND((C13-C8)/2/C12,0)</f>
        <v>250</v>
      </c>
      <c r="G20" s="9"/>
    </row>
    <row r="21" spans="1:8" x14ac:dyDescent="0.3">
      <c r="A21" s="7"/>
      <c r="B21" s="1" t="s">
        <v>24</v>
      </c>
      <c r="C21" s="32">
        <f>IF(C20=Datos!B4,Datos!C4,IF(C20=Datos!B5,Datos!C5,IF(Calculo!C20=Datos!B6,Datos!C6)))</f>
        <v>20</v>
      </c>
      <c r="E21" s="1" t="s">
        <v>60</v>
      </c>
      <c r="F21" s="45">
        <f>(F20/0.4)</f>
        <v>625</v>
      </c>
      <c r="G21" s="9"/>
    </row>
    <row r="22" spans="1:8" x14ac:dyDescent="0.3">
      <c r="A22" s="7"/>
      <c r="B22" s="1" t="s">
        <v>54</v>
      </c>
      <c r="C22" s="49">
        <f>ROUNDUP(C6/C7/C21,0)</f>
        <v>3</v>
      </c>
      <c r="E22" s="1" t="s">
        <v>61</v>
      </c>
      <c r="F22" s="45">
        <f>F21*2</f>
        <v>1250</v>
      </c>
      <c r="G22" s="9"/>
      <c r="H22" s="32">
        <f>F22*0.1</f>
        <v>125</v>
      </c>
    </row>
    <row r="23" spans="1:8" x14ac:dyDescent="0.3">
      <c r="A23" s="7"/>
      <c r="E23" s="1" t="s">
        <v>62</v>
      </c>
      <c r="F23" s="45">
        <f>F21*4</f>
        <v>2500</v>
      </c>
      <c r="G23" s="9"/>
      <c r="H23" s="32">
        <f t="shared" ref="H23:H37" si="0">F23*0.1</f>
        <v>250</v>
      </c>
    </row>
    <row r="24" spans="1:8" x14ac:dyDescent="0.3">
      <c r="A24" s="7"/>
      <c r="B24" s="8" t="s">
        <v>85</v>
      </c>
      <c r="E24" s="1" t="s">
        <v>105</v>
      </c>
      <c r="F24" s="45">
        <f>F21*8</f>
        <v>5000</v>
      </c>
      <c r="G24" s="9"/>
      <c r="H24" s="32">
        <f t="shared" si="0"/>
        <v>500</v>
      </c>
    </row>
    <row r="25" spans="1:8" x14ac:dyDescent="0.3">
      <c r="A25" s="7"/>
      <c r="B25" s="1" t="s">
        <v>21</v>
      </c>
      <c r="C25" s="10" t="str">
        <f>C20</f>
        <v>Medio</v>
      </c>
      <c r="E25" s="8"/>
      <c r="F25" s="44"/>
      <c r="G25" s="9"/>
    </row>
    <row r="26" spans="1:8" x14ac:dyDescent="0.3">
      <c r="A26" s="7"/>
      <c r="B26" s="1" t="s">
        <v>7</v>
      </c>
      <c r="C26" s="10">
        <f>ROUND(IF(C25=Datos!B4,$C$13/Datos!$F$4,IF(C25=Datos!B5,$C$13/Datos!$F$5,IF(C25=Datos!B6,$C$13/Datos!$F$6))),0)</f>
        <v>56</v>
      </c>
      <c r="E26" s="8" t="s">
        <v>89</v>
      </c>
      <c r="F26" s="47"/>
      <c r="G26" s="9"/>
    </row>
    <row r="27" spans="1:8" x14ac:dyDescent="0.3">
      <c r="A27" s="7"/>
      <c r="B27" s="1" t="s">
        <v>57</v>
      </c>
      <c r="C27" s="10" t="b">
        <f>IF(C8&lt;=Datos!B15,Datos!F15,IF(C8&lt;=Datos!B16,Datos!F16,IF(C8&lt;=Datos!B17,Datos!F17,IF(C8&lt;=Datos!B18,Datos!F18,IF(C8&lt;=Datos!B19,Datos!F19,IF(C8&lt;=Datos!B20,Datos!F20,IF(C8&lt;=Datos!B21,Datos!F21,IF(C8&lt;=Datos!B22,Datos!F22))))))))</f>
        <v>0</v>
      </c>
      <c r="E27" s="1" t="s">
        <v>63</v>
      </c>
      <c r="F27" s="45">
        <f>$F$21*8*2*1.25</f>
        <v>12500</v>
      </c>
      <c r="G27" s="9"/>
      <c r="H27" s="32">
        <f t="shared" si="0"/>
        <v>1250</v>
      </c>
    </row>
    <row r="28" spans="1:8" x14ac:dyDescent="0.3">
      <c r="A28" s="7"/>
      <c r="B28" s="1" t="s">
        <v>58</v>
      </c>
      <c r="C28" s="10">
        <f>IF(Calculo!C9&lt;=Datos!B29,Datos!C29,IF(Calculo!C9&lt;=Datos!B30,Datos!C30,IF(Calculo!C9&lt;=Datos!B31,Datos!C31,IF(Calculo!C9&lt;=Datos!B32,Datos!C32))))</f>
        <v>4</v>
      </c>
      <c r="E28" s="1" t="s">
        <v>64</v>
      </c>
      <c r="F28" s="45">
        <f>$F$21*8*2*1.25</f>
        <v>12500</v>
      </c>
      <c r="G28" s="9"/>
      <c r="H28" s="32">
        <f t="shared" si="0"/>
        <v>1250</v>
      </c>
    </row>
    <row r="29" spans="1:8" x14ac:dyDescent="0.3">
      <c r="A29" s="7"/>
      <c r="C29" s="10"/>
      <c r="E29" s="1" t="s">
        <v>106</v>
      </c>
      <c r="F29" s="45">
        <f>$F$21*8*2*1.25</f>
        <v>12500</v>
      </c>
      <c r="G29" s="9"/>
      <c r="H29" s="32">
        <f t="shared" si="0"/>
        <v>1250</v>
      </c>
    </row>
    <row r="30" spans="1:8" x14ac:dyDescent="0.3">
      <c r="A30" s="7"/>
      <c r="B30" s="8" t="s">
        <v>86</v>
      </c>
      <c r="C30" s="13"/>
      <c r="F30" s="44"/>
      <c r="G30" s="9"/>
    </row>
    <row r="31" spans="1:8" x14ac:dyDescent="0.3">
      <c r="A31" s="7"/>
      <c r="B31" s="1" t="s">
        <v>21</v>
      </c>
      <c r="C31" s="10" t="str">
        <f>C20</f>
        <v>Medio</v>
      </c>
      <c r="E31" s="8" t="s">
        <v>91</v>
      </c>
      <c r="F31" s="47"/>
      <c r="G31" s="9"/>
    </row>
    <row r="32" spans="1:8" x14ac:dyDescent="0.3">
      <c r="A32" s="7"/>
      <c r="B32" s="1" t="s">
        <v>7</v>
      </c>
      <c r="C32" s="10">
        <f>ROUND(IF(C31=Datos!B4,$C$8/6/Datos!D4,IF(C31=Datos!B5,$C$8/5.5/Datos!D5,IF(C31=Datos!B6,$C$8/5/Datos!D6))),0)</f>
        <v>55</v>
      </c>
      <c r="E32" s="1" t="s">
        <v>65</v>
      </c>
      <c r="F32" s="45">
        <f>$F$21*8*2*1.1</f>
        <v>11000</v>
      </c>
      <c r="G32" s="9"/>
      <c r="H32" s="10">
        <f t="shared" si="0"/>
        <v>1100</v>
      </c>
    </row>
    <row r="33" spans="1:8" x14ac:dyDescent="0.3">
      <c r="A33" s="7"/>
      <c r="B33" s="1" t="s">
        <v>57</v>
      </c>
      <c r="C33" s="10" t="b">
        <f>IF(C8&lt;=Datos!B15,Datos!F15,IF(C8&lt;=Datos!B16,Datos!F16,IF(C8&lt;=Datos!B17,Datos!F17,IF(C8&lt;=Datos!B18,Datos!F18,IF(C8&lt;=Datos!B19,Datos!F19,IF(C8&lt;=Datos!B20,Datos!F20,IF(C8&lt;=Datos!B21,Datos!F21,IF(C8&lt;=Datos!B22,Datos!F22))))))))</f>
        <v>0</v>
      </c>
      <c r="E33" s="1" t="s">
        <v>66</v>
      </c>
      <c r="F33" s="45">
        <f>$F$21*8*2*1.1</f>
        <v>11000</v>
      </c>
      <c r="G33" s="9"/>
      <c r="H33" s="10">
        <f t="shared" si="0"/>
        <v>1100</v>
      </c>
    </row>
    <row r="34" spans="1:8" x14ac:dyDescent="0.3">
      <c r="A34" s="7"/>
      <c r="B34" s="1" t="s">
        <v>58</v>
      </c>
      <c r="C34" s="10">
        <f>IF(Calculo!C9&lt;=Datos!B29,Datos!C29,IF(Calculo!C9&lt;=Datos!B30,Datos!C30,IF(Calculo!C9&lt;=Datos!B31,Datos!C31,IF(Calculo!C9&lt;=Datos!B32,Datos!C32))))</f>
        <v>4</v>
      </c>
      <c r="E34" s="1" t="s">
        <v>104</v>
      </c>
      <c r="F34" s="45">
        <f>$F$21*8*2*1.1</f>
        <v>11000</v>
      </c>
      <c r="G34" s="9"/>
      <c r="H34" s="10">
        <f t="shared" si="0"/>
        <v>1100</v>
      </c>
    </row>
    <row r="35" spans="1:8" x14ac:dyDescent="0.3">
      <c r="A35" s="7"/>
      <c r="C35" s="42"/>
      <c r="F35" s="44"/>
      <c r="G35" s="9"/>
    </row>
    <row r="36" spans="1:8" x14ac:dyDescent="0.3">
      <c r="A36" s="7"/>
      <c r="C36" s="13"/>
      <c r="E36" s="8" t="s">
        <v>92</v>
      </c>
      <c r="F36" s="44"/>
      <c r="G36" s="9"/>
    </row>
    <row r="37" spans="1:8" x14ac:dyDescent="0.3">
      <c r="A37" s="7"/>
      <c r="B37" s="8"/>
      <c r="C37" s="13"/>
      <c r="E37" s="1" t="s">
        <v>67</v>
      </c>
      <c r="F37" s="45">
        <f>C8*10</f>
        <v>3000</v>
      </c>
      <c r="G37" s="9"/>
      <c r="H37" s="32">
        <f t="shared" si="0"/>
        <v>300</v>
      </c>
    </row>
    <row r="38" spans="1:8" x14ac:dyDescent="0.3">
      <c r="A38" s="7"/>
      <c r="B38" s="8"/>
      <c r="C38" s="13"/>
      <c r="F38" s="46"/>
      <c r="G38" s="9"/>
    </row>
    <row r="39" spans="1:8" x14ac:dyDescent="0.3">
      <c r="A39" s="7"/>
      <c r="B39" s="8"/>
      <c r="C39" s="13"/>
      <c r="F39" s="46"/>
      <c r="G39" s="9"/>
    </row>
    <row r="40" spans="1:8" ht="18.5" x14ac:dyDescent="0.3">
      <c r="A40" s="7"/>
      <c r="B40" s="58" t="s">
        <v>93</v>
      </c>
      <c r="C40" s="56"/>
      <c r="D40" s="56"/>
      <c r="G40" s="9"/>
    </row>
    <row r="41" spans="1:8" x14ac:dyDescent="0.3">
      <c r="A41" s="7"/>
      <c r="B41" s="42"/>
      <c r="E41" s="44"/>
      <c r="G41" s="9"/>
    </row>
    <row r="42" spans="1:8" x14ac:dyDescent="0.3">
      <c r="A42" s="7"/>
      <c r="B42" s="8" t="s">
        <v>68</v>
      </c>
      <c r="E42" s="44"/>
      <c r="F42" s="43" t="s">
        <v>116</v>
      </c>
      <c r="G42" s="9"/>
    </row>
    <row r="43" spans="1:8" s="69" customFormat="1" x14ac:dyDescent="0.3">
      <c r="A43" s="68"/>
      <c r="B43" s="1" t="s">
        <v>103</v>
      </c>
      <c r="C43" s="1"/>
      <c r="D43" s="45">
        <f>F24*C10*C6</f>
        <v>250000</v>
      </c>
      <c r="E43" s="1"/>
      <c r="F43" s="1"/>
      <c r="G43" s="73"/>
      <c r="H43" s="78"/>
    </row>
    <row r="44" spans="1:8" s="69" customFormat="1" x14ac:dyDescent="0.3">
      <c r="A44" s="68"/>
      <c r="B44" s="1" t="s">
        <v>101</v>
      </c>
      <c r="C44" s="1"/>
      <c r="D44" s="50">
        <f>ROUNDUP(IF(C10=Datos!A44,D43/Datos!B44,IF(C10=Datos!A45,D43/Datos!B45,IF(C10=Datos!A46,D43/Datos!B46,IF(C10=Datos!A47,D43/Datos!B47)))),0)</f>
        <v>455</v>
      </c>
      <c r="E44" s="1"/>
      <c r="F44" s="67">
        <f>IF(C10=Datos!A44,D44*Datos!D44,IF(C10=Datos!A45,Calculo!D44*Datos!D45,IF(C10=Datos!A46,Calculo!D44*Datos!D46,IF(C10=Datos!A47,Calculo!D44*Datos!D47))))</f>
        <v>58808750</v>
      </c>
      <c r="G44" s="73"/>
      <c r="H44" s="78"/>
    </row>
    <row r="45" spans="1:8" s="69" customFormat="1" x14ac:dyDescent="0.3">
      <c r="A45" s="68"/>
      <c r="B45" s="1" t="s">
        <v>71</v>
      </c>
      <c r="C45" s="1"/>
      <c r="D45" s="45">
        <f>F22*C10*C6</f>
        <v>62500</v>
      </c>
      <c r="E45" s="1"/>
      <c r="F45" s="1"/>
      <c r="G45" s="73"/>
      <c r="H45" s="78"/>
    </row>
    <row r="46" spans="1:8" s="69" customFormat="1" x14ac:dyDescent="0.3">
      <c r="A46" s="68"/>
      <c r="B46" s="1" t="s">
        <v>101</v>
      </c>
      <c r="C46" s="1"/>
      <c r="D46" s="50">
        <f>ROUNDUP(IF(C10=Datos!A44,D45/Datos!B44,IF(C10=Datos!A45,D45/Datos!B45,IF(C10=Datos!A46,D45/Datos!B46,IF(C10=Datos!A47,D45/Datos!B47)))),0)</f>
        <v>114</v>
      </c>
      <c r="E46" s="1"/>
      <c r="F46" s="67">
        <f>IF(C10=Datos!A44,D46*Datos!D44,IF(C10=Datos!A45,Calculo!D46*Datos!D45,IF(C10=Datos!A46,Calculo!D46*Datos!D46,IF(C10=Datos!A47,Calculo!D46*Datos!D47))))</f>
        <v>14734500</v>
      </c>
      <c r="G46" s="73"/>
      <c r="H46" s="78"/>
    </row>
    <row r="47" spans="1:8" x14ac:dyDescent="0.3">
      <c r="A47" s="7"/>
      <c r="B47" s="8" t="s">
        <v>72</v>
      </c>
      <c r="D47" s="45">
        <f>F23*C10*C6</f>
        <v>125000</v>
      </c>
      <c r="G47" s="9"/>
    </row>
    <row r="48" spans="1:8" x14ac:dyDescent="0.3">
      <c r="A48" s="7"/>
      <c r="B48" s="1" t="s">
        <v>101</v>
      </c>
      <c r="D48" s="50">
        <f>ROUNDUP(IF(C10=Datos!A44,D47/Datos!B44,IF(C10=Datos!A45,D47/Datos!B45,IF(C10=Datos!A46,D47/Datos!B46,IF(C10=Datos!A47,D47/Datos!B47)))),0)</f>
        <v>228</v>
      </c>
      <c r="F48" s="67">
        <f>IF(C10=Datos!A44,D48*Datos!D44,IF(C10=Datos!A45,Calculo!D48*Datos!D45,IF(C10=Datos!A46,Calculo!D48*Datos!D46,IF(C10=Datos!A47,Calculo!D48*Datos!D47))))</f>
        <v>29469000</v>
      </c>
      <c r="G48" s="9"/>
    </row>
    <row r="49" spans="1:8" x14ac:dyDescent="0.3">
      <c r="A49" s="7"/>
      <c r="D49" s="44"/>
      <c r="G49" s="9"/>
    </row>
    <row r="50" spans="1:8" x14ac:dyDescent="0.3">
      <c r="A50" s="7"/>
      <c r="B50" s="8" t="s">
        <v>115</v>
      </c>
      <c r="D50" s="44"/>
      <c r="G50" s="9"/>
    </row>
    <row r="51" spans="1:8" x14ac:dyDescent="0.3">
      <c r="A51" s="7"/>
      <c r="B51" s="1" t="s">
        <v>113</v>
      </c>
      <c r="D51" s="45">
        <f>((C13-C8)/2)*1*C6</f>
        <v>300000</v>
      </c>
      <c r="G51" s="9"/>
    </row>
    <row r="52" spans="1:8" x14ac:dyDescent="0.3">
      <c r="A52" s="7"/>
      <c r="B52" s="1" t="s">
        <v>114</v>
      </c>
      <c r="D52" s="50">
        <f>ROUND(IF(C10=Datos!A51,Calculo!D51/Datos!B51,IF(C10=Datos!A52,Calculo!D51/Datos!B52,IF(C10=Datos!A53,Calculo!D51/Datos!B53,IF(C10=Datos!A54,Calculo!D51/Datos!B54)))),0)</f>
        <v>167</v>
      </c>
      <c r="F52" s="67">
        <f>IF(C10=Datos!A51,D52*Datos!D51,IF(C10=Datos!A52,Calculo!D52*Datos!D52,IF(C10=Datos!A53,Calculo!D52*Datos!D53,IF(C10=Datos!A54,Calculo!D52*Datos!D54))))</f>
        <v>52605000</v>
      </c>
      <c r="G52" s="9"/>
    </row>
    <row r="53" spans="1:8" x14ac:dyDescent="0.3">
      <c r="A53" s="7"/>
      <c r="B53" s="1" t="s">
        <v>69</v>
      </c>
      <c r="D53" s="45">
        <f>C8*2*2*C6</f>
        <v>600000</v>
      </c>
      <c r="G53" s="9"/>
    </row>
    <row r="54" spans="1:8" x14ac:dyDescent="0.3">
      <c r="A54" s="7"/>
      <c r="B54" s="1" t="s">
        <v>98</v>
      </c>
      <c r="D54" s="50">
        <f>ROUND(D53/2/Datos!B57,0)</f>
        <v>150</v>
      </c>
      <c r="F54" s="67">
        <f>D54*Datos!D57</f>
        <v>48501000</v>
      </c>
      <c r="G54" s="9"/>
    </row>
    <row r="55" spans="1:8" x14ac:dyDescent="0.3">
      <c r="A55" s="7"/>
      <c r="B55" s="1" t="s">
        <v>99</v>
      </c>
      <c r="D55" s="50">
        <f>ROUND(D53/2/Datos!B58,0)</f>
        <v>300</v>
      </c>
      <c r="F55" s="67">
        <f>D55*Datos!D58</f>
        <v>65499000</v>
      </c>
      <c r="G55" s="9"/>
    </row>
    <row r="56" spans="1:8" x14ac:dyDescent="0.3">
      <c r="A56" s="7"/>
      <c r="D56" s="45"/>
      <c r="G56" s="9"/>
    </row>
    <row r="57" spans="1:8" x14ac:dyDescent="0.3">
      <c r="A57" s="7"/>
      <c r="B57" s="8" t="s">
        <v>70</v>
      </c>
      <c r="D57" s="45"/>
      <c r="G57" s="9"/>
    </row>
    <row r="58" spans="1:8" x14ac:dyDescent="0.3">
      <c r="A58" s="7"/>
      <c r="B58" s="1" t="s">
        <v>78</v>
      </c>
      <c r="D58" s="54" t="s">
        <v>76</v>
      </c>
      <c r="G58" s="9"/>
    </row>
    <row r="59" spans="1:8" x14ac:dyDescent="0.3">
      <c r="A59" s="7"/>
      <c r="B59" s="1" t="s">
        <v>79</v>
      </c>
      <c r="D59" s="45">
        <f>IF(D58=Datos!A35,C6/Datos!B35*C26,IF(D58=Datos!A36,C6/Datos!B36*C26,IF(D58=Datos!A37,C6/Datos!B37*C26)))</f>
        <v>3500</v>
      </c>
      <c r="G59" s="9"/>
    </row>
    <row r="60" spans="1:8" x14ac:dyDescent="0.3">
      <c r="A60" s="7"/>
      <c r="B60" s="1" t="s">
        <v>95</v>
      </c>
      <c r="D60" s="50">
        <f>ROUND(D59/50,0)</f>
        <v>70</v>
      </c>
      <c r="F60" s="67">
        <f>D60*Datos!D35</f>
        <v>46835810</v>
      </c>
      <c r="G60" s="9"/>
    </row>
    <row r="61" spans="1:8" x14ac:dyDescent="0.3">
      <c r="A61" s="7"/>
      <c r="D61" s="45"/>
      <c r="G61" s="9"/>
    </row>
    <row r="62" spans="1:8" x14ac:dyDescent="0.3">
      <c r="A62" s="7"/>
      <c r="B62" s="8" t="s">
        <v>80</v>
      </c>
      <c r="D62" s="45"/>
      <c r="G62" s="9"/>
    </row>
    <row r="63" spans="1:8" s="69" customFormat="1" x14ac:dyDescent="0.3">
      <c r="A63" s="68"/>
      <c r="B63" s="69" t="s">
        <v>87</v>
      </c>
      <c r="C63" s="70">
        <f>(C13*Datos!B40*C6)/1000</f>
        <v>33750</v>
      </c>
      <c r="D63" s="71">
        <f>ROUND(C63/175,0)</f>
        <v>193</v>
      </c>
      <c r="F63" s="72">
        <f>(D63*Datos!D40)</f>
        <v>357053281</v>
      </c>
      <c r="G63" s="73"/>
      <c r="H63" s="78"/>
    </row>
    <row r="64" spans="1:8" x14ac:dyDescent="0.3">
      <c r="A64" s="7"/>
      <c r="B64" s="1" t="s">
        <v>88</v>
      </c>
      <c r="C64" s="66">
        <f>(C13*Datos!B41*C6)/1000</f>
        <v>52500</v>
      </c>
      <c r="D64" s="57">
        <f>ROUND(C64/175,0)</f>
        <v>300</v>
      </c>
      <c r="F64" s="67">
        <f>(D64*Datos!D40)</f>
        <v>555005100</v>
      </c>
      <c r="G64" s="9"/>
    </row>
    <row r="65" spans="1:8" ht="13.65" customHeight="1" x14ac:dyDescent="0.3">
      <c r="A65" s="14"/>
      <c r="B65" s="15"/>
      <c r="C65" s="15"/>
      <c r="D65" s="15"/>
      <c r="E65" s="15"/>
      <c r="F65" s="48"/>
      <c r="G65" s="16"/>
    </row>
    <row r="66" spans="1:8" ht="10" customHeight="1" x14ac:dyDescent="0.3"/>
    <row r="67" spans="1:8" x14ac:dyDescent="0.3">
      <c r="E67" s="8" t="s">
        <v>117</v>
      </c>
      <c r="F67" s="74">
        <f>F48+F52+F54+F55+F60+F64</f>
        <v>797914910</v>
      </c>
    </row>
    <row r="68" spans="1:8" s="24" customFormat="1" ht="10.5" x14ac:dyDescent="0.25">
      <c r="H68" s="79"/>
    </row>
    <row r="69" spans="1:8" s="24" customFormat="1" ht="10.5" x14ac:dyDescent="0.25">
      <c r="C69" s="31"/>
      <c r="H69" s="79"/>
    </row>
    <row r="70" spans="1:8" s="24" customFormat="1" ht="10.5" x14ac:dyDescent="0.25">
      <c r="H70" s="79"/>
    </row>
    <row r="71" spans="1:8" s="24" customFormat="1" ht="10.5" x14ac:dyDescent="0.25">
      <c r="H71" s="79"/>
    </row>
    <row r="72" spans="1:8" s="24" customFormat="1" ht="10.5" x14ac:dyDescent="0.25">
      <c r="H72" s="79"/>
    </row>
    <row r="73" spans="1:8" s="24" customFormat="1" ht="10.5" x14ac:dyDescent="0.25">
      <c r="H73" s="79"/>
    </row>
    <row r="74" spans="1:8" s="24" customFormat="1" ht="10.5" x14ac:dyDescent="0.25">
      <c r="H74" s="79"/>
    </row>
    <row r="75" spans="1:8" s="24" customFormat="1" ht="10.5" x14ac:dyDescent="0.25">
      <c r="H75" s="79"/>
    </row>
  </sheetData>
  <mergeCells count="2">
    <mergeCell ref="B17:C17"/>
    <mergeCell ref="E17:F17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scale="77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5D47F85C-9EA5-4598-8DEE-83C94C85347B}">
          <x14:formula1>
            <xm:f>Datos!$B$4:$B$6</xm:f>
          </x14:formula1>
          <xm:sqref>C20</xm:sqref>
        </x14:dataValidation>
        <x14:dataValidation type="list" allowBlank="1" showInputMessage="1" showErrorMessage="1" xr:uid="{3C90D79E-20D0-49C8-BDA3-492A694E6481}">
          <x14:formula1>
            <xm:f>Datos!$A$35:$A$37</xm:f>
          </x14:formula1>
          <xm:sqref>D58</xm:sqref>
        </x14:dataValidation>
        <x14:dataValidation type="list" allowBlank="1" showInputMessage="1" showErrorMessage="1" xr:uid="{28926278-106F-41F5-AC87-94A1A2CFF5FE}">
          <x14:formula1>
            <xm:f>Datos!$A$51:$A$54</xm:f>
          </x14:formula1>
          <xm:sqref>C10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843D4-CC18-454D-B746-B84DF03C016C}">
  <dimension ref="A1:K60"/>
  <sheetViews>
    <sheetView showGridLines="0" zoomScale="85" zoomScaleNormal="85" workbookViewId="0">
      <selection activeCell="B41" sqref="B41"/>
    </sheetView>
  </sheetViews>
  <sheetFormatPr baseColWidth="10" defaultColWidth="11.1796875" defaultRowHeight="13" x14ac:dyDescent="0.3"/>
  <cols>
    <col min="1" max="1" width="24.26953125" style="1" bestFit="1" customWidth="1"/>
    <col min="2" max="2" width="20.7265625" style="1" customWidth="1"/>
    <col min="3" max="3" width="14.1796875" style="1" bestFit="1" customWidth="1"/>
    <col min="4" max="4" width="12.08984375" style="59" bestFit="1" customWidth="1"/>
    <col min="5" max="5" width="8.1796875" style="1" bestFit="1" customWidth="1"/>
    <col min="6" max="7" width="11.1796875" style="1"/>
    <col min="8" max="8" width="16.6328125" style="1" bestFit="1" customWidth="1"/>
    <col min="9" max="9" width="14.1796875" style="1" bestFit="1" customWidth="1"/>
    <col min="10" max="10" width="12.26953125" style="1" bestFit="1" customWidth="1"/>
    <col min="11" max="11" width="13.26953125" style="1" bestFit="1" customWidth="1"/>
    <col min="12" max="16384" width="11.1796875" style="1"/>
  </cols>
  <sheetData>
    <row r="1" spans="1:11" x14ac:dyDescent="0.3">
      <c r="A1" s="8" t="s">
        <v>53</v>
      </c>
    </row>
    <row r="3" spans="1:11" x14ac:dyDescent="0.3">
      <c r="A3" s="39" t="s">
        <v>26</v>
      </c>
      <c r="B3" s="39" t="s">
        <v>25</v>
      </c>
      <c r="C3" s="39" t="s">
        <v>23</v>
      </c>
      <c r="D3" s="60" t="s">
        <v>27</v>
      </c>
      <c r="E3" s="39" t="s">
        <v>28</v>
      </c>
      <c r="F3" s="40" t="s">
        <v>34</v>
      </c>
      <c r="G3" s="40" t="s">
        <v>35</v>
      </c>
      <c r="H3" s="40" t="s">
        <v>39</v>
      </c>
      <c r="I3" s="40" t="s">
        <v>40</v>
      </c>
      <c r="J3" s="40" t="s">
        <v>41</v>
      </c>
      <c r="K3" s="40" t="s">
        <v>52</v>
      </c>
    </row>
    <row r="4" spans="1:11" x14ac:dyDescent="0.3">
      <c r="A4" s="23" t="s">
        <v>22</v>
      </c>
      <c r="B4" s="30" t="s">
        <v>18</v>
      </c>
      <c r="C4" s="30">
        <v>15</v>
      </c>
      <c r="D4" s="61">
        <v>0.8</v>
      </c>
      <c r="E4" s="30">
        <v>4</v>
      </c>
      <c r="F4" s="30">
        <v>25</v>
      </c>
      <c r="G4" s="30">
        <f>F4*24</f>
        <v>600</v>
      </c>
      <c r="H4" s="30">
        <f>F4*3</f>
        <v>75</v>
      </c>
      <c r="I4" s="30">
        <v>2.5</v>
      </c>
      <c r="J4" s="30">
        <f>F4*3</f>
        <v>75</v>
      </c>
      <c r="K4" s="30">
        <v>25</v>
      </c>
    </row>
    <row r="5" spans="1:11" x14ac:dyDescent="0.3">
      <c r="A5" s="23" t="s">
        <v>22</v>
      </c>
      <c r="B5" s="30" t="s">
        <v>17</v>
      </c>
      <c r="C5" s="30">
        <v>20</v>
      </c>
      <c r="D5" s="61">
        <v>1</v>
      </c>
      <c r="E5" s="30">
        <v>5</v>
      </c>
      <c r="F5" s="30">
        <v>27</v>
      </c>
      <c r="G5" s="30">
        <f t="shared" ref="G5:G6" si="0">F5*24</f>
        <v>648</v>
      </c>
      <c r="H5" s="30">
        <f t="shared" ref="H5:H6" si="1">F5*3</f>
        <v>81</v>
      </c>
      <c r="I5" s="30">
        <v>2.7</v>
      </c>
      <c r="J5" s="30">
        <f t="shared" ref="J5:J6" si="2">F5*3</f>
        <v>81</v>
      </c>
      <c r="K5" s="30">
        <v>27</v>
      </c>
    </row>
    <row r="6" spans="1:11" x14ac:dyDescent="0.3">
      <c r="A6" s="23" t="s">
        <v>22</v>
      </c>
      <c r="B6" s="30" t="s">
        <v>16</v>
      </c>
      <c r="C6" s="30">
        <v>30</v>
      </c>
      <c r="D6" s="61">
        <v>1.2</v>
      </c>
      <c r="E6" s="30">
        <v>6</v>
      </c>
      <c r="F6" s="30">
        <v>30</v>
      </c>
      <c r="G6" s="30">
        <f t="shared" si="0"/>
        <v>720</v>
      </c>
      <c r="H6" s="30">
        <f t="shared" si="1"/>
        <v>90</v>
      </c>
      <c r="I6" s="30">
        <v>3</v>
      </c>
      <c r="J6" s="30">
        <f t="shared" si="2"/>
        <v>90</v>
      </c>
      <c r="K6" s="30">
        <v>30</v>
      </c>
    </row>
    <row r="8" spans="1:11" x14ac:dyDescent="0.3">
      <c r="A8" s="40" t="s">
        <v>32</v>
      </c>
      <c r="B8" s="83" t="s">
        <v>33</v>
      </c>
      <c r="C8" s="83"/>
      <c r="D8" s="83"/>
    </row>
    <row r="9" spans="1:11" x14ac:dyDescent="0.3">
      <c r="A9" s="41" t="s">
        <v>36</v>
      </c>
      <c r="B9" s="88" t="s">
        <v>29</v>
      </c>
      <c r="C9" s="88"/>
      <c r="D9" s="88"/>
    </row>
    <row r="10" spans="1:11" x14ac:dyDescent="0.3">
      <c r="A10" s="41" t="s">
        <v>37</v>
      </c>
      <c r="B10" s="88" t="s">
        <v>30</v>
      </c>
      <c r="C10" s="88"/>
      <c r="D10" s="88"/>
    </row>
    <row r="11" spans="1:11" x14ac:dyDescent="0.3">
      <c r="A11" s="41" t="s">
        <v>38</v>
      </c>
      <c r="B11" s="88" t="s">
        <v>31</v>
      </c>
      <c r="C11" s="88"/>
      <c r="D11" s="88"/>
    </row>
    <row r="13" spans="1:11" x14ac:dyDescent="0.3">
      <c r="A13" s="87" t="s">
        <v>47</v>
      </c>
      <c r="B13" s="87"/>
      <c r="C13" s="84" t="s">
        <v>46</v>
      </c>
      <c r="D13" s="85"/>
      <c r="E13" s="85"/>
      <c r="F13" s="86"/>
    </row>
    <row r="14" spans="1:11" x14ac:dyDescent="0.3">
      <c r="A14" s="87"/>
      <c r="B14" s="87"/>
      <c r="C14" s="40" t="s">
        <v>42</v>
      </c>
      <c r="D14" s="62" t="s">
        <v>43</v>
      </c>
      <c r="E14" s="40" t="s">
        <v>44</v>
      </c>
      <c r="F14" s="40" t="s">
        <v>45</v>
      </c>
    </row>
    <row r="15" spans="1:11" x14ac:dyDescent="0.3">
      <c r="A15" s="30">
        <v>40</v>
      </c>
      <c r="B15" s="30">
        <v>60</v>
      </c>
      <c r="C15" s="30">
        <v>2</v>
      </c>
      <c r="D15" s="61">
        <v>2</v>
      </c>
      <c r="E15" s="30">
        <v>6</v>
      </c>
      <c r="F15" s="30">
        <v>2</v>
      </c>
    </row>
    <row r="16" spans="1:11" x14ac:dyDescent="0.3">
      <c r="A16" s="30">
        <v>61</v>
      </c>
      <c r="B16" s="30">
        <v>80</v>
      </c>
      <c r="C16" s="30">
        <v>3</v>
      </c>
      <c r="D16" s="61">
        <v>3</v>
      </c>
      <c r="E16" s="30">
        <v>7</v>
      </c>
      <c r="F16" s="30">
        <v>2</v>
      </c>
    </row>
    <row r="17" spans="1:6" x14ac:dyDescent="0.3">
      <c r="A17" s="30">
        <v>81</v>
      </c>
      <c r="B17" s="30">
        <v>100</v>
      </c>
      <c r="C17" s="30">
        <v>4</v>
      </c>
      <c r="D17" s="61">
        <v>4</v>
      </c>
      <c r="E17" s="30">
        <v>8</v>
      </c>
      <c r="F17" s="30">
        <v>3</v>
      </c>
    </row>
    <row r="18" spans="1:6" x14ac:dyDescent="0.3">
      <c r="A18" s="30">
        <v>101</v>
      </c>
      <c r="B18" s="30">
        <v>120</v>
      </c>
      <c r="C18" s="30">
        <v>5</v>
      </c>
      <c r="D18" s="61">
        <v>5</v>
      </c>
      <c r="E18" s="30">
        <v>9</v>
      </c>
      <c r="F18" s="30">
        <v>3</v>
      </c>
    </row>
    <row r="19" spans="1:6" x14ac:dyDescent="0.3">
      <c r="A19" s="30">
        <v>121</v>
      </c>
      <c r="B19" s="30">
        <v>140</v>
      </c>
      <c r="C19" s="30">
        <v>6</v>
      </c>
      <c r="D19" s="61">
        <v>6</v>
      </c>
      <c r="E19" s="30">
        <v>10</v>
      </c>
      <c r="F19" s="30">
        <v>4</v>
      </c>
    </row>
    <row r="20" spans="1:6" x14ac:dyDescent="0.3">
      <c r="A20" s="30">
        <v>141</v>
      </c>
      <c r="B20" s="30">
        <v>160</v>
      </c>
      <c r="C20" s="30">
        <v>7</v>
      </c>
      <c r="D20" s="61">
        <v>7</v>
      </c>
      <c r="E20" s="30">
        <v>11</v>
      </c>
      <c r="F20" s="30">
        <v>4</v>
      </c>
    </row>
    <row r="21" spans="1:6" x14ac:dyDescent="0.3">
      <c r="A21" s="30">
        <v>161</v>
      </c>
      <c r="B21" s="30">
        <v>180</v>
      </c>
      <c r="C21" s="30">
        <v>8</v>
      </c>
      <c r="D21" s="61">
        <v>8</v>
      </c>
      <c r="E21" s="30">
        <v>12</v>
      </c>
      <c r="F21" s="30">
        <v>5</v>
      </c>
    </row>
    <row r="22" spans="1:6" x14ac:dyDescent="0.3">
      <c r="A22" s="30">
        <v>181</v>
      </c>
      <c r="B22" s="30">
        <v>200</v>
      </c>
      <c r="C22" s="30">
        <v>9</v>
      </c>
      <c r="D22" s="61">
        <v>9</v>
      </c>
      <c r="E22" s="30">
        <v>13</v>
      </c>
      <c r="F22" s="30">
        <v>5</v>
      </c>
    </row>
    <row r="24" spans="1:6" x14ac:dyDescent="0.3">
      <c r="A24" s="40" t="s">
        <v>48</v>
      </c>
      <c r="B24" s="83" t="s">
        <v>49</v>
      </c>
      <c r="C24" s="83"/>
    </row>
    <row r="25" spans="1:6" x14ac:dyDescent="0.3">
      <c r="A25" s="40" t="s">
        <v>2</v>
      </c>
      <c r="B25" s="40" t="s">
        <v>50</v>
      </c>
      <c r="C25" s="40" t="s">
        <v>51</v>
      </c>
    </row>
    <row r="26" spans="1:6" x14ac:dyDescent="0.3">
      <c r="A26" s="30">
        <v>8</v>
      </c>
      <c r="B26" s="30">
        <v>20</v>
      </c>
      <c r="C26" s="30">
        <f>B26*3</f>
        <v>60</v>
      </c>
    </row>
    <row r="28" spans="1:6" x14ac:dyDescent="0.3">
      <c r="A28" s="83" t="s">
        <v>55</v>
      </c>
      <c r="B28" s="83"/>
      <c r="C28" s="40" t="s">
        <v>56</v>
      </c>
    </row>
    <row r="29" spans="1:6" x14ac:dyDescent="0.3">
      <c r="A29" s="30">
        <v>0</v>
      </c>
      <c r="B29" s="30">
        <v>25</v>
      </c>
      <c r="C29" s="30">
        <v>2</v>
      </c>
    </row>
    <row r="30" spans="1:6" x14ac:dyDescent="0.3">
      <c r="A30" s="30">
        <v>26</v>
      </c>
      <c r="B30" s="30">
        <v>50</v>
      </c>
      <c r="C30" s="30">
        <v>4</v>
      </c>
    </row>
    <row r="31" spans="1:6" x14ac:dyDescent="0.3">
      <c r="A31" s="30">
        <v>51</v>
      </c>
      <c r="B31" s="30">
        <v>75</v>
      </c>
      <c r="C31" s="30">
        <v>6</v>
      </c>
    </row>
    <row r="32" spans="1:6" x14ac:dyDescent="0.3">
      <c r="A32" s="30">
        <v>76</v>
      </c>
      <c r="B32" s="30">
        <v>100</v>
      </c>
      <c r="C32" s="30">
        <v>8</v>
      </c>
    </row>
    <row r="34" spans="1:6" x14ac:dyDescent="0.3">
      <c r="A34" s="40" t="s">
        <v>73</v>
      </c>
      <c r="B34" s="40" t="s">
        <v>74</v>
      </c>
      <c r="D34" s="64" t="s">
        <v>111</v>
      </c>
    </row>
    <row r="35" spans="1:6" x14ac:dyDescent="0.3">
      <c r="A35" s="30" t="s">
        <v>75</v>
      </c>
      <c r="B35" s="30">
        <v>12</v>
      </c>
      <c r="C35" s="65" t="s">
        <v>112</v>
      </c>
      <c r="D35" s="59">
        <f>669083</f>
        <v>669083</v>
      </c>
    </row>
    <row r="36" spans="1:6" x14ac:dyDescent="0.3">
      <c r="A36" s="30" t="s">
        <v>76</v>
      </c>
      <c r="B36" s="30">
        <v>8</v>
      </c>
    </row>
    <row r="37" spans="1:6" x14ac:dyDescent="0.3">
      <c r="A37" s="30" t="s">
        <v>77</v>
      </c>
      <c r="B37" s="30">
        <v>4</v>
      </c>
    </row>
    <row r="38" spans="1:6" x14ac:dyDescent="0.3">
      <c r="A38" s="32"/>
      <c r="B38" s="32"/>
    </row>
    <row r="39" spans="1:6" x14ac:dyDescent="0.3">
      <c r="A39" s="40" t="s">
        <v>81</v>
      </c>
      <c r="B39" s="40" t="s">
        <v>82</v>
      </c>
    </row>
    <row r="40" spans="1:6" x14ac:dyDescent="0.3">
      <c r="A40" s="30" t="s">
        <v>83</v>
      </c>
      <c r="B40" s="30">
        <v>45</v>
      </c>
      <c r="C40" s="65" t="s">
        <v>110</v>
      </c>
      <c r="D40" s="59">
        <v>1850017</v>
      </c>
    </row>
    <row r="41" spans="1:6" x14ac:dyDescent="0.3">
      <c r="A41" s="30" t="s">
        <v>84</v>
      </c>
      <c r="B41" s="30">
        <v>70</v>
      </c>
    </row>
    <row r="42" spans="1:6" x14ac:dyDescent="0.3">
      <c r="A42" s="32"/>
      <c r="B42" s="32"/>
    </row>
    <row r="43" spans="1:6" x14ac:dyDescent="0.3">
      <c r="A43" s="40" t="s">
        <v>100</v>
      </c>
      <c r="B43" s="40" t="s">
        <v>101</v>
      </c>
    </row>
    <row r="44" spans="1:6" x14ac:dyDescent="0.3">
      <c r="A44" s="51">
        <v>0.1</v>
      </c>
      <c r="B44" s="30">
        <v>550</v>
      </c>
      <c r="C44" s="1">
        <v>5000</v>
      </c>
      <c r="D44" s="59">
        <v>129250</v>
      </c>
      <c r="F44" s="63"/>
    </row>
    <row r="45" spans="1:6" x14ac:dyDescent="0.3">
      <c r="A45" s="51">
        <v>0.12</v>
      </c>
      <c r="B45" s="30">
        <v>550</v>
      </c>
      <c r="C45" s="1">
        <v>4231</v>
      </c>
      <c r="D45" s="59">
        <v>129250</v>
      </c>
      <c r="F45" s="63"/>
    </row>
    <row r="46" spans="1:6" x14ac:dyDescent="0.3">
      <c r="A46" s="51">
        <v>0.15</v>
      </c>
      <c r="B46" s="30">
        <v>550</v>
      </c>
      <c r="C46" s="1">
        <v>3438</v>
      </c>
      <c r="D46" s="59">
        <v>135666.67000000001</v>
      </c>
      <c r="F46" s="63"/>
    </row>
    <row r="47" spans="1:6" x14ac:dyDescent="0.3">
      <c r="A47" s="51">
        <v>0.08</v>
      </c>
      <c r="B47" s="30">
        <v>550</v>
      </c>
      <c r="C47" s="1">
        <v>6110</v>
      </c>
      <c r="D47" s="59">
        <v>135666.67000000001</v>
      </c>
      <c r="F47" s="63"/>
    </row>
    <row r="48" spans="1:6" x14ac:dyDescent="0.3">
      <c r="A48" s="51" t="s">
        <v>108</v>
      </c>
      <c r="B48" s="30">
        <v>550</v>
      </c>
      <c r="D48" s="59">
        <v>123750</v>
      </c>
    </row>
    <row r="49" spans="1:4" x14ac:dyDescent="0.3">
      <c r="A49" s="32"/>
      <c r="B49" s="32"/>
    </row>
    <row r="50" spans="1:4" x14ac:dyDescent="0.3">
      <c r="A50" s="40" t="s">
        <v>109</v>
      </c>
      <c r="B50" s="40" t="s">
        <v>96</v>
      </c>
    </row>
    <row r="51" spans="1:4" x14ac:dyDescent="0.3">
      <c r="A51" s="30">
        <v>0.15</v>
      </c>
      <c r="B51" s="30">
        <v>750</v>
      </c>
      <c r="D51" s="59">
        <v>248752.5</v>
      </c>
    </row>
    <row r="52" spans="1:4" x14ac:dyDescent="0.3">
      <c r="A52" s="51">
        <v>0.1</v>
      </c>
      <c r="B52" s="30">
        <v>1800</v>
      </c>
      <c r="D52" s="59">
        <v>315000</v>
      </c>
    </row>
    <row r="53" spans="1:4" x14ac:dyDescent="0.3">
      <c r="A53" s="30">
        <v>0.12</v>
      </c>
      <c r="B53" s="30">
        <v>1400</v>
      </c>
      <c r="D53" s="59">
        <v>298662</v>
      </c>
    </row>
    <row r="54" spans="1:4" x14ac:dyDescent="0.3">
      <c r="A54" s="30">
        <v>0.08</v>
      </c>
      <c r="B54" s="30">
        <v>2000</v>
      </c>
      <c r="D54" s="59">
        <v>300000</v>
      </c>
    </row>
    <row r="56" spans="1:4" x14ac:dyDescent="0.3">
      <c r="A56" s="40" t="s">
        <v>97</v>
      </c>
      <c r="B56" s="40" t="s">
        <v>96</v>
      </c>
    </row>
    <row r="57" spans="1:4" x14ac:dyDescent="0.3">
      <c r="A57" s="30">
        <v>2.5</v>
      </c>
      <c r="B57" s="30">
        <v>2000</v>
      </c>
      <c r="D57" s="59">
        <v>323340</v>
      </c>
    </row>
    <row r="58" spans="1:4" x14ac:dyDescent="0.3">
      <c r="A58" s="33">
        <v>6.5</v>
      </c>
      <c r="B58" s="30">
        <v>1000</v>
      </c>
      <c r="D58" s="59">
        <v>218330</v>
      </c>
    </row>
    <row r="59" spans="1:4" x14ac:dyDescent="0.3">
      <c r="B59" s="52"/>
    </row>
    <row r="60" spans="1:4" x14ac:dyDescent="0.3">
      <c r="D60" s="75" t="s">
        <v>119</v>
      </c>
    </row>
  </sheetData>
  <mergeCells count="8">
    <mergeCell ref="B8:D8"/>
    <mergeCell ref="B24:C24"/>
    <mergeCell ref="C13:F13"/>
    <mergeCell ref="A13:B14"/>
    <mergeCell ref="A28:B28"/>
    <mergeCell ref="B9:D9"/>
    <mergeCell ref="B10:D10"/>
    <mergeCell ref="B11:D11"/>
  </mergeCells>
  <phoneticPr fontId="1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85480-CF6D-4135-9EE3-27F2A6A295AF}">
  <dimension ref="A1:D116"/>
  <sheetViews>
    <sheetView showGridLines="0" zoomScale="85" zoomScaleNormal="85" zoomScaleSheetLayoutView="85" workbookViewId="0"/>
  </sheetViews>
  <sheetFormatPr baseColWidth="10" defaultRowHeight="14.5" x14ac:dyDescent="0.35"/>
  <cols>
    <col min="1" max="4" width="30.7265625" customWidth="1"/>
  </cols>
  <sheetData>
    <row r="1" spans="1:4" x14ac:dyDescent="0.35">
      <c r="A1" s="17"/>
      <c r="B1" s="18"/>
      <c r="C1" s="18"/>
      <c r="D1" s="19"/>
    </row>
    <row r="2" spans="1:4" x14ac:dyDescent="0.35">
      <c r="A2" s="20"/>
      <c r="D2" s="21"/>
    </row>
    <row r="3" spans="1:4" x14ac:dyDescent="0.35">
      <c r="A3" s="20"/>
      <c r="D3" s="21"/>
    </row>
    <row r="4" spans="1:4" x14ac:dyDescent="0.35">
      <c r="A4" s="20"/>
      <c r="D4" s="21"/>
    </row>
    <row r="5" spans="1:4" x14ac:dyDescent="0.35">
      <c r="A5" s="20"/>
      <c r="D5" s="21"/>
    </row>
    <row r="6" spans="1:4" x14ac:dyDescent="0.35">
      <c r="A6" s="20"/>
      <c r="D6" s="21"/>
    </row>
    <row r="7" spans="1:4" x14ac:dyDescent="0.35">
      <c r="A7" s="20"/>
      <c r="D7" s="21"/>
    </row>
    <row r="8" spans="1:4" x14ac:dyDescent="0.35">
      <c r="A8" s="20"/>
      <c r="D8" s="21"/>
    </row>
    <row r="9" spans="1:4" x14ac:dyDescent="0.35">
      <c r="A9" s="20"/>
      <c r="D9" s="21"/>
    </row>
    <row r="10" spans="1:4" x14ac:dyDescent="0.35">
      <c r="A10" s="20"/>
      <c r="D10" s="21"/>
    </row>
    <row r="11" spans="1:4" x14ac:dyDescent="0.35">
      <c r="A11" s="20"/>
      <c r="D11" s="21"/>
    </row>
    <row r="12" spans="1:4" x14ac:dyDescent="0.35">
      <c r="A12" s="20"/>
      <c r="D12" s="21"/>
    </row>
    <row r="13" spans="1:4" x14ac:dyDescent="0.35">
      <c r="A13" s="20"/>
      <c r="D13" s="21"/>
    </row>
    <row r="14" spans="1:4" x14ac:dyDescent="0.35">
      <c r="A14" s="20"/>
      <c r="D14" s="21"/>
    </row>
    <row r="15" spans="1:4" x14ac:dyDescent="0.35">
      <c r="A15" s="20"/>
      <c r="D15" s="21"/>
    </row>
    <row r="16" spans="1:4" x14ac:dyDescent="0.35">
      <c r="A16" s="20"/>
      <c r="D16" s="21"/>
    </row>
    <row r="17" spans="1:4" x14ac:dyDescent="0.35">
      <c r="A17" s="20"/>
      <c r="D17" s="21"/>
    </row>
    <row r="18" spans="1:4" x14ac:dyDescent="0.35">
      <c r="A18" s="20"/>
      <c r="D18" s="21"/>
    </row>
    <row r="19" spans="1:4" x14ac:dyDescent="0.35">
      <c r="A19" s="20"/>
      <c r="D19" s="21"/>
    </row>
    <row r="20" spans="1:4" x14ac:dyDescent="0.35">
      <c r="A20" s="20"/>
      <c r="D20" s="21"/>
    </row>
    <row r="21" spans="1:4" x14ac:dyDescent="0.35">
      <c r="A21" s="20"/>
      <c r="D21" s="21"/>
    </row>
    <row r="22" spans="1:4" x14ac:dyDescent="0.35">
      <c r="A22" s="20"/>
      <c r="D22" s="21"/>
    </row>
    <row r="23" spans="1:4" x14ac:dyDescent="0.35">
      <c r="A23" s="20"/>
      <c r="D23" s="21"/>
    </row>
    <row r="24" spans="1:4" x14ac:dyDescent="0.35">
      <c r="A24" s="20"/>
      <c r="D24" s="21"/>
    </row>
    <row r="25" spans="1:4" x14ac:dyDescent="0.35">
      <c r="A25" s="20"/>
      <c r="D25" s="21"/>
    </row>
    <row r="26" spans="1:4" x14ac:dyDescent="0.35">
      <c r="A26" s="17"/>
      <c r="B26" s="89"/>
      <c r="C26" s="89"/>
      <c r="D26" s="90"/>
    </row>
    <row r="27" spans="1:4" x14ac:dyDescent="0.35">
      <c r="A27" s="20"/>
      <c r="B27" s="91"/>
      <c r="C27" s="91"/>
      <c r="D27" s="92"/>
    </row>
    <row r="28" spans="1:4" x14ac:dyDescent="0.35">
      <c r="A28" s="20"/>
      <c r="B28" s="91"/>
      <c r="C28" s="91"/>
      <c r="D28" s="92"/>
    </row>
    <row r="29" spans="1:4" x14ac:dyDescent="0.35">
      <c r="A29" s="22"/>
      <c r="B29" s="93"/>
      <c r="C29" s="93"/>
      <c r="D29" s="94"/>
    </row>
    <row r="30" spans="1:4" x14ac:dyDescent="0.35">
      <c r="A30" s="20"/>
      <c r="D30" s="21"/>
    </row>
    <row r="31" spans="1:4" x14ac:dyDescent="0.35">
      <c r="A31" s="20"/>
      <c r="D31" s="21"/>
    </row>
    <row r="32" spans="1:4" x14ac:dyDescent="0.35">
      <c r="A32" s="20"/>
      <c r="D32" s="21"/>
    </row>
    <row r="33" spans="1:4" x14ac:dyDescent="0.35">
      <c r="A33" s="20"/>
      <c r="D33" s="21"/>
    </row>
    <row r="34" spans="1:4" x14ac:dyDescent="0.35">
      <c r="A34" s="20"/>
      <c r="D34" s="21"/>
    </row>
    <row r="35" spans="1:4" x14ac:dyDescent="0.35">
      <c r="A35" s="20"/>
      <c r="D35" s="21"/>
    </row>
    <row r="36" spans="1:4" x14ac:dyDescent="0.35">
      <c r="A36" s="20"/>
      <c r="D36" s="21"/>
    </row>
    <row r="37" spans="1:4" x14ac:dyDescent="0.35">
      <c r="A37" s="20"/>
      <c r="D37" s="21"/>
    </row>
    <row r="38" spans="1:4" x14ac:dyDescent="0.35">
      <c r="A38" s="20"/>
      <c r="D38" s="21"/>
    </row>
    <row r="39" spans="1:4" x14ac:dyDescent="0.35">
      <c r="A39" s="20"/>
      <c r="D39" s="21"/>
    </row>
    <row r="40" spans="1:4" x14ac:dyDescent="0.35">
      <c r="A40" s="20"/>
      <c r="D40" s="21"/>
    </row>
    <row r="41" spans="1:4" x14ac:dyDescent="0.35">
      <c r="A41" s="20"/>
      <c r="D41" s="21"/>
    </row>
    <row r="42" spans="1:4" x14ac:dyDescent="0.35">
      <c r="A42" s="20"/>
      <c r="D42" s="21"/>
    </row>
    <row r="43" spans="1:4" x14ac:dyDescent="0.35">
      <c r="A43" s="20"/>
      <c r="D43" s="21"/>
    </row>
    <row r="44" spans="1:4" x14ac:dyDescent="0.35">
      <c r="A44" s="20"/>
      <c r="D44" s="21"/>
    </row>
    <row r="45" spans="1:4" x14ac:dyDescent="0.35">
      <c r="A45" s="20"/>
      <c r="D45" s="21"/>
    </row>
    <row r="46" spans="1:4" x14ac:dyDescent="0.35">
      <c r="A46" s="20"/>
      <c r="D46" s="21"/>
    </row>
    <row r="47" spans="1:4" x14ac:dyDescent="0.35">
      <c r="A47" s="20"/>
      <c r="D47" s="21"/>
    </row>
    <row r="48" spans="1:4" x14ac:dyDescent="0.35">
      <c r="A48" s="20"/>
      <c r="D48" s="21"/>
    </row>
    <row r="49" spans="1:4" x14ac:dyDescent="0.35">
      <c r="A49" s="20"/>
      <c r="D49" s="21"/>
    </row>
    <row r="50" spans="1:4" x14ac:dyDescent="0.35">
      <c r="A50" s="20"/>
      <c r="D50" s="21"/>
    </row>
    <row r="51" spans="1:4" x14ac:dyDescent="0.35">
      <c r="A51" s="20"/>
      <c r="D51" s="21"/>
    </row>
    <row r="52" spans="1:4" x14ac:dyDescent="0.35">
      <c r="A52" s="20"/>
      <c r="D52" s="21"/>
    </row>
    <row r="53" spans="1:4" x14ac:dyDescent="0.35">
      <c r="A53" s="20"/>
      <c r="D53" s="21"/>
    </row>
    <row r="54" spans="1:4" x14ac:dyDescent="0.35">
      <c r="A54" s="20"/>
      <c r="D54" s="21"/>
    </row>
    <row r="55" spans="1:4" x14ac:dyDescent="0.35">
      <c r="A55" s="17"/>
      <c r="B55" s="89"/>
      <c r="C55" s="89"/>
      <c r="D55" s="90"/>
    </row>
    <row r="56" spans="1:4" x14ac:dyDescent="0.35">
      <c r="A56" s="20"/>
      <c r="B56" s="91"/>
      <c r="C56" s="91"/>
      <c r="D56" s="92"/>
    </row>
    <row r="57" spans="1:4" x14ac:dyDescent="0.35">
      <c r="A57" s="20"/>
      <c r="B57" s="91"/>
      <c r="C57" s="91"/>
      <c r="D57" s="92"/>
    </row>
    <row r="58" spans="1:4" x14ac:dyDescent="0.35">
      <c r="A58" s="22"/>
      <c r="B58" s="93"/>
      <c r="C58" s="93"/>
      <c r="D58" s="94"/>
    </row>
    <row r="59" spans="1:4" x14ac:dyDescent="0.35">
      <c r="A59" s="17"/>
      <c r="B59" s="18"/>
      <c r="C59" s="18"/>
      <c r="D59" s="19"/>
    </row>
    <row r="60" spans="1:4" x14ac:dyDescent="0.35">
      <c r="A60" s="20"/>
      <c r="D60" s="21"/>
    </row>
    <row r="61" spans="1:4" x14ac:dyDescent="0.35">
      <c r="A61" s="20"/>
      <c r="D61" s="21"/>
    </row>
    <row r="62" spans="1:4" x14ac:dyDescent="0.35">
      <c r="A62" s="20"/>
      <c r="D62" s="21"/>
    </row>
    <row r="63" spans="1:4" x14ac:dyDescent="0.35">
      <c r="A63" s="20"/>
      <c r="D63" s="21"/>
    </row>
    <row r="64" spans="1:4" x14ac:dyDescent="0.35">
      <c r="A64" s="20"/>
      <c r="D64" s="21"/>
    </row>
    <row r="65" spans="1:4" x14ac:dyDescent="0.35">
      <c r="A65" s="20"/>
      <c r="D65" s="21"/>
    </row>
    <row r="66" spans="1:4" x14ac:dyDescent="0.35">
      <c r="A66" s="20"/>
      <c r="D66" s="21"/>
    </row>
    <row r="67" spans="1:4" x14ac:dyDescent="0.35">
      <c r="A67" s="20"/>
      <c r="D67" s="21"/>
    </row>
    <row r="68" spans="1:4" x14ac:dyDescent="0.35">
      <c r="A68" s="20"/>
      <c r="D68" s="21"/>
    </row>
    <row r="69" spans="1:4" x14ac:dyDescent="0.35">
      <c r="A69" s="20"/>
      <c r="D69" s="21"/>
    </row>
    <row r="70" spans="1:4" x14ac:dyDescent="0.35">
      <c r="A70" s="20"/>
      <c r="D70" s="21"/>
    </row>
    <row r="71" spans="1:4" x14ac:dyDescent="0.35">
      <c r="A71" s="20"/>
      <c r="D71" s="21"/>
    </row>
    <row r="72" spans="1:4" x14ac:dyDescent="0.35">
      <c r="A72" s="20"/>
      <c r="D72" s="21"/>
    </row>
    <row r="73" spans="1:4" x14ac:dyDescent="0.35">
      <c r="A73" s="20"/>
      <c r="D73" s="21"/>
    </row>
    <row r="74" spans="1:4" x14ac:dyDescent="0.35">
      <c r="A74" s="20"/>
      <c r="D74" s="21"/>
    </row>
    <row r="75" spans="1:4" x14ac:dyDescent="0.35">
      <c r="A75" s="20"/>
      <c r="D75" s="21"/>
    </row>
    <row r="76" spans="1:4" x14ac:dyDescent="0.35">
      <c r="A76" s="20"/>
      <c r="D76" s="21"/>
    </row>
    <row r="77" spans="1:4" x14ac:dyDescent="0.35">
      <c r="A77" s="20"/>
      <c r="D77" s="21"/>
    </row>
    <row r="78" spans="1:4" x14ac:dyDescent="0.35">
      <c r="A78" s="20"/>
      <c r="D78" s="21"/>
    </row>
    <row r="79" spans="1:4" x14ac:dyDescent="0.35">
      <c r="A79" s="20"/>
      <c r="D79" s="21"/>
    </row>
    <row r="80" spans="1:4" x14ac:dyDescent="0.35">
      <c r="A80" s="20"/>
      <c r="D80" s="21"/>
    </row>
    <row r="81" spans="1:4" x14ac:dyDescent="0.35">
      <c r="A81" s="20"/>
      <c r="D81" s="21"/>
    </row>
    <row r="82" spans="1:4" x14ac:dyDescent="0.35">
      <c r="A82" s="20"/>
      <c r="D82" s="21"/>
    </row>
    <row r="83" spans="1:4" x14ac:dyDescent="0.35">
      <c r="A83" s="20"/>
      <c r="D83" s="21"/>
    </row>
    <row r="84" spans="1:4" x14ac:dyDescent="0.35">
      <c r="A84" s="17"/>
      <c r="B84" s="89"/>
      <c r="C84" s="89"/>
      <c r="D84" s="90"/>
    </row>
    <row r="85" spans="1:4" x14ac:dyDescent="0.35">
      <c r="A85" s="20"/>
      <c r="B85" s="91"/>
      <c r="C85" s="91"/>
      <c r="D85" s="92"/>
    </row>
    <row r="86" spans="1:4" x14ac:dyDescent="0.35">
      <c r="A86" s="20"/>
      <c r="B86" s="91"/>
      <c r="C86" s="91"/>
      <c r="D86" s="92"/>
    </row>
    <row r="87" spans="1:4" x14ac:dyDescent="0.35">
      <c r="A87" s="22"/>
      <c r="B87" s="93"/>
      <c r="C87" s="93"/>
      <c r="D87" s="94"/>
    </row>
    <row r="88" spans="1:4" x14ac:dyDescent="0.35">
      <c r="A88" s="20"/>
      <c r="D88" s="21"/>
    </row>
    <row r="89" spans="1:4" x14ac:dyDescent="0.35">
      <c r="A89" s="20"/>
      <c r="D89" s="21"/>
    </row>
    <row r="90" spans="1:4" x14ac:dyDescent="0.35">
      <c r="A90" s="20"/>
      <c r="D90" s="21"/>
    </row>
    <row r="91" spans="1:4" x14ac:dyDescent="0.35">
      <c r="A91" s="20"/>
      <c r="D91" s="21"/>
    </row>
    <row r="92" spans="1:4" x14ac:dyDescent="0.35">
      <c r="A92" s="20"/>
      <c r="D92" s="21"/>
    </row>
    <row r="93" spans="1:4" x14ac:dyDescent="0.35">
      <c r="A93" s="20"/>
      <c r="D93" s="21"/>
    </row>
    <row r="94" spans="1:4" x14ac:dyDescent="0.35">
      <c r="A94" s="20"/>
      <c r="D94" s="21"/>
    </row>
    <row r="95" spans="1:4" x14ac:dyDescent="0.35">
      <c r="A95" s="20"/>
      <c r="D95" s="21"/>
    </row>
    <row r="96" spans="1:4" x14ac:dyDescent="0.35">
      <c r="A96" s="20"/>
      <c r="D96" s="21"/>
    </row>
    <row r="97" spans="1:4" x14ac:dyDescent="0.35">
      <c r="A97" s="20"/>
      <c r="D97" s="21"/>
    </row>
    <row r="98" spans="1:4" x14ac:dyDescent="0.35">
      <c r="A98" s="20"/>
      <c r="D98" s="21"/>
    </row>
    <row r="99" spans="1:4" x14ac:dyDescent="0.35">
      <c r="A99" s="20"/>
      <c r="D99" s="21"/>
    </row>
    <row r="100" spans="1:4" x14ac:dyDescent="0.35">
      <c r="A100" s="20"/>
      <c r="D100" s="21"/>
    </row>
    <row r="101" spans="1:4" x14ac:dyDescent="0.35">
      <c r="A101" s="20"/>
      <c r="D101" s="21"/>
    </row>
    <row r="102" spans="1:4" x14ac:dyDescent="0.35">
      <c r="A102" s="20"/>
      <c r="D102" s="21"/>
    </row>
    <row r="103" spans="1:4" x14ac:dyDescent="0.35">
      <c r="A103" s="20"/>
      <c r="D103" s="21"/>
    </row>
    <row r="104" spans="1:4" x14ac:dyDescent="0.35">
      <c r="A104" s="20"/>
      <c r="D104" s="21"/>
    </row>
    <row r="105" spans="1:4" x14ac:dyDescent="0.35">
      <c r="A105" s="20"/>
      <c r="D105" s="21"/>
    </row>
    <row r="106" spans="1:4" x14ac:dyDescent="0.35">
      <c r="A106" s="20"/>
      <c r="D106" s="21"/>
    </row>
    <row r="107" spans="1:4" x14ac:dyDescent="0.35">
      <c r="A107" s="20"/>
      <c r="D107" s="21"/>
    </row>
    <row r="108" spans="1:4" x14ac:dyDescent="0.35">
      <c r="A108" s="20"/>
      <c r="D108" s="21"/>
    </row>
    <row r="109" spans="1:4" x14ac:dyDescent="0.35">
      <c r="A109" s="20"/>
      <c r="D109" s="21"/>
    </row>
    <row r="110" spans="1:4" x14ac:dyDescent="0.35">
      <c r="A110" s="20"/>
      <c r="D110" s="21"/>
    </row>
    <row r="111" spans="1:4" x14ac:dyDescent="0.35">
      <c r="A111" s="20"/>
      <c r="D111" s="21"/>
    </row>
    <row r="112" spans="1:4" x14ac:dyDescent="0.35">
      <c r="A112" s="20"/>
      <c r="D112" s="21"/>
    </row>
    <row r="113" spans="1:4" x14ac:dyDescent="0.35">
      <c r="A113" s="17"/>
      <c r="B113" s="89"/>
      <c r="C113" s="89"/>
      <c r="D113" s="90"/>
    </row>
    <row r="114" spans="1:4" x14ac:dyDescent="0.35">
      <c r="A114" s="20"/>
      <c r="B114" s="91"/>
      <c r="C114" s="91"/>
      <c r="D114" s="92"/>
    </row>
    <row r="115" spans="1:4" x14ac:dyDescent="0.35">
      <c r="A115" s="20"/>
      <c r="B115" s="91"/>
      <c r="C115" s="91"/>
      <c r="D115" s="92"/>
    </row>
    <row r="116" spans="1:4" x14ac:dyDescent="0.35">
      <c r="A116" s="22"/>
      <c r="B116" s="93"/>
      <c r="C116" s="93"/>
      <c r="D116" s="94"/>
    </row>
  </sheetData>
  <mergeCells count="4">
    <mergeCell ref="B26:D29"/>
    <mergeCell ref="B55:D58"/>
    <mergeCell ref="B84:D87"/>
    <mergeCell ref="B113:D116"/>
  </mergeCells>
  <pageMargins left="0.7" right="0.7" top="0.75" bottom="0.75" header="0.3" footer="0.3"/>
  <pageSetup scale="73" orientation="portrait" r:id="rId1"/>
  <rowBreaks count="1" manualBreakCount="1">
    <brk id="58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Calculo</vt:lpstr>
      <vt:lpstr>Datos</vt:lpstr>
      <vt:lpstr>Fotos</vt:lpstr>
      <vt:lpstr>Calculo!Área_de_impresión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jhon Perez</dc:creator>
  <cp:lastModifiedBy>Jhon Perez</cp:lastModifiedBy>
  <cp:lastPrinted>2017-11-01T16:28:11Z</cp:lastPrinted>
  <dcterms:created xsi:type="dcterms:W3CDTF">2017-09-06T17:07:00Z</dcterms:created>
  <dcterms:modified xsi:type="dcterms:W3CDTF">2023-08-17T21:20:59Z</dcterms:modified>
</cp:coreProperties>
</file>