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hugogomez\OneDrive para la Empresa\Rapidísimo\"/>
    </mc:Choice>
  </mc:AlternateContent>
  <bookViews>
    <workbookView xWindow="0" yWindow="0" windowWidth="15360" windowHeight="5388" firstSheet="1" activeTab="2"/>
  </bookViews>
  <sheets>
    <sheet name="INSTRUCCIONES" sheetId="4" r:id="rId1"/>
    <sheet name="RESUMEN" sheetId="3" r:id="rId2"/>
    <sheet name="EQUIPO BASE" sheetId="1" r:id="rId3"/>
    <sheet name="ADAPTACIONES" sheetId="9" r:id="rId4"/>
    <sheet name="ADAP 1" sheetId="6" r:id="rId5"/>
    <sheet name="ADAP 2" sheetId="7" r:id="rId6"/>
    <sheet name="ADAP 3" sheetId="8" r:id="rId7"/>
    <sheet name="Hoja2" sheetId="2" r:id="rId8"/>
    <sheet name="Datos" sheetId="11" r:id="rId9"/>
    <sheet name="Valor MTL sistema de seguridad" sheetId="10" r:id="rId10"/>
  </sheets>
  <definedNames>
    <definedName name="_xlnm.Print_Area" localSheetId="4">'ADAP 1'!$A$1:$S$80</definedName>
    <definedName name="_xlnm.Print_Area" localSheetId="5">'ADAP 2'!$A$1:$S$80</definedName>
    <definedName name="_xlnm.Print_Area" localSheetId="6">'ADAP 3'!$A$1:$S$80</definedName>
    <definedName name="_xlnm.Print_Area" localSheetId="2">'EQUIPO BASE'!$A$1:$S$80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2" i="8" l="1"/>
  <c r="Q22" i="7"/>
  <c r="Q22" i="6"/>
  <c r="Q23" i="1" l="1"/>
  <c r="F151" i="2"/>
  <c r="I4" i="10" l="1"/>
  <c r="J4" i="10"/>
  <c r="K4" i="10"/>
  <c r="L4" i="10"/>
  <c r="I5" i="10"/>
  <c r="J5" i="10"/>
  <c r="K5" i="10"/>
  <c r="I6" i="10"/>
  <c r="J6" i="10"/>
  <c r="K6" i="10"/>
  <c r="L6" i="10"/>
  <c r="I7" i="10"/>
  <c r="J7" i="10"/>
  <c r="K7" i="10"/>
  <c r="P4" i="10" s="1"/>
  <c r="L7" i="10"/>
  <c r="I8" i="10"/>
  <c r="J8" i="10"/>
  <c r="K8" i="10"/>
  <c r="L8" i="10"/>
  <c r="I9" i="10"/>
  <c r="J9" i="10"/>
  <c r="K9" i="10"/>
  <c r="L9" i="10"/>
  <c r="I10" i="10"/>
  <c r="J10" i="10"/>
  <c r="K10" i="10"/>
  <c r="L10" i="10"/>
  <c r="I11" i="10"/>
  <c r="J11" i="10"/>
  <c r="K11" i="10"/>
  <c r="L11" i="10"/>
  <c r="I12" i="10"/>
  <c r="J12" i="10"/>
  <c r="K12" i="10"/>
  <c r="P7" i="10" s="1"/>
  <c r="L12" i="10"/>
  <c r="I13" i="10"/>
  <c r="O7" i="10" s="1"/>
  <c r="J13" i="10"/>
  <c r="O10" i="10" s="1"/>
  <c r="K13" i="10"/>
  <c r="P5" i="10" s="1"/>
  <c r="L13" i="10"/>
  <c r="D7" i="10" l="1"/>
  <c r="D6" i="10"/>
  <c r="N10" i="10"/>
  <c r="D5" i="10" s="1"/>
  <c r="M10" i="10"/>
  <c r="M7" i="10"/>
  <c r="C4" i="10" s="1"/>
  <c r="N7" i="10"/>
  <c r="C5" i="10" s="1"/>
  <c r="D4" i="10"/>
  <c r="M12" i="10"/>
  <c r="C7" i="10"/>
  <c r="C6" i="10"/>
  <c r="P6" i="10"/>
  <c r="L9" i="9"/>
  <c r="L8" i="9"/>
  <c r="M9" i="10" l="1"/>
  <c r="J6" i="9"/>
  <c r="J7" i="9" s="1"/>
  <c r="M9" i="9"/>
  <c r="M8" i="9"/>
  <c r="M7" i="9"/>
  <c r="M6" i="9"/>
  <c r="J8" i="9" l="1"/>
  <c r="H6" i="9"/>
  <c r="H43" i="1"/>
  <c r="H44" i="1"/>
  <c r="H45" i="1"/>
  <c r="H46" i="1"/>
  <c r="H47" i="1"/>
  <c r="H48" i="1"/>
  <c r="H49" i="1"/>
  <c r="H50" i="1"/>
  <c r="H51" i="1"/>
  <c r="H52" i="1"/>
  <c r="H53" i="1"/>
  <c r="H54" i="1"/>
  <c r="H55" i="1"/>
  <c r="H56" i="1"/>
  <c r="H57" i="1"/>
  <c r="H58" i="1"/>
  <c r="H59" i="1"/>
  <c r="H60" i="1"/>
  <c r="H61" i="1"/>
  <c r="H62" i="1"/>
  <c r="H63" i="1"/>
  <c r="J9" i="9" l="1"/>
  <c r="Q17" i="1"/>
  <c r="F167" i="3" l="1"/>
  <c r="G167" i="3" s="1"/>
  <c r="F166" i="3"/>
  <c r="G166" i="3" s="1"/>
  <c r="F165" i="3"/>
  <c r="G165" i="3" s="1"/>
  <c r="A66" i="3" l="1"/>
  <c r="AI136" i="8"/>
  <c r="AI135" i="8"/>
  <c r="AE135" i="8"/>
  <c r="AI134" i="8"/>
  <c r="AE134" i="8"/>
  <c r="AI133" i="8"/>
  <c r="AD133" i="8"/>
  <c r="AE133" i="8" s="1"/>
  <c r="AI132" i="8"/>
  <c r="AE132" i="8"/>
  <c r="AI131" i="8"/>
  <c r="AE131" i="8"/>
  <c r="AI130" i="8"/>
  <c r="AI129" i="8"/>
  <c r="AI128" i="8"/>
  <c r="AI127" i="8"/>
  <c r="AI126" i="8"/>
  <c r="AI125" i="8"/>
  <c r="AI124" i="8"/>
  <c r="AI123" i="8"/>
  <c r="AI122" i="8"/>
  <c r="AI121" i="8"/>
  <c r="AI120" i="8"/>
  <c r="AI119" i="8"/>
  <c r="AI118" i="8"/>
  <c r="AI117" i="8"/>
  <c r="AI116" i="8"/>
  <c r="AI115" i="8"/>
  <c r="AI114" i="8"/>
  <c r="AE114" i="8"/>
  <c r="AI113" i="8"/>
  <c r="AE113" i="8"/>
  <c r="AI112" i="8"/>
  <c r="AE112" i="8"/>
  <c r="AI111" i="8"/>
  <c r="AE111" i="8"/>
  <c r="AI110" i="8"/>
  <c r="AE110" i="8"/>
  <c r="AI109" i="8"/>
  <c r="AE109" i="8"/>
  <c r="AI108" i="8"/>
  <c r="AE108" i="8"/>
  <c r="AI107" i="8"/>
  <c r="AE107" i="8"/>
  <c r="AI106" i="8"/>
  <c r="AE106" i="8"/>
  <c r="AI105" i="8"/>
  <c r="AE105" i="8"/>
  <c r="AI104" i="8"/>
  <c r="AE104" i="8"/>
  <c r="AI103" i="8"/>
  <c r="AI102" i="8"/>
  <c r="AI101" i="8"/>
  <c r="AD101" i="8"/>
  <c r="AE101" i="8" s="1"/>
  <c r="AI100" i="8"/>
  <c r="AD100" i="8"/>
  <c r="AE100" i="8" s="1"/>
  <c r="AI99" i="8"/>
  <c r="AI98" i="8"/>
  <c r="AD98" i="8"/>
  <c r="AE98" i="8" s="1"/>
  <c r="AI97" i="8"/>
  <c r="AD97" i="8"/>
  <c r="AE97" i="8" s="1"/>
  <c r="AI96" i="8"/>
  <c r="AD96" i="8"/>
  <c r="AE96" i="8" s="1"/>
  <c r="AI95" i="8"/>
  <c r="AE95" i="8"/>
  <c r="AI94" i="8"/>
  <c r="AE94" i="8"/>
  <c r="AI93" i="8"/>
  <c r="AI92" i="8"/>
  <c r="AE92" i="8"/>
  <c r="W68" i="8"/>
  <c r="W67" i="8"/>
  <c r="H63" i="8"/>
  <c r="H42" i="8"/>
  <c r="H41" i="8"/>
  <c r="H40" i="8"/>
  <c r="H39" i="8"/>
  <c r="H38" i="8"/>
  <c r="N37" i="8"/>
  <c r="H37" i="8"/>
  <c r="N36" i="8"/>
  <c r="H36" i="8"/>
  <c r="N35" i="8"/>
  <c r="H35" i="8"/>
  <c r="N34" i="8"/>
  <c r="H34" i="8"/>
  <c r="N33" i="8"/>
  <c r="H33" i="8"/>
  <c r="N32" i="8"/>
  <c r="H32" i="8"/>
  <c r="N31" i="8"/>
  <c r="H31" i="8"/>
  <c r="N30" i="8"/>
  <c r="H30" i="8"/>
  <c r="N29" i="8"/>
  <c r="H29" i="8"/>
  <c r="N28" i="8"/>
  <c r="H28" i="8"/>
  <c r="N27" i="8"/>
  <c r="H27" i="8"/>
  <c r="N26" i="8"/>
  <c r="H26" i="8"/>
  <c r="N25" i="8"/>
  <c r="H25" i="8"/>
  <c r="N24" i="8"/>
  <c r="H24" i="8"/>
  <c r="N23" i="8"/>
  <c r="H23" i="8"/>
  <c r="N22" i="8"/>
  <c r="H22" i="8"/>
  <c r="N21" i="8"/>
  <c r="H21" i="8"/>
  <c r="Y20" i="8"/>
  <c r="Y63" i="8" s="1"/>
  <c r="N20" i="8"/>
  <c r="H20" i="8"/>
  <c r="N19" i="8"/>
  <c r="H19" i="8"/>
  <c r="N18" i="8"/>
  <c r="H18" i="8"/>
  <c r="V17" i="8"/>
  <c r="N17" i="8"/>
  <c r="H17" i="8"/>
  <c r="V16" i="8"/>
  <c r="N16" i="8"/>
  <c r="H16" i="8"/>
  <c r="Y15" i="8"/>
  <c r="X15" i="8"/>
  <c r="X20" i="8" s="1"/>
  <c r="V15" i="8"/>
  <c r="N15" i="8"/>
  <c r="H15" i="8"/>
  <c r="N14" i="8"/>
  <c r="H14" i="8"/>
  <c r="N13" i="8"/>
  <c r="H13" i="8"/>
  <c r="N12" i="8"/>
  <c r="H12" i="8"/>
  <c r="N11" i="8"/>
  <c r="H11" i="8"/>
  <c r="N10" i="8"/>
  <c r="H10" i="8"/>
  <c r="N9" i="8"/>
  <c r="H9" i="8"/>
  <c r="N8" i="8"/>
  <c r="H8" i="8"/>
  <c r="N7" i="8"/>
  <c r="H7" i="8"/>
  <c r="Q16" i="8" s="1"/>
  <c r="N6" i="8"/>
  <c r="H6" i="8"/>
  <c r="R5" i="8"/>
  <c r="R19" i="8" s="1"/>
  <c r="N5" i="8"/>
  <c r="Q17" i="8" s="1"/>
  <c r="Q19" i="8" s="1"/>
  <c r="H5" i="8"/>
  <c r="N4" i="8"/>
  <c r="H4" i="8"/>
  <c r="AI136" i="7"/>
  <c r="AI135" i="7"/>
  <c r="AE135" i="7"/>
  <c r="AI134" i="7"/>
  <c r="AE134" i="7"/>
  <c r="AI133" i="7"/>
  <c r="AD133" i="7"/>
  <c r="AE133" i="7" s="1"/>
  <c r="AI132" i="7"/>
  <c r="AE132" i="7"/>
  <c r="AI131" i="7"/>
  <c r="AE131" i="7"/>
  <c r="AI130" i="7"/>
  <c r="AI129" i="7"/>
  <c r="AI128" i="7"/>
  <c r="AI127" i="7"/>
  <c r="AI126" i="7"/>
  <c r="AI125" i="7"/>
  <c r="AI124" i="7"/>
  <c r="AI123" i="7"/>
  <c r="AI122" i="7"/>
  <c r="AI121" i="7"/>
  <c r="AI120" i="7"/>
  <c r="AI119" i="7"/>
  <c r="AI118" i="7"/>
  <c r="AI117" i="7"/>
  <c r="AI116" i="7"/>
  <c r="AI115" i="7"/>
  <c r="AI114" i="7"/>
  <c r="AE114" i="7"/>
  <c r="AI113" i="7"/>
  <c r="AE113" i="7"/>
  <c r="AI112" i="7"/>
  <c r="AE112" i="7"/>
  <c r="AI111" i="7"/>
  <c r="AE111" i="7"/>
  <c r="AI110" i="7"/>
  <c r="AE110" i="7"/>
  <c r="AI109" i="7"/>
  <c r="AE109" i="7"/>
  <c r="AI108" i="7"/>
  <c r="AE108" i="7"/>
  <c r="AI107" i="7"/>
  <c r="AE107" i="7"/>
  <c r="AI106" i="7"/>
  <c r="AE106" i="7"/>
  <c r="AI105" i="7"/>
  <c r="AE105" i="7"/>
  <c r="AI104" i="7"/>
  <c r="AE104" i="7"/>
  <c r="AI103" i="7"/>
  <c r="AI102" i="7"/>
  <c r="AI101" i="7"/>
  <c r="AD101" i="7"/>
  <c r="AE101" i="7" s="1"/>
  <c r="AI100" i="7"/>
  <c r="AD100" i="7"/>
  <c r="AE100" i="7" s="1"/>
  <c r="AI99" i="7"/>
  <c r="AI98" i="7"/>
  <c r="AD98" i="7"/>
  <c r="AE98" i="7" s="1"/>
  <c r="AI97" i="7"/>
  <c r="AD97" i="7"/>
  <c r="AE97" i="7" s="1"/>
  <c r="AI96" i="7"/>
  <c r="AD96" i="7"/>
  <c r="AE96" i="7" s="1"/>
  <c r="AI95" i="7"/>
  <c r="AE95" i="7"/>
  <c r="AI94" i="7"/>
  <c r="AE94" i="7"/>
  <c r="AI93" i="7"/>
  <c r="AI92" i="7"/>
  <c r="AE92" i="7"/>
  <c r="W68" i="7"/>
  <c r="W67" i="7"/>
  <c r="H63" i="7"/>
  <c r="H42" i="7"/>
  <c r="H41" i="7"/>
  <c r="H40" i="7"/>
  <c r="H39" i="7"/>
  <c r="H38" i="7"/>
  <c r="N37" i="7"/>
  <c r="H37" i="7"/>
  <c r="N36" i="7"/>
  <c r="H36" i="7"/>
  <c r="N35" i="7"/>
  <c r="H35" i="7"/>
  <c r="N34" i="7"/>
  <c r="H34" i="7"/>
  <c r="N33" i="7"/>
  <c r="H33" i="7"/>
  <c r="N32" i="7"/>
  <c r="H32" i="7"/>
  <c r="N31" i="7"/>
  <c r="H31" i="7"/>
  <c r="N30" i="7"/>
  <c r="H30" i="7"/>
  <c r="N29" i="7"/>
  <c r="H29" i="7"/>
  <c r="N28" i="7"/>
  <c r="H28" i="7"/>
  <c r="N27" i="7"/>
  <c r="H27" i="7"/>
  <c r="N26" i="7"/>
  <c r="H26" i="7"/>
  <c r="N25" i="7"/>
  <c r="H25" i="7"/>
  <c r="N24" i="7"/>
  <c r="H24" i="7"/>
  <c r="N23" i="7"/>
  <c r="H23" i="7"/>
  <c r="N22" i="7"/>
  <c r="H22" i="7"/>
  <c r="N21" i="7"/>
  <c r="H21" i="7"/>
  <c r="Y20" i="7"/>
  <c r="Y63" i="7" s="1"/>
  <c r="N20" i="7"/>
  <c r="H20" i="7"/>
  <c r="N19" i="7"/>
  <c r="H19" i="7"/>
  <c r="N18" i="7"/>
  <c r="H18" i="7"/>
  <c r="V17" i="7"/>
  <c r="N17" i="7"/>
  <c r="H17" i="7"/>
  <c r="V16" i="7"/>
  <c r="N16" i="7"/>
  <c r="H16" i="7"/>
  <c r="Y15" i="7"/>
  <c r="X15" i="7"/>
  <c r="X20" i="7" s="1"/>
  <c r="V15" i="7"/>
  <c r="N15" i="7"/>
  <c r="H15" i="7"/>
  <c r="N14" i="7"/>
  <c r="H14" i="7"/>
  <c r="N13" i="7"/>
  <c r="H13" i="7"/>
  <c r="N12" i="7"/>
  <c r="H12" i="7"/>
  <c r="N11" i="7"/>
  <c r="H11" i="7"/>
  <c r="N10" i="7"/>
  <c r="H10" i="7"/>
  <c r="N9" i="7"/>
  <c r="H9" i="7"/>
  <c r="N8" i="7"/>
  <c r="H8" i="7"/>
  <c r="N7" i="7"/>
  <c r="H7" i="7"/>
  <c r="Q16" i="7" s="1"/>
  <c r="N6" i="7"/>
  <c r="H6" i="7"/>
  <c r="R5" i="7"/>
  <c r="R19" i="7" s="1"/>
  <c r="N5" i="7"/>
  <c r="Q17" i="7" s="1"/>
  <c r="Q19" i="7" s="1"/>
  <c r="H5" i="7"/>
  <c r="N4" i="7"/>
  <c r="H4" i="7"/>
  <c r="V18" i="8" l="1"/>
  <c r="V19" i="8" s="1"/>
  <c r="V20" i="8" s="1"/>
  <c r="V18" i="7"/>
  <c r="V19" i="7" s="1"/>
  <c r="V20" i="7" s="1"/>
  <c r="V22" i="7" s="1"/>
  <c r="R22" i="7"/>
  <c r="R20" i="7"/>
  <c r="R21" i="7"/>
  <c r="R20" i="8"/>
  <c r="R22" i="8"/>
  <c r="R21" i="8"/>
  <c r="Q18" i="8"/>
  <c r="AF16" i="8"/>
  <c r="Z20" i="8"/>
  <c r="V63" i="8"/>
  <c r="V22" i="8"/>
  <c r="V21" i="8"/>
  <c r="X63" i="8"/>
  <c r="X22" i="8"/>
  <c r="X21" i="8"/>
  <c r="R18" i="8"/>
  <c r="Y21" i="8"/>
  <c r="Y22" i="8"/>
  <c r="Q18" i="7"/>
  <c r="AF16" i="7"/>
  <c r="Z20" i="7"/>
  <c r="X63" i="7"/>
  <c r="X22" i="7"/>
  <c r="X21" i="7"/>
  <c r="R18" i="7"/>
  <c r="Y21" i="7"/>
  <c r="Y22" i="7"/>
  <c r="F160" i="3"/>
  <c r="R5" i="6"/>
  <c r="R21" i="6" s="1"/>
  <c r="AI136" i="6"/>
  <c r="AI135" i="6"/>
  <c r="AE135" i="6"/>
  <c r="AI134" i="6"/>
  <c r="AE134" i="6"/>
  <c r="AI133" i="6"/>
  <c r="AD133" i="6"/>
  <c r="AE133" i="6" s="1"/>
  <c r="AI132" i="6"/>
  <c r="AE132" i="6"/>
  <c r="AI131" i="6"/>
  <c r="AE131" i="6"/>
  <c r="AI130" i="6"/>
  <c r="AI129" i="6"/>
  <c r="AI128" i="6"/>
  <c r="AI127" i="6"/>
  <c r="AI126" i="6"/>
  <c r="AI125" i="6"/>
  <c r="AI124" i="6"/>
  <c r="AI123" i="6"/>
  <c r="AI122" i="6"/>
  <c r="AI121" i="6"/>
  <c r="AI120" i="6"/>
  <c r="AI119" i="6"/>
  <c r="AI118" i="6"/>
  <c r="AI117" i="6"/>
  <c r="AI116" i="6"/>
  <c r="AI115" i="6"/>
  <c r="AI114" i="6"/>
  <c r="AE114" i="6"/>
  <c r="AI113" i="6"/>
  <c r="AE113" i="6"/>
  <c r="AI112" i="6"/>
  <c r="AE112" i="6"/>
  <c r="AI111" i="6"/>
  <c r="AE111" i="6"/>
  <c r="AI110" i="6"/>
  <c r="AE110" i="6"/>
  <c r="AI109" i="6"/>
  <c r="AE109" i="6"/>
  <c r="AI108" i="6"/>
  <c r="AE108" i="6"/>
  <c r="AI107" i="6"/>
  <c r="AE107" i="6"/>
  <c r="AI106" i="6"/>
  <c r="AE106" i="6"/>
  <c r="AI105" i="6"/>
  <c r="AE105" i="6"/>
  <c r="AI104" i="6"/>
  <c r="AE104" i="6"/>
  <c r="AI103" i="6"/>
  <c r="AI102" i="6"/>
  <c r="AI101" i="6"/>
  <c r="AE101" i="6"/>
  <c r="AD101" i="6"/>
  <c r="AI100" i="6"/>
  <c r="AD100" i="6"/>
  <c r="AE100" i="6" s="1"/>
  <c r="AI99" i="6"/>
  <c r="AI98" i="6"/>
  <c r="AD98" i="6"/>
  <c r="AE98" i="6" s="1"/>
  <c r="AI97" i="6"/>
  <c r="AE97" i="6"/>
  <c r="AD97" i="6"/>
  <c r="AI96" i="6"/>
  <c r="AD96" i="6"/>
  <c r="AE96" i="6" s="1"/>
  <c r="AI95" i="6"/>
  <c r="AE95" i="6"/>
  <c r="AI94" i="6"/>
  <c r="AE94" i="6"/>
  <c r="AI93" i="6"/>
  <c r="AI92" i="6"/>
  <c r="AE92" i="6"/>
  <c r="W68" i="6"/>
  <c r="W67" i="6"/>
  <c r="H63" i="6"/>
  <c r="H42" i="6"/>
  <c r="H41" i="6"/>
  <c r="H40" i="6"/>
  <c r="H39" i="6"/>
  <c r="H38" i="6"/>
  <c r="N37" i="6"/>
  <c r="H37" i="6"/>
  <c r="N36" i="6"/>
  <c r="H36" i="6"/>
  <c r="N35" i="6"/>
  <c r="H35" i="6"/>
  <c r="N34" i="6"/>
  <c r="H34" i="6"/>
  <c r="N33" i="6"/>
  <c r="H33" i="6"/>
  <c r="N32" i="6"/>
  <c r="H32" i="6"/>
  <c r="N31" i="6"/>
  <c r="H31" i="6"/>
  <c r="N30" i="6"/>
  <c r="H30" i="6"/>
  <c r="N29" i="6"/>
  <c r="H29" i="6"/>
  <c r="N28" i="6"/>
  <c r="H28" i="6"/>
  <c r="N27" i="6"/>
  <c r="H27" i="6"/>
  <c r="N26" i="6"/>
  <c r="H26" i="6"/>
  <c r="N25" i="6"/>
  <c r="H25" i="6"/>
  <c r="N24" i="6"/>
  <c r="H24" i="6"/>
  <c r="N23" i="6"/>
  <c r="H23" i="6"/>
  <c r="N22" i="6"/>
  <c r="H22" i="6"/>
  <c r="N21" i="6"/>
  <c r="H21" i="6"/>
  <c r="Y20" i="6"/>
  <c r="Y22" i="6" s="1"/>
  <c r="N20" i="6"/>
  <c r="H20" i="6"/>
  <c r="N19" i="6"/>
  <c r="H19" i="6"/>
  <c r="N18" i="6"/>
  <c r="H18" i="6"/>
  <c r="V17" i="6"/>
  <c r="N17" i="6"/>
  <c r="H17" i="6"/>
  <c r="N16" i="6"/>
  <c r="H16" i="6"/>
  <c r="Y15" i="6"/>
  <c r="X15" i="6"/>
  <c r="X20" i="6" s="1"/>
  <c r="V15" i="6"/>
  <c r="V16" i="6" s="1"/>
  <c r="N15" i="6"/>
  <c r="H15" i="6"/>
  <c r="N14" i="6"/>
  <c r="H14" i="6"/>
  <c r="N13" i="6"/>
  <c r="H13" i="6"/>
  <c r="N12" i="6"/>
  <c r="H12" i="6"/>
  <c r="N11" i="6"/>
  <c r="H11" i="6"/>
  <c r="N10" i="6"/>
  <c r="H10" i="6"/>
  <c r="N9" i="6"/>
  <c r="H9" i="6"/>
  <c r="N8" i="6"/>
  <c r="H8" i="6"/>
  <c r="N7" i="6"/>
  <c r="H7" i="6"/>
  <c r="N6" i="6"/>
  <c r="H6" i="6"/>
  <c r="N5" i="6"/>
  <c r="H5" i="6"/>
  <c r="N4" i="6"/>
  <c r="Q17" i="6" s="1"/>
  <c r="Q19" i="6" s="1"/>
  <c r="H4" i="6"/>
  <c r="R23" i="1"/>
  <c r="R22" i="1"/>
  <c r="R21" i="1"/>
  <c r="R20" i="1"/>
  <c r="R19" i="1"/>
  <c r="X22" i="6" l="1"/>
  <c r="X63" i="6"/>
  <c r="V63" i="7"/>
  <c r="V21" i="7"/>
  <c r="R20" i="6"/>
  <c r="Z63" i="8"/>
  <c r="Z22" i="8"/>
  <c r="Z21" i="8"/>
  <c r="AF131" i="8"/>
  <c r="AF129" i="8"/>
  <c r="AF127" i="8"/>
  <c r="AF125" i="8"/>
  <c r="AF123" i="8"/>
  <c r="AF120" i="8"/>
  <c r="AF113" i="8"/>
  <c r="AF109" i="8"/>
  <c r="AF105" i="8"/>
  <c r="AF101" i="8"/>
  <c r="AF100" i="8"/>
  <c r="AF94" i="8"/>
  <c r="AF92" i="8"/>
  <c r="AE88" i="8"/>
  <c r="AE84" i="8"/>
  <c r="AE80" i="8"/>
  <c r="AE76" i="8"/>
  <c r="AE72" i="8"/>
  <c r="AE68" i="8"/>
  <c r="AE67" i="8"/>
  <c r="AE66" i="8"/>
  <c r="AF136" i="8"/>
  <c r="AF133" i="8"/>
  <c r="AF132" i="8"/>
  <c r="AF114" i="8"/>
  <c r="AF110" i="8"/>
  <c r="AF106" i="8"/>
  <c r="AF98" i="8"/>
  <c r="AF97" i="8"/>
  <c r="AF96" i="8"/>
  <c r="AF95" i="8"/>
  <c r="AE85" i="8"/>
  <c r="AE81" i="8"/>
  <c r="AE77" i="8"/>
  <c r="AE73" i="8"/>
  <c r="AE69" i="8"/>
  <c r="AE63" i="8"/>
  <c r="AE22" i="8"/>
  <c r="AE21" i="8"/>
  <c r="AE20" i="8"/>
  <c r="AE19" i="8"/>
  <c r="AE18" i="8"/>
  <c r="AF126" i="8"/>
  <c r="AF112" i="8"/>
  <c r="AF104" i="8"/>
  <c r="AE87" i="8"/>
  <c r="AE79" i="8"/>
  <c r="AE71" i="8"/>
  <c r="AE65" i="8"/>
  <c r="AF134" i="8"/>
  <c r="AF128" i="8"/>
  <c r="AF107" i="8"/>
  <c r="AE86" i="8"/>
  <c r="AE78" i="8"/>
  <c r="AE70" i="8"/>
  <c r="AE64" i="8"/>
  <c r="AF135" i="8"/>
  <c r="AF118" i="8"/>
  <c r="AF115" i="8"/>
  <c r="AF108" i="8"/>
  <c r="AE83" i="8"/>
  <c r="AE75" i="8"/>
  <c r="AF124" i="8"/>
  <c r="AF111" i="8"/>
  <c r="AE82" i="8"/>
  <c r="AE74" i="8"/>
  <c r="Z63" i="7"/>
  <c r="Z22" i="7"/>
  <c r="Z21" i="7"/>
  <c r="AF131" i="7"/>
  <c r="AF129" i="7"/>
  <c r="AF127" i="7"/>
  <c r="AF125" i="7"/>
  <c r="AF123" i="7"/>
  <c r="AF120" i="7"/>
  <c r="AF113" i="7"/>
  <c r="AF109" i="7"/>
  <c r="AF105" i="7"/>
  <c r="AF101" i="7"/>
  <c r="AF100" i="7"/>
  <c r="AF94" i="7"/>
  <c r="AF92" i="7"/>
  <c r="AE88" i="7"/>
  <c r="AE84" i="7"/>
  <c r="AE80" i="7"/>
  <c r="AE76" i="7"/>
  <c r="AE72" i="7"/>
  <c r="AE68" i="7"/>
  <c r="AE67" i="7"/>
  <c r="AE66" i="7"/>
  <c r="AF136" i="7"/>
  <c r="AF133" i="7"/>
  <c r="AF132" i="7"/>
  <c r="AF114" i="7"/>
  <c r="AF110" i="7"/>
  <c r="AF106" i="7"/>
  <c r="AF98" i="7"/>
  <c r="AF97" i="7"/>
  <c r="AF96" i="7"/>
  <c r="AF95" i="7"/>
  <c r="AE85" i="7"/>
  <c r="AE81" i="7"/>
  <c r="AE77" i="7"/>
  <c r="AE73" i="7"/>
  <c r="AE69" i="7"/>
  <c r="AE63" i="7"/>
  <c r="AE22" i="7"/>
  <c r="AE21" i="7"/>
  <c r="AE20" i="7"/>
  <c r="AE19" i="7"/>
  <c r="AE18" i="7"/>
  <c r="AF126" i="7"/>
  <c r="AF112" i="7"/>
  <c r="AF104" i="7"/>
  <c r="AE87" i="7"/>
  <c r="AE79" i="7"/>
  <c r="AE71" i="7"/>
  <c r="AE65" i="7"/>
  <c r="AF134" i="7"/>
  <c r="AF128" i="7"/>
  <c r="AF107" i="7"/>
  <c r="AE86" i="7"/>
  <c r="AE78" i="7"/>
  <c r="AE70" i="7"/>
  <c r="AE64" i="7"/>
  <c r="AF135" i="7"/>
  <c r="AF118" i="7"/>
  <c r="AF115" i="7"/>
  <c r="AF108" i="7"/>
  <c r="AE83" i="7"/>
  <c r="AE75" i="7"/>
  <c r="AF124" i="7"/>
  <c r="AF111" i="7"/>
  <c r="AE82" i="7"/>
  <c r="AE74" i="7"/>
  <c r="R18" i="6"/>
  <c r="R22" i="6"/>
  <c r="R19" i="6"/>
  <c r="V18" i="6"/>
  <c r="V19" i="6" s="1"/>
  <c r="V20" i="6" s="1"/>
  <c r="V63" i="6" s="1"/>
  <c r="X21" i="6"/>
  <c r="Q16" i="6"/>
  <c r="Y21" i="6"/>
  <c r="Y63" i="6"/>
  <c r="AF16" i="6" l="1"/>
  <c r="AF112" i="6" s="1"/>
  <c r="L7" i="9"/>
  <c r="V22" i="6"/>
  <c r="V21" i="6"/>
  <c r="AI82" i="8"/>
  <c r="AF82" i="8"/>
  <c r="AI83" i="8"/>
  <c r="AF83" i="8"/>
  <c r="AI86" i="8"/>
  <c r="AF86" i="8"/>
  <c r="AI65" i="8"/>
  <c r="AF65" i="8"/>
  <c r="AF19" i="8"/>
  <c r="AI19" i="8"/>
  <c r="AF63" i="8"/>
  <c r="AI63" i="8"/>
  <c r="AF81" i="8"/>
  <c r="AI81" i="8"/>
  <c r="AI66" i="8"/>
  <c r="AF66" i="8"/>
  <c r="AF76" i="8"/>
  <c r="AI76" i="8"/>
  <c r="AI64" i="8"/>
  <c r="AF64" i="8"/>
  <c r="AI71" i="8"/>
  <c r="AF71" i="8"/>
  <c r="AF20" i="8"/>
  <c r="AI20" i="8"/>
  <c r="AF69" i="8"/>
  <c r="AI69" i="8"/>
  <c r="AF85" i="8"/>
  <c r="AI85" i="8"/>
  <c r="AI67" i="8"/>
  <c r="AF67" i="8"/>
  <c r="AI80" i="8"/>
  <c r="AF80" i="8"/>
  <c r="AI70" i="8"/>
  <c r="AF70" i="8"/>
  <c r="AI79" i="8"/>
  <c r="AF79" i="8"/>
  <c r="AF21" i="8"/>
  <c r="AI21" i="8"/>
  <c r="AF73" i="8"/>
  <c r="AI73" i="8"/>
  <c r="AF68" i="8"/>
  <c r="AI68" i="8"/>
  <c r="AF84" i="8"/>
  <c r="AI84" i="8"/>
  <c r="AI74" i="8"/>
  <c r="AF74" i="8"/>
  <c r="AI75" i="8"/>
  <c r="AF75" i="8"/>
  <c r="AI78" i="8"/>
  <c r="AF78" i="8"/>
  <c r="AI87" i="8"/>
  <c r="AF87" i="8"/>
  <c r="AF18" i="8"/>
  <c r="AI18" i="8"/>
  <c r="AF22" i="8"/>
  <c r="AI22" i="8"/>
  <c r="AF77" i="8"/>
  <c r="AI77" i="8"/>
  <c r="AI72" i="8"/>
  <c r="AF72" i="8"/>
  <c r="AI88" i="8"/>
  <c r="AF88" i="8"/>
  <c r="AI82" i="7"/>
  <c r="AF82" i="7"/>
  <c r="AI83" i="7"/>
  <c r="AF83" i="7"/>
  <c r="AI86" i="7"/>
  <c r="AF86" i="7"/>
  <c r="AI65" i="7"/>
  <c r="AF65" i="7"/>
  <c r="AF19" i="7"/>
  <c r="AI19" i="7"/>
  <c r="AF63" i="7"/>
  <c r="AI63" i="7"/>
  <c r="AF81" i="7"/>
  <c r="AI81" i="7"/>
  <c r="AI66" i="7"/>
  <c r="AF66" i="7"/>
  <c r="AF76" i="7"/>
  <c r="AI76" i="7"/>
  <c r="AI64" i="7"/>
  <c r="AF64" i="7"/>
  <c r="AI71" i="7"/>
  <c r="AF71" i="7"/>
  <c r="AF20" i="7"/>
  <c r="AI20" i="7"/>
  <c r="AF69" i="7"/>
  <c r="AI69" i="7"/>
  <c r="AF85" i="7"/>
  <c r="AI85" i="7"/>
  <c r="AI67" i="7"/>
  <c r="AF67" i="7"/>
  <c r="AI80" i="7"/>
  <c r="AF80" i="7"/>
  <c r="AI70" i="7"/>
  <c r="AF70" i="7"/>
  <c r="AI79" i="7"/>
  <c r="AF79" i="7"/>
  <c r="AF21" i="7"/>
  <c r="AI21" i="7"/>
  <c r="AF73" i="7"/>
  <c r="AI73" i="7"/>
  <c r="AF68" i="7"/>
  <c r="AI68" i="7"/>
  <c r="AF84" i="7"/>
  <c r="AI84" i="7"/>
  <c r="AI74" i="7"/>
  <c r="AF74" i="7"/>
  <c r="AI75" i="7"/>
  <c r="AF75" i="7"/>
  <c r="AI78" i="7"/>
  <c r="AF78" i="7"/>
  <c r="AI87" i="7"/>
  <c r="AF87" i="7"/>
  <c r="AF18" i="7"/>
  <c r="AI18" i="7"/>
  <c r="AF22" i="7"/>
  <c r="AI22" i="7"/>
  <c r="AF77" i="7"/>
  <c r="AI77" i="7"/>
  <c r="AI72" i="7"/>
  <c r="AF72" i="7"/>
  <c r="AI88" i="7"/>
  <c r="AF88" i="7"/>
  <c r="Q18" i="6"/>
  <c r="Z20" i="6"/>
  <c r="Z22" i="6" s="1"/>
  <c r="AF104" i="6"/>
  <c r="AE79" i="6"/>
  <c r="AF125" i="6"/>
  <c r="AF120" i="6"/>
  <c r="AF114" i="6"/>
  <c r="AF106" i="6"/>
  <c r="AF128" i="6"/>
  <c r="AF111" i="6"/>
  <c r="AF131" i="6"/>
  <c r="AF127" i="6"/>
  <c r="AE67" i="6"/>
  <c r="AF136" i="6"/>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 i="1"/>
  <c r="AE72" i="6" l="1"/>
  <c r="AI72" i="6" s="1"/>
  <c r="AE65" i="6"/>
  <c r="AE18" i="6"/>
  <c r="AF132" i="6"/>
  <c r="AF129" i="6"/>
  <c r="AF115" i="6"/>
  <c r="AE80" i="6"/>
  <c r="AF80" i="6" s="1"/>
  <c r="AE83" i="6"/>
  <c r="AI83" i="6" s="1"/>
  <c r="AE19" i="6"/>
  <c r="AI19" i="6" s="1"/>
  <c r="AE66" i="6"/>
  <c r="AE22" i="6"/>
  <c r="AI22" i="6" s="1"/>
  <c r="AF135" i="6"/>
  <c r="AE88" i="6"/>
  <c r="AF88" i="6" s="1"/>
  <c r="AF118" i="6"/>
  <c r="AE21" i="6"/>
  <c r="AI21" i="6" s="1"/>
  <c r="AE68" i="6"/>
  <c r="AI68" i="6" s="1"/>
  <c r="AF110" i="6"/>
  <c r="AE64" i="6"/>
  <c r="AF101" i="6"/>
  <c r="AF98" i="6"/>
  <c r="AE63" i="6"/>
  <c r="AF63" i="6" s="1"/>
  <c r="AE84" i="6"/>
  <c r="AE70" i="6"/>
  <c r="AI70" i="6" s="1"/>
  <c r="AE74" i="6"/>
  <c r="AF74" i="6" s="1"/>
  <c r="AE77" i="6"/>
  <c r="AI77" i="6" s="1"/>
  <c r="AF113" i="6"/>
  <c r="AF133" i="6"/>
  <c r="AE73" i="6"/>
  <c r="AF100" i="6"/>
  <c r="AE86" i="6"/>
  <c r="AE82" i="6"/>
  <c r="AF82" i="6" s="1"/>
  <c r="AF96" i="6"/>
  <c r="AF123" i="6"/>
  <c r="AE78" i="6"/>
  <c r="AF95" i="6"/>
  <c r="AF109" i="6"/>
  <c r="AE71" i="6"/>
  <c r="AI71" i="6" s="1"/>
  <c r="AF126" i="6"/>
  <c r="AE69" i="6"/>
  <c r="AF69" i="6" s="1"/>
  <c r="AF94" i="6"/>
  <c r="AE75" i="6"/>
  <c r="AI75" i="6" s="1"/>
  <c r="AF124" i="6"/>
  <c r="AE81" i="6"/>
  <c r="AF81" i="6" s="1"/>
  <c r="AE76" i="6"/>
  <c r="AI76" i="6" s="1"/>
  <c r="AE20" i="6"/>
  <c r="AI20" i="6" s="1"/>
  <c r="AE87" i="6"/>
  <c r="AF87" i="6" s="1"/>
  <c r="AF107" i="6"/>
  <c r="AF105" i="6"/>
  <c r="AF108" i="6"/>
  <c r="AF134" i="6"/>
  <c r="AF97" i="6"/>
  <c r="AF92" i="6"/>
  <c r="AE85" i="6"/>
  <c r="AI85" i="6" s="1"/>
  <c r="Q16" i="1"/>
  <c r="L6" i="9" s="1"/>
  <c r="N6" i="9" s="1"/>
  <c r="N7" i="9" s="1"/>
  <c r="D7" i="9" s="1"/>
  <c r="AI17" i="8"/>
  <c r="AF17" i="8"/>
  <c r="AI17" i="7"/>
  <c r="AF17" i="7"/>
  <c r="Z63" i="6"/>
  <c r="Z21" i="6"/>
  <c r="AI80" i="6"/>
  <c r="AI78" i="6"/>
  <c r="AF78" i="6"/>
  <c r="AI63" i="6"/>
  <c r="AI66" i="6"/>
  <c r="AF66" i="6"/>
  <c r="AF71" i="6"/>
  <c r="AI74" i="6"/>
  <c r="AI88" i="6"/>
  <c r="AF65" i="6"/>
  <c r="AI65" i="6"/>
  <c r="AI73" i="6"/>
  <c r="AF73" i="6"/>
  <c r="AF68" i="6"/>
  <c r="AF79" i="6"/>
  <c r="AI79" i="6"/>
  <c r="AI69" i="6"/>
  <c r="AI81" i="6"/>
  <c r="AF76" i="6"/>
  <c r="AI84" i="6"/>
  <c r="AF84" i="6"/>
  <c r="AF22" i="6"/>
  <c r="AI18" i="6"/>
  <c r="AF18" i="6"/>
  <c r="AI67" i="6"/>
  <c r="AF67" i="6"/>
  <c r="AF19" i="6"/>
  <c r="AF21" i="6"/>
  <c r="AI86" i="6"/>
  <c r="AF86" i="6"/>
  <c r="AF64" i="6"/>
  <c r="AI64" i="6"/>
  <c r="E160" i="3"/>
  <c r="G160" i="3" s="1"/>
  <c r="N24" i="1"/>
  <c r="N25" i="1"/>
  <c r="N26" i="1"/>
  <c r="N27" i="1"/>
  <c r="N28" i="1"/>
  <c r="N29" i="1"/>
  <c r="N30" i="1"/>
  <c r="N31" i="1"/>
  <c r="N32" i="1"/>
  <c r="N33" i="1"/>
  <c r="N34" i="1"/>
  <c r="N35" i="1"/>
  <c r="N36" i="1"/>
  <c r="N37" i="1"/>
  <c r="N23" i="1"/>
  <c r="N5" i="1"/>
  <c r="N6" i="1"/>
  <c r="N7" i="1"/>
  <c r="N8" i="1"/>
  <c r="N9" i="1"/>
  <c r="N10" i="1"/>
  <c r="N11" i="1"/>
  <c r="N12" i="1"/>
  <c r="N13" i="1"/>
  <c r="N14" i="1"/>
  <c r="N15" i="1"/>
  <c r="N16" i="1"/>
  <c r="N17" i="1"/>
  <c r="N18" i="1"/>
  <c r="N19" i="1"/>
  <c r="N20" i="1"/>
  <c r="N21" i="1"/>
  <c r="N22" i="1"/>
  <c r="N4" i="1"/>
  <c r="AF83" i="6" l="1"/>
  <c r="AF75" i="6"/>
  <c r="AF72" i="6"/>
  <c r="AF77" i="6"/>
  <c r="AI82" i="6"/>
  <c r="AI17" i="6" s="1"/>
  <c r="AF70" i="6"/>
  <c r="AF20" i="6"/>
  <c r="AF17" i="6" s="1"/>
  <c r="AF85" i="6"/>
  <c r="AI87" i="6"/>
  <c r="D6" i="9"/>
  <c r="C6" i="9" s="1"/>
  <c r="E6" i="9" s="1"/>
  <c r="G6" i="9" s="1"/>
  <c r="I6" i="9" s="1"/>
  <c r="N8" i="9"/>
  <c r="D8" i="9" s="1"/>
  <c r="C8" i="9" s="1"/>
  <c r="C7" i="9"/>
  <c r="H7" i="9"/>
  <c r="W68" i="1"/>
  <c r="W67" i="1"/>
  <c r="AI123" i="1"/>
  <c r="AI124" i="1"/>
  <c r="AI125" i="1"/>
  <c r="AI126" i="1"/>
  <c r="AI127" i="1"/>
  <c r="AI128" i="1"/>
  <c r="AI129" i="1"/>
  <c r="AI130" i="1"/>
  <c r="AI131" i="1"/>
  <c r="AI132" i="1"/>
  <c r="AI133" i="1"/>
  <c r="AI134" i="1"/>
  <c r="AI135" i="1"/>
  <c r="AI136" i="1"/>
  <c r="AI117" i="1"/>
  <c r="AI118" i="1"/>
  <c r="AI119" i="1"/>
  <c r="AI120" i="1"/>
  <c r="AI121" i="1"/>
  <c r="AI122" i="1"/>
  <c r="AI102" i="1"/>
  <c r="AI103" i="1"/>
  <c r="AI104" i="1"/>
  <c r="AI105" i="1"/>
  <c r="AI106" i="1"/>
  <c r="AI107" i="1"/>
  <c r="AI108" i="1"/>
  <c r="AI109" i="1"/>
  <c r="AI110" i="1"/>
  <c r="AI111" i="1"/>
  <c r="AI112" i="1"/>
  <c r="AI113" i="1"/>
  <c r="AI114" i="1"/>
  <c r="AI115" i="1"/>
  <c r="AI116" i="1"/>
  <c r="AI97" i="1"/>
  <c r="AI98" i="1"/>
  <c r="AI99" i="1"/>
  <c r="AI100" i="1"/>
  <c r="AI101" i="1"/>
  <c r="AI93" i="1"/>
  <c r="AI94" i="1"/>
  <c r="AI95" i="1"/>
  <c r="AI96" i="1"/>
  <c r="AI92" i="1"/>
  <c r="N9" i="9" l="1"/>
  <c r="D9" i="9" s="1"/>
  <c r="H9" i="9" s="1"/>
  <c r="H8" i="9"/>
  <c r="E7" i="9"/>
  <c r="F7" i="9" s="1"/>
  <c r="E8" i="9"/>
  <c r="F8" i="9" s="1"/>
  <c r="D85" i="2"/>
  <c r="D86" i="2"/>
  <c r="D87" i="2"/>
  <c r="D88" i="2"/>
  <c r="D89" i="2"/>
  <c r="D90" i="2"/>
  <c r="D91" i="2"/>
  <c r="D92" i="2"/>
  <c r="D93" i="2"/>
  <c r="D84" i="2"/>
  <c r="G7" i="9" l="1"/>
  <c r="I7" i="9" s="1"/>
  <c r="G8" i="9"/>
  <c r="I8" i="9" s="1"/>
  <c r="C9" i="9"/>
  <c r="F161" i="3"/>
  <c r="E9" i="9" l="1"/>
  <c r="F9" i="9" s="1"/>
  <c r="V17" i="1"/>
  <c r="F162" i="3"/>
  <c r="F159" i="3"/>
  <c r="G163" i="3"/>
  <c r="G9" i="9" l="1"/>
  <c r="I9" i="9" s="1"/>
  <c r="I10" i="9" s="1"/>
  <c r="E161" i="3"/>
  <c r="Q20" i="1"/>
  <c r="G161" i="3" s="1"/>
  <c r="Y15" i="1"/>
  <c r="Y20" i="1" s="1"/>
  <c r="X15" i="1"/>
  <c r="X20" i="1" s="1"/>
  <c r="X63" i="1" l="1"/>
  <c r="X21" i="1"/>
  <c r="Y63" i="1"/>
  <c r="Y21" i="1"/>
  <c r="X22" i="1"/>
  <c r="Y22" i="1"/>
  <c r="V15" i="1"/>
  <c r="V16" i="1" s="1"/>
  <c r="V18" i="1" l="1"/>
  <c r="V19" i="1" s="1"/>
  <c r="V20" i="1" s="1"/>
  <c r="V63" i="1" s="1"/>
  <c r="F146" i="2"/>
  <c r="AY118" i="2" s="1"/>
  <c r="F152" i="2"/>
  <c r="AV124" i="2" s="1"/>
  <c r="AP143" i="2"/>
  <c r="AP142" i="2" s="1"/>
  <c r="F150" i="2"/>
  <c r="AQ147" i="2" s="1"/>
  <c r="F149" i="2"/>
  <c r="AC116" i="2" s="1"/>
  <c r="AH117" i="2" s="1"/>
  <c r="F148" i="2"/>
  <c r="AJ124" i="2" s="1"/>
  <c r="F147" i="2"/>
  <c r="AZ139" i="2" s="1"/>
  <c r="BH115" i="2"/>
  <c r="E85" i="2"/>
  <c r="BJ65" i="2" s="1"/>
  <c r="F85" i="2"/>
  <c r="BK105" i="2" s="1"/>
  <c r="E86" i="2"/>
  <c r="BK86" i="2" s="1"/>
  <c r="F86" i="2"/>
  <c r="BK106" i="2" s="1"/>
  <c r="BI37" i="2"/>
  <c r="E87" i="2"/>
  <c r="AC87" i="2" s="1"/>
  <c r="F87" i="2"/>
  <c r="BK107" i="2" s="1"/>
  <c r="BH118" i="2"/>
  <c r="E88" i="2"/>
  <c r="F88" i="2"/>
  <c r="BK118" i="2" s="1"/>
  <c r="E89" i="2"/>
  <c r="F89" i="2"/>
  <c r="BK119" i="2" s="1"/>
  <c r="BI40" i="2"/>
  <c r="E90" i="2"/>
  <c r="F90" i="2"/>
  <c r="BK120" i="2" s="1"/>
  <c r="E91" i="2"/>
  <c r="F91" i="2"/>
  <c r="BK111" i="2" s="1"/>
  <c r="BI22" i="2"/>
  <c r="E92" i="2"/>
  <c r="F92" i="2"/>
  <c r="BK112" i="2" s="1"/>
  <c r="BI13" i="2"/>
  <c r="E93" i="2"/>
  <c r="F93" i="2"/>
  <c r="BK113" i="2" s="1"/>
  <c r="F84" i="2"/>
  <c r="BK114" i="2" s="1"/>
  <c r="E84" i="2"/>
  <c r="F80" i="2"/>
  <c r="F79" i="2"/>
  <c r="C361" i="2"/>
  <c r="AY286" i="2"/>
  <c r="AJ286" i="2"/>
  <c r="AY285" i="2"/>
  <c r="AV285" i="2"/>
  <c r="BM95" i="2" s="1"/>
  <c r="AU285" i="2"/>
  <c r="AT285" i="2"/>
  <c r="AO285" i="2"/>
  <c r="AN285" i="2"/>
  <c r="AM285" i="2"/>
  <c r="AL285" i="2"/>
  <c r="AK285" i="2"/>
  <c r="AJ285" i="2"/>
  <c r="AI285" i="2"/>
  <c r="AH285" i="2"/>
  <c r="AG285" i="2"/>
  <c r="AF285" i="2"/>
  <c r="AE285" i="2"/>
  <c r="AD285" i="2"/>
  <c r="AC285" i="2"/>
  <c r="AY284" i="2"/>
  <c r="AV284" i="2" s="1"/>
  <c r="AW284" i="2"/>
  <c r="AU284" i="2"/>
  <c r="AT284" i="2"/>
  <c r="AO284" i="2"/>
  <c r="AN284" i="2"/>
  <c r="AM284" i="2"/>
  <c r="AL284" i="2"/>
  <c r="AK284" i="2"/>
  <c r="AJ284" i="2"/>
  <c r="AI284" i="2"/>
  <c r="AH284" i="2"/>
  <c r="AG284" i="2"/>
  <c r="AF284" i="2"/>
  <c r="AE284" i="2"/>
  <c r="AD284" i="2"/>
  <c r="AC284" i="2"/>
  <c r="AY283" i="2"/>
  <c r="AV283" i="2" s="1"/>
  <c r="BM93" i="2" s="1"/>
  <c r="AW283" i="2"/>
  <c r="AU283" i="2"/>
  <c r="AT283" i="2"/>
  <c r="AO283" i="2"/>
  <c r="AN283" i="2"/>
  <c r="AM283" i="2"/>
  <c r="AL283" i="2"/>
  <c r="AK283" i="2"/>
  <c r="AJ283" i="2"/>
  <c r="AI283" i="2"/>
  <c r="AH283" i="2"/>
  <c r="AH286" i="2" s="1"/>
  <c r="BM49" i="2" s="1"/>
  <c r="AG283" i="2"/>
  <c r="AF283" i="2"/>
  <c r="AE283" i="2"/>
  <c r="AD283" i="2"/>
  <c r="AC283" i="2"/>
  <c r="AY282" i="2"/>
  <c r="AU282" i="2" s="1"/>
  <c r="AW282" i="2"/>
  <c r="AV282" i="2"/>
  <c r="BM72" i="2" s="1"/>
  <c r="BN72" i="2" s="1"/>
  <c r="AT282" i="2"/>
  <c r="AO282" i="2"/>
  <c r="AN282" i="2"/>
  <c r="AM282" i="2"/>
  <c r="AL282" i="2"/>
  <c r="AK282" i="2"/>
  <c r="AJ282" i="2"/>
  <c r="AI282" i="2"/>
  <c r="AH282" i="2"/>
  <c r="AG282" i="2"/>
  <c r="AF282" i="2"/>
  <c r="AE282" i="2"/>
  <c r="AD282" i="2"/>
  <c r="AC282" i="2"/>
  <c r="AY281" i="2"/>
  <c r="AV281" i="2"/>
  <c r="AT281" i="2"/>
  <c r="AO281" i="2"/>
  <c r="AN281" i="2"/>
  <c r="AM281" i="2"/>
  <c r="AL281" i="2"/>
  <c r="AK281" i="2"/>
  <c r="AJ281" i="2"/>
  <c r="AI281" i="2"/>
  <c r="AH281" i="2"/>
  <c r="AG281" i="2"/>
  <c r="AF281" i="2"/>
  <c r="AE281" i="2"/>
  <c r="AD281" i="2"/>
  <c r="AC281" i="2"/>
  <c r="AY280" i="2"/>
  <c r="AU280" i="2"/>
  <c r="AT280" i="2"/>
  <c r="AO280" i="2"/>
  <c r="AN280" i="2"/>
  <c r="AM280" i="2"/>
  <c r="AL280" i="2"/>
  <c r="AK280" i="2"/>
  <c r="AJ280" i="2"/>
  <c r="AI280" i="2"/>
  <c r="AH280" i="2"/>
  <c r="AG280" i="2"/>
  <c r="AF280" i="2"/>
  <c r="AE280" i="2"/>
  <c r="AD280" i="2"/>
  <c r="AC280" i="2"/>
  <c r="AY279" i="2"/>
  <c r="AW279" i="2"/>
  <c r="AV279" i="2"/>
  <c r="AU279" i="2"/>
  <c r="AT279" i="2"/>
  <c r="AO279" i="2"/>
  <c r="AN279" i="2"/>
  <c r="AM279" i="2"/>
  <c r="AL279" i="2"/>
  <c r="AK279" i="2"/>
  <c r="AJ279" i="2"/>
  <c r="AI279" i="2"/>
  <c r="AH279" i="2"/>
  <c r="AG279" i="2"/>
  <c r="AF279" i="2"/>
  <c r="AE279" i="2"/>
  <c r="AD279" i="2"/>
  <c r="AC279" i="2"/>
  <c r="AY278" i="2"/>
  <c r="AW278" i="2"/>
  <c r="AV278" i="2"/>
  <c r="BM68" i="2" s="1"/>
  <c r="AT278" i="2"/>
  <c r="AO278" i="2"/>
  <c r="AN278" i="2"/>
  <c r="AM278" i="2"/>
  <c r="AL278" i="2"/>
  <c r="AK278" i="2"/>
  <c r="AJ278" i="2"/>
  <c r="AI278" i="2"/>
  <c r="AH278" i="2"/>
  <c r="AG278" i="2"/>
  <c r="AF278" i="2"/>
  <c r="AE278" i="2"/>
  <c r="AD278" i="2"/>
  <c r="AC278" i="2"/>
  <c r="AY277" i="2"/>
  <c r="AV277" i="2"/>
  <c r="AU277" i="2"/>
  <c r="AT277" i="2"/>
  <c r="AO277" i="2"/>
  <c r="BY75" i="2" s="1"/>
  <c r="AN277" i="2"/>
  <c r="AM277" i="2"/>
  <c r="AL277" i="2"/>
  <c r="AK277" i="2"/>
  <c r="AJ277" i="2"/>
  <c r="AI277" i="2"/>
  <c r="AH277" i="2"/>
  <c r="AG277" i="2"/>
  <c r="AF277" i="2"/>
  <c r="AE277" i="2"/>
  <c r="AD277" i="2"/>
  <c r="AC277" i="2"/>
  <c r="AY276" i="2"/>
  <c r="AU276" i="2"/>
  <c r="AT276" i="2"/>
  <c r="AO276" i="2"/>
  <c r="AN276" i="2"/>
  <c r="AM276" i="2"/>
  <c r="AL276" i="2"/>
  <c r="AK276" i="2"/>
  <c r="AJ276" i="2"/>
  <c r="AI276" i="2"/>
  <c r="AH276" i="2"/>
  <c r="AG276" i="2"/>
  <c r="AF276" i="2"/>
  <c r="AE276" i="2"/>
  <c r="AD276" i="2"/>
  <c r="AC276" i="2"/>
  <c r="AY275" i="2"/>
  <c r="AW275" i="2"/>
  <c r="AV275" i="2"/>
  <c r="AU275" i="2"/>
  <c r="AT275" i="2"/>
  <c r="AO275" i="2"/>
  <c r="AN275" i="2"/>
  <c r="AM275" i="2"/>
  <c r="AL275" i="2"/>
  <c r="AK275" i="2"/>
  <c r="AJ275" i="2"/>
  <c r="AI275" i="2"/>
  <c r="AH275" i="2"/>
  <c r="AG275" i="2"/>
  <c r="AF275" i="2"/>
  <c r="AE275" i="2"/>
  <c r="AD275" i="2"/>
  <c r="AC275" i="2"/>
  <c r="AY274" i="2"/>
  <c r="AU274" i="2" s="1"/>
  <c r="AW274" i="2"/>
  <c r="AV274" i="2"/>
  <c r="AT274" i="2"/>
  <c r="AO274" i="2"/>
  <c r="AN274" i="2"/>
  <c r="AM274" i="2"/>
  <c r="AL274" i="2"/>
  <c r="AK274" i="2"/>
  <c r="AJ274" i="2"/>
  <c r="AI274" i="2"/>
  <c r="AH274" i="2"/>
  <c r="AG274" i="2"/>
  <c r="AF274" i="2"/>
  <c r="AE274" i="2"/>
  <c r="AD274" i="2"/>
  <c r="AC274" i="2"/>
  <c r="AY273" i="2"/>
  <c r="AW273" i="2" s="1"/>
  <c r="AV273" i="2"/>
  <c r="BM83" i="2" s="1"/>
  <c r="BN83" i="2" s="1"/>
  <c r="BP83" i="2" s="1"/>
  <c r="AU273" i="2"/>
  <c r="AT273" i="2"/>
  <c r="AO273" i="2"/>
  <c r="BY71" i="2" s="1"/>
  <c r="AN273" i="2"/>
  <c r="AM273" i="2"/>
  <c r="AL273" i="2"/>
  <c r="AK273" i="2"/>
  <c r="AJ273" i="2"/>
  <c r="AI273" i="2"/>
  <c r="AH273" i="2"/>
  <c r="AG273" i="2"/>
  <c r="AF273" i="2"/>
  <c r="AE273" i="2"/>
  <c r="AD273" i="2"/>
  <c r="AC273" i="2"/>
  <c r="AY272" i="2"/>
  <c r="AT272" i="2"/>
  <c r="AO272" i="2"/>
  <c r="AN272" i="2"/>
  <c r="AM272" i="2"/>
  <c r="AL272" i="2"/>
  <c r="AK272" i="2"/>
  <c r="AJ272" i="2"/>
  <c r="AI272" i="2"/>
  <c r="AH272" i="2"/>
  <c r="AG272" i="2"/>
  <c r="AF272" i="2"/>
  <c r="AE272" i="2"/>
  <c r="AD272" i="2"/>
  <c r="AC272" i="2"/>
  <c r="AY271" i="2"/>
  <c r="AW271" i="2"/>
  <c r="AV271" i="2"/>
  <c r="AU271" i="2"/>
  <c r="AT271" i="2"/>
  <c r="AO271" i="2"/>
  <c r="AN271" i="2"/>
  <c r="AM271" i="2"/>
  <c r="AL271" i="2"/>
  <c r="AK271" i="2"/>
  <c r="AJ271" i="2"/>
  <c r="AI271" i="2"/>
  <c r="AH271" i="2"/>
  <c r="AG271" i="2"/>
  <c r="AF271" i="2"/>
  <c r="AE271" i="2"/>
  <c r="AD271" i="2"/>
  <c r="AC271" i="2"/>
  <c r="AY270" i="2"/>
  <c r="AW270" i="2"/>
  <c r="AV270" i="2"/>
  <c r="BM80" i="2" s="1"/>
  <c r="AT270" i="2"/>
  <c r="AO270" i="2"/>
  <c r="AN270" i="2"/>
  <c r="AM270" i="2"/>
  <c r="AL270" i="2"/>
  <c r="AK270" i="2"/>
  <c r="AJ270" i="2"/>
  <c r="AI270" i="2"/>
  <c r="AH270" i="2"/>
  <c r="AG270" i="2"/>
  <c r="AF270" i="2"/>
  <c r="AE270" i="2"/>
  <c r="AD270" i="2"/>
  <c r="AC270" i="2"/>
  <c r="AY269" i="2"/>
  <c r="AV269" i="2"/>
  <c r="BM79" i="2" s="1"/>
  <c r="AU269" i="2"/>
  <c r="AT269" i="2"/>
  <c r="AO269" i="2"/>
  <c r="BY67" i="2" s="1"/>
  <c r="AN269" i="2"/>
  <c r="AM269" i="2"/>
  <c r="AL269" i="2"/>
  <c r="AK269" i="2"/>
  <c r="AJ269" i="2"/>
  <c r="AI269" i="2"/>
  <c r="AH269" i="2"/>
  <c r="AG269" i="2"/>
  <c r="AF269" i="2"/>
  <c r="AE269" i="2"/>
  <c r="AD269" i="2"/>
  <c r="AC269" i="2"/>
  <c r="AY268" i="2"/>
  <c r="AW268" i="2" s="1"/>
  <c r="BO26" i="2" s="1"/>
  <c r="AT268" i="2"/>
  <c r="AO268" i="2"/>
  <c r="AN268" i="2"/>
  <c r="AM268" i="2"/>
  <c r="AL268" i="2"/>
  <c r="AK268" i="2"/>
  <c r="AJ268" i="2"/>
  <c r="AI268" i="2"/>
  <c r="AH268" i="2"/>
  <c r="AG268" i="2"/>
  <c r="AF268" i="2"/>
  <c r="AE268" i="2"/>
  <c r="AD268" i="2"/>
  <c r="AC268" i="2"/>
  <c r="AY267" i="2"/>
  <c r="C362" i="2" s="1"/>
  <c r="AW267" i="2"/>
  <c r="AV267" i="2"/>
  <c r="AU267" i="2"/>
  <c r="AT267" i="2"/>
  <c r="AO267" i="2"/>
  <c r="AN267" i="2"/>
  <c r="AM267" i="2"/>
  <c r="AL267" i="2"/>
  <c r="AK267" i="2"/>
  <c r="AJ267" i="2"/>
  <c r="AI267" i="2"/>
  <c r="AH267" i="2"/>
  <c r="AG267" i="2"/>
  <c r="AF267" i="2"/>
  <c r="AE267" i="2"/>
  <c r="AD267" i="2"/>
  <c r="AC267" i="2"/>
  <c r="AY266" i="2"/>
  <c r="AU266" i="2" s="1"/>
  <c r="AW266" i="2"/>
  <c r="AV266" i="2"/>
  <c r="AT266" i="2"/>
  <c r="AO266" i="2"/>
  <c r="AN266" i="2"/>
  <c r="AN286" i="2" s="1"/>
  <c r="BM55" i="2" s="1"/>
  <c r="BO55" i="2" s="1"/>
  <c r="AM266" i="2"/>
  <c r="AL266" i="2"/>
  <c r="AK266" i="2"/>
  <c r="AK286" i="2" s="1"/>
  <c r="BM52" i="2" s="1"/>
  <c r="AJ266" i="2"/>
  <c r="AI266" i="2"/>
  <c r="AH266" i="2"/>
  <c r="AG266" i="2"/>
  <c r="AG286" i="2" s="1"/>
  <c r="AF266" i="2"/>
  <c r="AF286" i="2" s="1"/>
  <c r="AE266" i="2"/>
  <c r="AD266" i="2"/>
  <c r="AC266" i="2"/>
  <c r="AC286" i="2" s="1"/>
  <c r="BM44" i="2" s="1"/>
  <c r="BK154" i="2"/>
  <c r="BJ154" i="2"/>
  <c r="BI154" i="2"/>
  <c r="BH154" i="2"/>
  <c r="BK153" i="2"/>
  <c r="BJ153" i="2"/>
  <c r="BI153" i="2"/>
  <c r="BH153" i="2"/>
  <c r="BK152" i="2"/>
  <c r="BJ152" i="2"/>
  <c r="BI152" i="2"/>
  <c r="BH152" i="2"/>
  <c r="BK151" i="2"/>
  <c r="BI151" i="2" s="1"/>
  <c r="BJ151" i="2"/>
  <c r="BH151" i="2"/>
  <c r="BK150" i="2"/>
  <c r="BJ150" i="2"/>
  <c r="BI150" i="2"/>
  <c r="BH150" i="2"/>
  <c r="BK149" i="2"/>
  <c r="BI149" i="2" s="1"/>
  <c r="BJ149" i="2"/>
  <c r="BH149" i="2"/>
  <c r="BK148" i="2"/>
  <c r="BJ148" i="2"/>
  <c r="BI148" i="2"/>
  <c r="BH148" i="2"/>
  <c r="BK147" i="2"/>
  <c r="BJ147" i="2"/>
  <c r="BI147" i="2" s="1"/>
  <c r="BH147" i="2"/>
  <c r="BK146" i="2"/>
  <c r="BJ146" i="2"/>
  <c r="BI146" i="2" s="1"/>
  <c r="BH146" i="2"/>
  <c r="BK145" i="2"/>
  <c r="BJ145" i="2"/>
  <c r="BI145" i="2" s="1"/>
  <c r="BH145" i="2"/>
  <c r="BK144" i="2"/>
  <c r="BJ144" i="2"/>
  <c r="BI144" i="2"/>
  <c r="BH144" i="2"/>
  <c r="BK143" i="2"/>
  <c r="BJ143" i="2"/>
  <c r="BI143" i="2" s="1"/>
  <c r="BH143" i="2"/>
  <c r="BK142" i="2"/>
  <c r="BH142" i="2" s="1"/>
  <c r="BJ142" i="2"/>
  <c r="BI142" i="2"/>
  <c r="BK141" i="2"/>
  <c r="BJ141" i="2"/>
  <c r="BI141" i="2" s="1"/>
  <c r="BH141" i="2"/>
  <c r="BK140" i="2"/>
  <c r="BJ140" i="2"/>
  <c r="BI140" i="2"/>
  <c r="BH140" i="2"/>
  <c r="BK139" i="2"/>
  <c r="BJ139" i="2"/>
  <c r="BI139" i="2"/>
  <c r="BH139" i="2"/>
  <c r="BK138" i="2"/>
  <c r="BH138" i="2" s="1"/>
  <c r="BJ138" i="2"/>
  <c r="BI138" i="2"/>
  <c r="BK137" i="2"/>
  <c r="BJ137" i="2"/>
  <c r="BI137" i="2" s="1"/>
  <c r="BH137" i="2"/>
  <c r="BK136" i="2"/>
  <c r="BJ136" i="2"/>
  <c r="BI136" i="2" s="1"/>
  <c r="BH136" i="2"/>
  <c r="BK135" i="2"/>
  <c r="BH135" i="2" s="1"/>
  <c r="BJ135" i="2"/>
  <c r="BI135" i="2"/>
  <c r="BK134" i="2"/>
  <c r="BH134" i="2" s="1"/>
  <c r="BJ134" i="2"/>
  <c r="BI134" i="2"/>
  <c r="BK133" i="2"/>
  <c r="BJ133" i="2"/>
  <c r="BI133" i="2"/>
  <c r="BH133" i="2"/>
  <c r="BK132" i="2"/>
  <c r="BJ132" i="2"/>
  <c r="BI132" i="2"/>
  <c r="BH132" i="2"/>
  <c r="BK131" i="2"/>
  <c r="BJ131" i="2"/>
  <c r="BI131" i="2"/>
  <c r="BH131" i="2"/>
  <c r="BK130" i="2"/>
  <c r="BJ130" i="2"/>
  <c r="BI130" i="2"/>
  <c r="BH130" i="2"/>
  <c r="BK129" i="2"/>
  <c r="BJ129" i="2"/>
  <c r="BI129" i="2"/>
  <c r="BH129" i="2"/>
  <c r="BK128" i="2"/>
  <c r="BJ128" i="2"/>
  <c r="BI128" i="2"/>
  <c r="BH128" i="2"/>
  <c r="BK127" i="2"/>
  <c r="BJ127" i="2"/>
  <c r="BI127" i="2"/>
  <c r="BH127" i="2"/>
  <c r="BK126" i="2"/>
  <c r="BJ126" i="2"/>
  <c r="BI126" i="2"/>
  <c r="BH126" i="2"/>
  <c r="AN126" i="2"/>
  <c r="BK125" i="2"/>
  <c r="BJ125" i="2"/>
  <c r="BI125" i="2"/>
  <c r="BH125" i="2"/>
  <c r="BK124" i="2"/>
  <c r="BJ124" i="2"/>
  <c r="BI124" i="2"/>
  <c r="BH124" i="2"/>
  <c r="BJ123" i="2"/>
  <c r="BI123" i="2"/>
  <c r="BJ122" i="2"/>
  <c r="BI122" i="2"/>
  <c r="BJ121" i="2"/>
  <c r="BI121" i="2"/>
  <c r="BJ120" i="2"/>
  <c r="BI120" i="2"/>
  <c r="BJ119" i="2"/>
  <c r="BI119" i="2"/>
  <c r="BJ118" i="2"/>
  <c r="BI118" i="2"/>
  <c r="BJ117" i="2"/>
  <c r="BI117" i="2"/>
  <c r="BJ116" i="2"/>
  <c r="BI116" i="2"/>
  <c r="BO115" i="2"/>
  <c r="BN115" i="2"/>
  <c r="BP115" i="2" s="1"/>
  <c r="BM115" i="2"/>
  <c r="BJ115" i="2"/>
  <c r="BI115" i="2"/>
  <c r="BO114" i="2"/>
  <c r="BN114" i="2"/>
  <c r="BP114" i="2" s="1"/>
  <c r="BM114" i="2"/>
  <c r="BJ114" i="2"/>
  <c r="BI114" i="2"/>
  <c r="BO113" i="2"/>
  <c r="BN113" i="2"/>
  <c r="BM113" i="2" s="1"/>
  <c r="BJ113" i="2"/>
  <c r="BI113" i="2"/>
  <c r="BP112" i="2"/>
  <c r="BO112" i="2"/>
  <c r="BN112" i="2"/>
  <c r="BM112" i="2"/>
  <c r="BJ112" i="2"/>
  <c r="BI112" i="2"/>
  <c r="BN111" i="2"/>
  <c r="BO111" i="2" s="1"/>
  <c r="BM111" i="2"/>
  <c r="BJ111" i="2"/>
  <c r="BI111" i="2"/>
  <c r="BN110" i="2"/>
  <c r="BP110" i="2" s="1"/>
  <c r="BM110" i="2"/>
  <c r="BJ110" i="2"/>
  <c r="BI110" i="2"/>
  <c r="BO109" i="2"/>
  <c r="BN109" i="2"/>
  <c r="BP109" i="2" s="1"/>
  <c r="BM109" i="2"/>
  <c r="BJ109" i="2"/>
  <c r="BI109" i="2"/>
  <c r="BN108" i="2"/>
  <c r="BJ108" i="2"/>
  <c r="BI108" i="2"/>
  <c r="BO107" i="2"/>
  <c r="BN107" i="2"/>
  <c r="BP107" i="2" s="1"/>
  <c r="BM107" i="2"/>
  <c r="BJ107" i="2"/>
  <c r="BI107" i="2"/>
  <c r="BO106" i="2"/>
  <c r="BN106" i="2"/>
  <c r="BJ106" i="2"/>
  <c r="BI106" i="2"/>
  <c r="BN105" i="2"/>
  <c r="BM105" i="2" s="1"/>
  <c r="BJ105" i="2"/>
  <c r="BI105" i="2"/>
  <c r="BO104" i="2"/>
  <c r="BN104" i="2"/>
  <c r="BP104" i="2" s="1"/>
  <c r="BM104" i="2"/>
  <c r="BJ104" i="2"/>
  <c r="BI104" i="2"/>
  <c r="BZ103" i="2"/>
  <c r="BY103" i="2"/>
  <c r="BX103" i="2"/>
  <c r="CA103" i="2" s="1"/>
  <c r="BW103" i="2"/>
  <c r="BO103" i="2"/>
  <c r="BN103" i="2"/>
  <c r="BL103" i="2"/>
  <c r="BI103" i="2"/>
  <c r="BZ102" i="2"/>
  <c r="BX102" i="2"/>
  <c r="BW102" i="2"/>
  <c r="BP102" i="2"/>
  <c r="BO102" i="2"/>
  <c r="BN102" i="2"/>
  <c r="BM102" i="2"/>
  <c r="BI102" i="2"/>
  <c r="BZ101" i="2"/>
  <c r="BX101" i="2"/>
  <c r="BY101" i="2" s="1"/>
  <c r="BW101" i="2"/>
  <c r="BP101" i="2"/>
  <c r="BO101" i="2"/>
  <c r="BN101" i="2"/>
  <c r="BM101" i="2"/>
  <c r="BK101" i="2"/>
  <c r="BJ101" i="2"/>
  <c r="BI101" i="2"/>
  <c r="BL101" i="2" s="1"/>
  <c r="BH101" i="2"/>
  <c r="CB101" i="2" s="1"/>
  <c r="CA100" i="2"/>
  <c r="BZ100" i="2"/>
  <c r="BY100" i="2"/>
  <c r="BX100" i="2"/>
  <c r="BW100" i="2"/>
  <c r="BP100" i="2"/>
  <c r="BN100" i="2"/>
  <c r="BO100" i="2" s="1"/>
  <c r="BM100" i="2"/>
  <c r="BL100" i="2"/>
  <c r="BI100" i="2"/>
  <c r="BZ99" i="2"/>
  <c r="BY99" i="2"/>
  <c r="BX99" i="2"/>
  <c r="CA99" i="2" s="1"/>
  <c r="BW99" i="2"/>
  <c r="BO99" i="2"/>
  <c r="BN99" i="2"/>
  <c r="BL99" i="2"/>
  <c r="BI99" i="2"/>
  <c r="BZ98" i="2"/>
  <c r="BX98" i="2"/>
  <c r="BW98" i="2"/>
  <c r="BP98" i="2"/>
  <c r="BO98" i="2"/>
  <c r="BN98" i="2"/>
  <c r="BM98" i="2"/>
  <c r="BI98" i="2"/>
  <c r="CA97" i="2"/>
  <c r="BZ97" i="2"/>
  <c r="BX97" i="2"/>
  <c r="BY97" i="2" s="1"/>
  <c r="BW97" i="2"/>
  <c r="BP97" i="2"/>
  <c r="BO97" i="2"/>
  <c r="BN97" i="2"/>
  <c r="BM97" i="2"/>
  <c r="BL97" i="2"/>
  <c r="BK97" i="2"/>
  <c r="BI97" i="2"/>
  <c r="BJ97" i="2" s="1"/>
  <c r="CA96" i="2"/>
  <c r="BZ96" i="2"/>
  <c r="BY96" i="2"/>
  <c r="BX96" i="2"/>
  <c r="BW96" i="2"/>
  <c r="BP96" i="2"/>
  <c r="BN96" i="2"/>
  <c r="BO96" i="2" s="1"/>
  <c r="BM96" i="2"/>
  <c r="BL96" i="2"/>
  <c r="BI96" i="2"/>
  <c r="BZ95" i="2"/>
  <c r="BY95" i="2"/>
  <c r="BX95" i="2"/>
  <c r="CA95" i="2" s="1"/>
  <c r="BW95" i="2"/>
  <c r="BO95" i="2"/>
  <c r="BN95" i="2"/>
  <c r="BP95" i="2" s="1"/>
  <c r="BL95" i="2"/>
  <c r="BI95" i="2"/>
  <c r="BZ94" i="2"/>
  <c r="BX94" i="2"/>
  <c r="BW94" i="2"/>
  <c r="BP94" i="2"/>
  <c r="BM94" i="2"/>
  <c r="BN94" i="2" s="1"/>
  <c r="BO94" i="2" s="1"/>
  <c r="BI94" i="2"/>
  <c r="BZ93" i="2"/>
  <c r="BX93" i="2"/>
  <c r="BY93" i="2" s="1"/>
  <c r="BW93" i="2"/>
  <c r="BO93" i="2"/>
  <c r="BN93" i="2"/>
  <c r="BP93" i="2" s="1"/>
  <c r="BJ93" i="2"/>
  <c r="BI93" i="2"/>
  <c r="BZ92" i="2"/>
  <c r="BX92" i="2"/>
  <c r="BY92" i="2" s="1"/>
  <c r="BW92" i="2"/>
  <c r="BJ92" i="2"/>
  <c r="BI92" i="2"/>
  <c r="BZ91" i="2"/>
  <c r="BY91" i="2"/>
  <c r="BX91" i="2"/>
  <c r="CA91" i="2" s="1"/>
  <c r="BW91" i="2"/>
  <c r="BJ91" i="2"/>
  <c r="BI91" i="2"/>
  <c r="CA90" i="2"/>
  <c r="BZ90" i="2"/>
  <c r="BY90" i="2"/>
  <c r="BX90" i="2"/>
  <c r="BW90" i="2"/>
  <c r="BJ90" i="2"/>
  <c r="BI90" i="2"/>
  <c r="BZ89" i="2"/>
  <c r="BX89" i="2"/>
  <c r="BY89" i="2" s="1"/>
  <c r="BW89" i="2"/>
  <c r="BO89" i="2"/>
  <c r="BN89" i="2"/>
  <c r="BP89" i="2" s="1"/>
  <c r="BM89" i="2"/>
  <c r="BJ89" i="2"/>
  <c r="BI89" i="2"/>
  <c r="BZ88" i="2"/>
  <c r="BX88" i="2"/>
  <c r="BY88" i="2" s="1"/>
  <c r="BW88" i="2"/>
  <c r="BM88" i="2"/>
  <c r="BN88" i="2" s="1"/>
  <c r="BJ88" i="2"/>
  <c r="BI88" i="2"/>
  <c r="BZ87" i="2"/>
  <c r="BY87" i="2"/>
  <c r="BX87" i="2"/>
  <c r="CA87" i="2" s="1"/>
  <c r="BW87" i="2"/>
  <c r="BJ87" i="2"/>
  <c r="BI87" i="2"/>
  <c r="CA86" i="2"/>
  <c r="BZ86" i="2"/>
  <c r="BY86" i="2"/>
  <c r="BX86" i="2"/>
  <c r="BW86" i="2"/>
  <c r="BJ86" i="2"/>
  <c r="BI86" i="2"/>
  <c r="BZ85" i="2"/>
  <c r="BX85" i="2"/>
  <c r="BY85" i="2" s="1"/>
  <c r="BW85" i="2"/>
  <c r="BO85" i="2"/>
  <c r="BN85" i="2"/>
  <c r="BP85" i="2" s="1"/>
  <c r="BM85" i="2"/>
  <c r="BJ85" i="2"/>
  <c r="BI85" i="2"/>
  <c r="CA84" i="2"/>
  <c r="BZ84" i="2"/>
  <c r="BX84" i="2"/>
  <c r="BY84" i="2" s="1"/>
  <c r="BW84" i="2"/>
  <c r="BJ84" i="2"/>
  <c r="BI84" i="2"/>
  <c r="BY83" i="2"/>
  <c r="BO83" i="2"/>
  <c r="BL83" i="2"/>
  <c r="BK83" i="2"/>
  <c r="BJ83" i="2"/>
  <c r="BI83" i="2"/>
  <c r="BH83" i="2"/>
  <c r="BZ82" i="2"/>
  <c r="BY82" i="2"/>
  <c r="BX82" i="2"/>
  <c r="CA82" i="2" s="1"/>
  <c r="BW82" i="2"/>
  <c r="BL82" i="2"/>
  <c r="BK82" i="2"/>
  <c r="BJ82" i="2"/>
  <c r="BI82" i="2"/>
  <c r="BH82" i="2"/>
  <c r="BY81" i="2"/>
  <c r="BX81" i="2" s="1"/>
  <c r="CA81" i="2" s="1"/>
  <c r="BM81" i="2"/>
  <c r="BN81" i="2" s="1"/>
  <c r="BL81" i="2"/>
  <c r="BK81" i="2"/>
  <c r="BJ81" i="2"/>
  <c r="BI81" i="2"/>
  <c r="BH81" i="2"/>
  <c r="BZ80" i="2"/>
  <c r="BY80" i="2"/>
  <c r="BX80" i="2" s="1"/>
  <c r="CA80" i="2" s="1"/>
  <c r="BW80" i="2"/>
  <c r="BN80" i="2"/>
  <c r="BL80" i="2"/>
  <c r="BK80" i="2"/>
  <c r="BJ80" i="2"/>
  <c r="BI80" i="2"/>
  <c r="BH80" i="2"/>
  <c r="BZ79" i="2"/>
  <c r="BY79" i="2"/>
  <c r="BX79" i="2"/>
  <c r="CA79" i="2" s="1"/>
  <c r="BW79" i="2"/>
  <c r="BO79" i="2"/>
  <c r="BN79" i="2"/>
  <c r="BP79" i="2" s="1"/>
  <c r="BL79" i="2"/>
  <c r="BK79" i="2"/>
  <c r="BJ79" i="2"/>
  <c r="BI79" i="2"/>
  <c r="BH79" i="2"/>
  <c r="CA78" i="2"/>
  <c r="BZ78" i="2"/>
  <c r="BY78" i="2"/>
  <c r="BX78" i="2"/>
  <c r="BW78" i="2"/>
  <c r="BL78" i="2"/>
  <c r="BK78" i="2"/>
  <c r="BJ78" i="2"/>
  <c r="BI78" i="2"/>
  <c r="BH78" i="2"/>
  <c r="CA77" i="2"/>
  <c r="BY77" i="2"/>
  <c r="BX77" i="2"/>
  <c r="BM77" i="2"/>
  <c r="BN77" i="2" s="1"/>
  <c r="BL77" i="2"/>
  <c r="BK77" i="2"/>
  <c r="BJ77" i="2"/>
  <c r="BI77" i="2"/>
  <c r="BH77" i="2"/>
  <c r="BZ76" i="2"/>
  <c r="BY76" i="2"/>
  <c r="BX76" i="2" s="1"/>
  <c r="CA76" i="2" s="1"/>
  <c r="BW76" i="2"/>
  <c r="BP76" i="2"/>
  <c r="BN76" i="2"/>
  <c r="BO76" i="2" s="1"/>
  <c r="BM76" i="2"/>
  <c r="BL76" i="2"/>
  <c r="BK76" i="2"/>
  <c r="BJ76" i="2"/>
  <c r="BI76" i="2"/>
  <c r="BH76" i="2"/>
  <c r="BW75" i="2"/>
  <c r="BN75" i="2"/>
  <c r="BM75" i="2"/>
  <c r="BL75" i="2"/>
  <c r="BK75" i="2"/>
  <c r="BJ75" i="2"/>
  <c r="BI75" i="2"/>
  <c r="BH75" i="2"/>
  <c r="BZ74" i="2"/>
  <c r="BY74" i="2"/>
  <c r="BX74" i="2"/>
  <c r="CA74" i="2" s="1"/>
  <c r="BW74" i="2"/>
  <c r="BM74" i="2"/>
  <c r="BN74" i="2" s="1"/>
  <c r="BL74" i="2"/>
  <c r="BK74" i="2"/>
  <c r="BJ74" i="2"/>
  <c r="BI74" i="2"/>
  <c r="BH74" i="2"/>
  <c r="BY73" i="2"/>
  <c r="BX73" i="2"/>
  <c r="CA73" i="2" s="1"/>
  <c r="BM73" i="2"/>
  <c r="BN73" i="2" s="1"/>
  <c r="BL73" i="2"/>
  <c r="BI73" i="2"/>
  <c r="BY72" i="2"/>
  <c r="BW72" i="2"/>
  <c r="BL72" i="2"/>
  <c r="BI72" i="2"/>
  <c r="BZ71" i="2"/>
  <c r="BX71" i="2"/>
  <c r="CA71" i="2" s="1"/>
  <c r="BW71" i="2"/>
  <c r="BL71" i="2"/>
  <c r="BI71" i="2"/>
  <c r="CA70" i="2"/>
  <c r="BZ70" i="2"/>
  <c r="BY70" i="2"/>
  <c r="BX70" i="2"/>
  <c r="BW70" i="2"/>
  <c r="BL70" i="2"/>
  <c r="BI70" i="2"/>
  <c r="CA69" i="2"/>
  <c r="BY69" i="2"/>
  <c r="BX69" i="2"/>
  <c r="BM69" i="2"/>
  <c r="BN69" i="2" s="1"/>
  <c r="BL69" i="2"/>
  <c r="BI69" i="2"/>
  <c r="BZ68" i="2"/>
  <c r="BY68" i="2"/>
  <c r="BX68" i="2" s="1"/>
  <c r="CA68" i="2" s="1"/>
  <c r="BW68" i="2"/>
  <c r="BN68" i="2"/>
  <c r="BO68" i="2" s="1"/>
  <c r="BL68" i="2"/>
  <c r="BI68" i="2"/>
  <c r="BZ67" i="2"/>
  <c r="BX67" i="2"/>
  <c r="CA67" i="2" s="1"/>
  <c r="BW67" i="2"/>
  <c r="BL67" i="2"/>
  <c r="BI67" i="2"/>
  <c r="BZ66" i="2"/>
  <c r="BY66" i="2"/>
  <c r="BX66" i="2"/>
  <c r="CA66" i="2" s="1"/>
  <c r="BW66" i="2"/>
  <c r="BL66" i="2"/>
  <c r="BI66" i="2"/>
  <c r="CA65" i="2"/>
  <c r="BY65" i="2"/>
  <c r="BX65" i="2"/>
  <c r="BP65" i="2"/>
  <c r="BM65" i="2"/>
  <c r="BN65" i="2" s="1"/>
  <c r="BO65" i="2" s="1"/>
  <c r="BL65" i="2"/>
  <c r="BI65" i="2"/>
  <c r="BZ64" i="2"/>
  <c r="BY64" i="2"/>
  <c r="BX64" i="2" s="1"/>
  <c r="CA64" i="2" s="1"/>
  <c r="BW64" i="2"/>
  <c r="BL64" i="2"/>
  <c r="BI64" i="2"/>
  <c r="BW63" i="2"/>
  <c r="BX63" i="2" s="1"/>
  <c r="BZ63" i="2" s="1"/>
  <c r="BP63" i="2"/>
  <c r="BM63" i="2"/>
  <c r="BN63" i="2" s="1"/>
  <c r="BO63" i="2" s="1"/>
  <c r="BK63" i="2"/>
  <c r="BI63" i="2"/>
  <c r="BJ63" i="2" s="1"/>
  <c r="BH63" i="2"/>
  <c r="BX62" i="2"/>
  <c r="BW62" i="2"/>
  <c r="BK62" i="2"/>
  <c r="BI62" i="2"/>
  <c r="BW61" i="2"/>
  <c r="BX61" i="2" s="1"/>
  <c r="BN61" i="2"/>
  <c r="BM61" i="2"/>
  <c r="BK61" i="2"/>
  <c r="BJ61" i="2"/>
  <c r="BI61" i="2"/>
  <c r="BH61" i="2"/>
  <c r="BW60" i="2"/>
  <c r="BX60" i="2" s="1"/>
  <c r="BY60" i="2" s="1"/>
  <c r="BO60" i="2"/>
  <c r="BM60" i="2"/>
  <c r="BN60" i="2" s="1"/>
  <c r="BP60" i="2" s="1"/>
  <c r="BK60" i="2"/>
  <c r="BI60" i="2"/>
  <c r="BJ60" i="2" s="1"/>
  <c r="BH60" i="2"/>
  <c r="BY59" i="2"/>
  <c r="BW59" i="2"/>
  <c r="BX59" i="2" s="1"/>
  <c r="BZ59" i="2" s="1"/>
  <c r="BN59" i="2"/>
  <c r="BO59" i="2" s="1"/>
  <c r="BM59" i="2"/>
  <c r="BK59" i="2"/>
  <c r="BI59" i="2"/>
  <c r="BJ59" i="2" s="1"/>
  <c r="BH59" i="2"/>
  <c r="BW58" i="2"/>
  <c r="BX58" i="2" s="1"/>
  <c r="BK58" i="2"/>
  <c r="BI58" i="2"/>
  <c r="BJ58" i="2" s="1"/>
  <c r="BH58" i="2"/>
  <c r="BW57" i="2"/>
  <c r="BX57" i="2" s="1"/>
  <c r="BM57" i="2"/>
  <c r="BN57" i="2" s="1"/>
  <c r="BK57" i="2"/>
  <c r="BI57" i="2"/>
  <c r="BJ57" i="2" s="1"/>
  <c r="BH57" i="2"/>
  <c r="BW56" i="2"/>
  <c r="BX56" i="2" s="1"/>
  <c r="BO56" i="2"/>
  <c r="BM56" i="2"/>
  <c r="BN56" i="2" s="1"/>
  <c r="BP56" i="2" s="1"/>
  <c r="BK56" i="2"/>
  <c r="BI56" i="2"/>
  <c r="BW55" i="2"/>
  <c r="BX55" i="2" s="1"/>
  <c r="BZ55" i="2" s="1"/>
  <c r="BN55" i="2"/>
  <c r="BK55" i="2"/>
  <c r="BI55" i="2"/>
  <c r="BJ55" i="2" s="1"/>
  <c r="BH55" i="2"/>
  <c r="BX54" i="2"/>
  <c r="BY54" i="2" s="1"/>
  <c r="BW54" i="2"/>
  <c r="BK54" i="2"/>
  <c r="BJ54" i="2"/>
  <c r="BI54" i="2"/>
  <c r="BH54" i="2" s="1"/>
  <c r="BB54" i="2"/>
  <c r="BA54" i="2"/>
  <c r="AZ54" i="2"/>
  <c r="BC54" i="2" s="1"/>
  <c r="BT54" i="2" s="1"/>
  <c r="BY53" i="2"/>
  <c r="BW53" i="2"/>
  <c r="BX53" i="2" s="1"/>
  <c r="BZ53" i="2" s="1"/>
  <c r="BT53" i="2"/>
  <c r="BJ53" i="2"/>
  <c r="BI53" i="2"/>
  <c r="BK53" i="2" s="1"/>
  <c r="BH53" i="2"/>
  <c r="BB53" i="2"/>
  <c r="BA53" i="2"/>
  <c r="AZ53" i="2"/>
  <c r="BC53" i="2" s="1"/>
  <c r="BX52" i="2"/>
  <c r="BY52" i="2" s="1"/>
  <c r="BW52" i="2"/>
  <c r="BJ52" i="2"/>
  <c r="BI52" i="2"/>
  <c r="BK52" i="2" s="1"/>
  <c r="BH52" i="2"/>
  <c r="BB52" i="2"/>
  <c r="BA52" i="2"/>
  <c r="AZ52" i="2"/>
  <c r="BC52" i="2" s="1"/>
  <c r="BT52" i="2" s="1"/>
  <c r="BW51" i="2"/>
  <c r="BX51" i="2" s="1"/>
  <c r="BT51" i="2"/>
  <c r="BM51" i="2"/>
  <c r="BJ51" i="2"/>
  <c r="BI51" i="2"/>
  <c r="BK51" i="2" s="1"/>
  <c r="BH51" i="2"/>
  <c r="BB51" i="2"/>
  <c r="BA51" i="2"/>
  <c r="AZ51" i="2"/>
  <c r="BC51" i="2" s="1"/>
  <c r="BW50" i="2"/>
  <c r="BX50" i="2" s="1"/>
  <c r="BS50" i="2"/>
  <c r="BJ50" i="2"/>
  <c r="BI50" i="2"/>
  <c r="BK50" i="2" s="1"/>
  <c r="BH50" i="2"/>
  <c r="BB50" i="2"/>
  <c r="BA50" i="2"/>
  <c r="AZ50" i="2"/>
  <c r="BC50" i="2" s="1"/>
  <c r="BT50" i="2" s="1"/>
  <c r="BX49" i="2"/>
  <c r="BZ49" i="2" s="1"/>
  <c r="BW49" i="2"/>
  <c r="BT49" i="2"/>
  <c r="BK49" i="2"/>
  <c r="BJ49" i="2"/>
  <c r="BI49" i="2"/>
  <c r="BH49" i="2"/>
  <c r="BC49" i="2"/>
  <c r="BA49" i="2"/>
  <c r="AZ49" i="2"/>
  <c r="BB49" i="2" s="1"/>
  <c r="BX48" i="2"/>
  <c r="BY48" i="2" s="1"/>
  <c r="BW48" i="2"/>
  <c r="BQ48" i="2"/>
  <c r="BM48" i="2"/>
  <c r="BJ48" i="2"/>
  <c r="BI48" i="2"/>
  <c r="BK48" i="2" s="1"/>
  <c r="BH48" i="2"/>
  <c r="BC48" i="2"/>
  <c r="BT48" i="2" s="1"/>
  <c r="BS48" i="2" s="1"/>
  <c r="BA48" i="2"/>
  <c r="AZ48" i="2"/>
  <c r="BB48" i="2" s="1"/>
  <c r="BW47" i="2"/>
  <c r="BX47" i="2" s="1"/>
  <c r="BT47" i="2"/>
  <c r="BM47" i="2"/>
  <c r="BJ47" i="2"/>
  <c r="BI47" i="2"/>
  <c r="BK47" i="2" s="1"/>
  <c r="BH47" i="2"/>
  <c r="BC47" i="2"/>
  <c r="BA47" i="2"/>
  <c r="AZ47" i="2"/>
  <c r="BB47" i="2" s="1"/>
  <c r="BX46" i="2"/>
  <c r="BY46" i="2" s="1"/>
  <c r="BW46" i="2"/>
  <c r="BJ46" i="2"/>
  <c r="BI46" i="2"/>
  <c r="BK46" i="2" s="1"/>
  <c r="BH46" i="2"/>
  <c r="BC46" i="2"/>
  <c r="BT46" i="2" s="1"/>
  <c r="BQ46" i="2" s="1"/>
  <c r="BA46" i="2"/>
  <c r="AZ46" i="2"/>
  <c r="BB46" i="2" s="1"/>
  <c r="BX45" i="2"/>
  <c r="BZ45" i="2" s="1"/>
  <c r="BW45" i="2"/>
  <c r="BT45" i="2"/>
  <c r="BS45" i="2"/>
  <c r="BR45" i="2"/>
  <c r="BQ45" i="2"/>
  <c r="BJ45" i="2"/>
  <c r="BI45" i="2"/>
  <c r="BK45" i="2" s="1"/>
  <c r="BH45" i="2"/>
  <c r="BC45" i="2"/>
  <c r="BA45" i="2"/>
  <c r="AZ45" i="2"/>
  <c r="BB45" i="2" s="1"/>
  <c r="BX44" i="2"/>
  <c r="BW44" i="2"/>
  <c r="BJ44" i="2"/>
  <c r="BI44" i="2"/>
  <c r="BK44" i="2" s="1"/>
  <c r="BH44" i="2"/>
  <c r="BC44" i="2"/>
  <c r="BB44" i="2"/>
  <c r="AZ44" i="2"/>
  <c r="BY43" i="2"/>
  <c r="BX43" i="2"/>
  <c r="BZ43" i="2" s="1"/>
  <c r="BW43" i="2"/>
  <c r="BT43" i="2"/>
  <c r="BQ43" i="2" s="1"/>
  <c r="BS43" i="2"/>
  <c r="BC43" i="2"/>
  <c r="BB43" i="2"/>
  <c r="BA43" i="2"/>
  <c r="AZ43" i="2"/>
  <c r="BY42" i="2"/>
  <c r="BX42" i="2"/>
  <c r="BZ42" i="2" s="1"/>
  <c r="BW42" i="2"/>
  <c r="BP42" i="2"/>
  <c r="BO42" i="2"/>
  <c r="BM42" i="2" s="1"/>
  <c r="BN42" i="2"/>
  <c r="BC42" i="2"/>
  <c r="BB42" i="2" s="1"/>
  <c r="AZ42" i="2"/>
  <c r="BZ41" i="2"/>
  <c r="BY41" i="2"/>
  <c r="BX41" i="2"/>
  <c r="BW41" i="2"/>
  <c r="BO41" i="2"/>
  <c r="BC41" i="2"/>
  <c r="BB41" i="2"/>
  <c r="AZ41" i="2"/>
  <c r="BY40" i="2"/>
  <c r="BX40" i="2"/>
  <c r="BZ40" i="2" s="1"/>
  <c r="BW40" i="2"/>
  <c r="BT40" i="2"/>
  <c r="BP40" i="2"/>
  <c r="BO40" i="2"/>
  <c r="BN40" i="2"/>
  <c r="BM40" i="2"/>
  <c r="BC40" i="2"/>
  <c r="BB40" i="2"/>
  <c r="BA40" i="2"/>
  <c r="AZ40" i="2"/>
  <c r="BZ39" i="2"/>
  <c r="BY39" i="2"/>
  <c r="BX39" i="2"/>
  <c r="BW39" i="2"/>
  <c r="BT39" i="2"/>
  <c r="BS39" i="2"/>
  <c r="BR39" i="2"/>
  <c r="BQ39" i="2"/>
  <c r="BZ38" i="2"/>
  <c r="BY38" i="2"/>
  <c r="BX38" i="2"/>
  <c r="BW38" i="2"/>
  <c r="BT38" i="2"/>
  <c r="BS38" i="2"/>
  <c r="BR38" i="2"/>
  <c r="BQ38" i="2"/>
  <c r="BZ37" i="2"/>
  <c r="BY37" i="2"/>
  <c r="BX37" i="2"/>
  <c r="BW37" i="2"/>
  <c r="BT37" i="2"/>
  <c r="BS37" i="2"/>
  <c r="BR37" i="2"/>
  <c r="BQ37" i="2"/>
  <c r="BY36" i="2"/>
  <c r="BX36" i="2"/>
  <c r="BZ36" i="2" s="1"/>
  <c r="BW36" i="2"/>
  <c r="BT36" i="2"/>
  <c r="BS36" i="2"/>
  <c r="BR36" i="2"/>
  <c r="BQ36" i="2"/>
  <c r="BO36" i="2"/>
  <c r="BP36" i="2" s="1"/>
  <c r="BN36" i="2"/>
  <c r="BM36" i="2"/>
  <c r="BY35" i="2"/>
  <c r="BX35" i="2"/>
  <c r="BZ35" i="2" s="1"/>
  <c r="BW35" i="2"/>
  <c r="BT35" i="2"/>
  <c r="BS35" i="2"/>
  <c r="BR35" i="2"/>
  <c r="BQ35" i="2"/>
  <c r="BY34" i="2"/>
  <c r="BX34" i="2"/>
  <c r="BZ34" i="2" s="1"/>
  <c r="BW34" i="2"/>
  <c r="BT34" i="2"/>
  <c r="BS34" i="2"/>
  <c r="BR34" i="2"/>
  <c r="BQ34" i="2"/>
  <c r="BY33" i="2"/>
  <c r="BX33" i="2"/>
  <c r="BZ33" i="2" s="1"/>
  <c r="BW33" i="2"/>
  <c r="BT33" i="2"/>
  <c r="BS33" i="2"/>
  <c r="BR33" i="2"/>
  <c r="BQ33" i="2"/>
  <c r="BO33" i="2"/>
  <c r="BP33" i="2" s="1"/>
  <c r="BY32" i="2"/>
  <c r="BX32" i="2"/>
  <c r="BZ32" i="2" s="1"/>
  <c r="BW32" i="2"/>
  <c r="BT32" i="2"/>
  <c r="BS32" i="2"/>
  <c r="BR32" i="2"/>
  <c r="BQ32" i="2"/>
  <c r="BO32" i="2"/>
  <c r="BP32" i="2" s="1"/>
  <c r="BN32" i="2"/>
  <c r="BM32" i="2"/>
  <c r="BY31" i="2"/>
  <c r="BX31" i="2"/>
  <c r="BZ31" i="2" s="1"/>
  <c r="BW31" i="2"/>
  <c r="BT31" i="2"/>
  <c r="BS31" i="2"/>
  <c r="BR31" i="2"/>
  <c r="BQ31" i="2"/>
  <c r="BO31" i="2"/>
  <c r="BP31" i="2" s="1"/>
  <c r="BY30" i="2"/>
  <c r="BX30" i="2"/>
  <c r="BZ30" i="2" s="1"/>
  <c r="BW30" i="2"/>
  <c r="BT30" i="2"/>
  <c r="BS30" i="2"/>
  <c r="BR30" i="2"/>
  <c r="BQ30" i="2"/>
  <c r="BY29" i="2"/>
  <c r="BX29" i="2"/>
  <c r="BZ29" i="2" s="1"/>
  <c r="BW29" i="2"/>
  <c r="BT29" i="2"/>
  <c r="BQ29" i="2"/>
  <c r="BO29" i="2"/>
  <c r="BP29" i="2" s="1"/>
  <c r="BY28" i="2"/>
  <c r="BX28" i="2"/>
  <c r="BZ28" i="2" s="1"/>
  <c r="BW28" i="2"/>
  <c r="BT28" i="2"/>
  <c r="BQ28" i="2"/>
  <c r="BO28" i="2"/>
  <c r="BP28" i="2" s="1"/>
  <c r="BY27" i="2"/>
  <c r="BX27" i="2"/>
  <c r="BZ27" i="2" s="1"/>
  <c r="BW27" i="2"/>
  <c r="BT27" i="2"/>
  <c r="BQ27" i="2"/>
  <c r="BY26" i="2"/>
  <c r="BX26" i="2"/>
  <c r="BZ26" i="2" s="1"/>
  <c r="BW26" i="2"/>
  <c r="BT26" i="2"/>
  <c r="BQ26" i="2"/>
  <c r="BY25" i="2"/>
  <c r="BX25" i="2"/>
  <c r="BZ25" i="2" s="1"/>
  <c r="BW25" i="2"/>
  <c r="BT25" i="2"/>
  <c r="BQ25" i="2"/>
  <c r="BO25" i="2"/>
  <c r="BP25" i="2" s="1"/>
  <c r="BY24" i="2"/>
  <c r="BX24" i="2"/>
  <c r="BZ24" i="2" s="1"/>
  <c r="BW24" i="2"/>
  <c r="BP24" i="2"/>
  <c r="BO24" i="2"/>
  <c r="BM24" i="2" s="1"/>
  <c r="BN24" i="2"/>
  <c r="BX23" i="2"/>
  <c r="BY23" i="2" s="1"/>
  <c r="BY22" i="2"/>
  <c r="BX22" i="2"/>
  <c r="CA22" i="2" s="1"/>
  <c r="BO22" i="2"/>
  <c r="BP22" i="2" s="1"/>
  <c r="BY21" i="2"/>
  <c r="BX21" i="2"/>
  <c r="CA21" i="2" s="1"/>
  <c r="BP21" i="2"/>
  <c r="BO21" i="2"/>
  <c r="CA20" i="2"/>
  <c r="BX20" i="2"/>
  <c r="BY20" i="2" s="1"/>
  <c r="BO20" i="2"/>
  <c r="BM20" i="2"/>
  <c r="BX19" i="2"/>
  <c r="BX18" i="2"/>
  <c r="BX17" i="2"/>
  <c r="BX16" i="2"/>
  <c r="BO16" i="2"/>
  <c r="BM16" i="2" s="1"/>
  <c r="CA15" i="2"/>
  <c r="BX15" i="2"/>
  <c r="BY15" i="2" s="1"/>
  <c r="BX14" i="2"/>
  <c r="CA14" i="2" s="1"/>
  <c r="BV13" i="2"/>
  <c r="BR13" i="2"/>
  <c r="BP13" i="2"/>
  <c r="BO13" i="2"/>
  <c r="BN13" i="2"/>
  <c r="BM13" i="2"/>
  <c r="BV12" i="2"/>
  <c r="BR12" i="2"/>
  <c r="BO12" i="2"/>
  <c r="BM12" i="2" s="1"/>
  <c r="BN12" i="2"/>
  <c r="BV11" i="2"/>
  <c r="BR11" i="2"/>
  <c r="BP11" i="2"/>
  <c r="BO11" i="2"/>
  <c r="BN11" i="2" s="1"/>
  <c r="BM11" i="2"/>
  <c r="BV10" i="2"/>
  <c r="BR10" i="2"/>
  <c r="BV9" i="2"/>
  <c r="BR9" i="2"/>
  <c r="BO9" i="2"/>
  <c r="BP9" i="2" s="1"/>
  <c r="BV8" i="2"/>
  <c r="BR8" i="2"/>
  <c r="BP8" i="2"/>
  <c r="BO8" i="2"/>
  <c r="BN8" i="2"/>
  <c r="BM8" i="2"/>
  <c r="BV7" i="2"/>
  <c r="BR7" i="2"/>
  <c r="BV6" i="2"/>
  <c r="BR6" i="2"/>
  <c r="BO6" i="2"/>
  <c r="BP6" i="2" s="1"/>
  <c r="BV5" i="2"/>
  <c r="BR5" i="2"/>
  <c r="BP5" i="2"/>
  <c r="BO5" i="2"/>
  <c r="BN5" i="2"/>
  <c r="BM5" i="2"/>
  <c r="BV4" i="2"/>
  <c r="BR4" i="2"/>
  <c r="BO4" i="2"/>
  <c r="BN4" i="2" s="1"/>
  <c r="V21" i="1" l="1"/>
  <c r="V22" i="1"/>
  <c r="H89" i="2"/>
  <c r="H91" i="2"/>
  <c r="AU121" i="2"/>
  <c r="CB124" i="2"/>
  <c r="CB50" i="2"/>
  <c r="CB51" i="2"/>
  <c r="CB130" i="2"/>
  <c r="BH68" i="2"/>
  <c r="AW144" i="2"/>
  <c r="AW143" i="2" s="1"/>
  <c r="CB61" i="2"/>
  <c r="CB118" i="2"/>
  <c r="CB47" i="2"/>
  <c r="BK123" i="2"/>
  <c r="CB48" i="2"/>
  <c r="BJ69" i="2"/>
  <c r="CB44" i="2"/>
  <c r="CB45" i="2"/>
  <c r="CB55" i="2"/>
  <c r="CB78" i="2"/>
  <c r="CB52" i="2"/>
  <c r="CB53" i="2"/>
  <c r="CB57" i="2"/>
  <c r="CB60" i="2"/>
  <c r="AP147" i="2"/>
  <c r="BH23" i="2"/>
  <c r="AU113" i="2"/>
  <c r="CB81" i="2"/>
  <c r="CB59" i="2"/>
  <c r="CB63" i="2"/>
  <c r="BI21" i="2"/>
  <c r="BK110" i="2"/>
  <c r="AD117" i="2"/>
  <c r="AE120" i="2" s="1"/>
  <c r="AJ121" i="2" s="1"/>
  <c r="BC122" i="2" s="1"/>
  <c r="AE88" i="2"/>
  <c r="CB79" i="2"/>
  <c r="CB80" i="2"/>
  <c r="CB82" i="2"/>
  <c r="AP125" i="2"/>
  <c r="BJ68" i="2"/>
  <c r="AO119" i="2"/>
  <c r="BH121" i="2"/>
  <c r="AP145" i="2"/>
  <c r="BE139" i="2" s="1"/>
  <c r="BH88" i="2"/>
  <c r="AC85" i="2"/>
  <c r="AB85" i="2" s="1"/>
  <c r="BW5" i="2" s="1"/>
  <c r="BI11" i="2"/>
  <c r="BH11" i="2" s="1"/>
  <c r="BI41" i="2"/>
  <c r="BL41" i="2" s="1"/>
  <c r="CB83" i="2"/>
  <c r="CB128" i="2"/>
  <c r="CB49" i="2"/>
  <c r="CB58" i="2"/>
  <c r="CB77" i="2"/>
  <c r="BH111" i="2"/>
  <c r="CB111" i="2" s="1"/>
  <c r="AP121" i="2"/>
  <c r="CB127" i="2"/>
  <c r="CB129" i="2"/>
  <c r="AD133" i="2"/>
  <c r="AE133" i="2" s="1"/>
  <c r="BB114" i="2" s="1"/>
  <c r="AZ151" i="2"/>
  <c r="AN118" i="2"/>
  <c r="BI5" i="2"/>
  <c r="BH15" i="2"/>
  <c r="BI35" i="2"/>
  <c r="BH35" i="2" s="1"/>
  <c r="BH70" i="2"/>
  <c r="CB75" i="2"/>
  <c r="CB76" i="2"/>
  <c r="CB125" i="2"/>
  <c r="AD87" i="2"/>
  <c r="BH92" i="2"/>
  <c r="AD138" i="2"/>
  <c r="AE91" i="2"/>
  <c r="AC90" i="2"/>
  <c r="AB90" i="2" s="1"/>
  <c r="BH105" i="2"/>
  <c r="CB105" i="2" s="1"/>
  <c r="AT120" i="2"/>
  <c r="AO126" i="2"/>
  <c r="AP126" i="2" s="1"/>
  <c r="AQ126" i="2" s="1"/>
  <c r="AQ127" i="2" s="1"/>
  <c r="AR146" i="2" s="1"/>
  <c r="AR147" i="2" s="1"/>
  <c r="AD88" i="2"/>
  <c r="CB54" i="2"/>
  <c r="CB74" i="2"/>
  <c r="AD90" i="2"/>
  <c r="AP130" i="2"/>
  <c r="AW124" i="2"/>
  <c r="AY120" i="2"/>
  <c r="BU21" i="2" s="1"/>
  <c r="AY113" i="2"/>
  <c r="BU14" i="2" s="1"/>
  <c r="AY116" i="2"/>
  <c r="BU17" i="2" s="1"/>
  <c r="AP127" i="2"/>
  <c r="AP122" i="2"/>
  <c r="AP146" i="2"/>
  <c r="AI118" i="2"/>
  <c r="AQ140" i="2"/>
  <c r="AU112" i="2"/>
  <c r="AY122" i="2"/>
  <c r="BU23" i="2" s="1"/>
  <c r="AY124" i="2"/>
  <c r="AY117" i="2"/>
  <c r="BV18" i="2" s="1"/>
  <c r="AY119" i="2"/>
  <c r="AY114" i="2"/>
  <c r="BH14" i="2"/>
  <c r="BK104" i="2"/>
  <c r="CB46" i="2"/>
  <c r="CB126" i="2"/>
  <c r="AQ137" i="2"/>
  <c r="AI139" i="2"/>
  <c r="AO149" i="2"/>
  <c r="AF133" i="2"/>
  <c r="BC114" i="2" s="1"/>
  <c r="AF120" i="2"/>
  <c r="BB113" i="2" s="1"/>
  <c r="AY115" i="2"/>
  <c r="BV16" i="2" s="1"/>
  <c r="AY121" i="2"/>
  <c r="BV22" i="2" s="1"/>
  <c r="AY123" i="2"/>
  <c r="BV24" i="2" s="1"/>
  <c r="BI15" i="2"/>
  <c r="BI43" i="2"/>
  <c r="BH43" i="2" s="1"/>
  <c r="BJ70" i="2"/>
  <c r="AC84" i="2"/>
  <c r="AB84" i="2" s="1"/>
  <c r="BS4" i="2" s="1"/>
  <c r="AE90" i="2"/>
  <c r="BK40" i="2" s="1"/>
  <c r="AC91" i="2"/>
  <c r="AN124" i="2"/>
  <c r="AC137" i="2"/>
  <c r="BJ15" i="2"/>
  <c r="BI19" i="2"/>
  <c r="BH21" i="2"/>
  <c r="AD84" i="2"/>
  <c r="BH90" i="2"/>
  <c r="AD91" i="2"/>
  <c r="BK117" i="2"/>
  <c r="AN119" i="2"/>
  <c r="BK122" i="2"/>
  <c r="AW125" i="2"/>
  <c r="AG130" i="2"/>
  <c r="BE116" i="2" s="1"/>
  <c r="AH137" i="2"/>
  <c r="AJ136" i="2" s="1"/>
  <c r="BB124" i="2" s="1"/>
  <c r="BJ23" i="2"/>
  <c r="BH65" i="2"/>
  <c r="BJ19" i="2"/>
  <c r="AH118" i="2"/>
  <c r="H85" i="2"/>
  <c r="BK15" i="2" s="1"/>
  <c r="BK65" i="2" s="1"/>
  <c r="BI9" i="2"/>
  <c r="BH9" i="2" s="1"/>
  <c r="BJ14" i="2"/>
  <c r="BJ20" i="2"/>
  <c r="BW23" i="2"/>
  <c r="AC88" i="2"/>
  <c r="AB88" i="2" s="1"/>
  <c r="BS8" i="2" s="1"/>
  <c r="BH109" i="2"/>
  <c r="BH113" i="2"/>
  <c r="CB113" i="2" s="1"/>
  <c r="BK115" i="2"/>
  <c r="CB115" i="2" s="1"/>
  <c r="AC117" i="2"/>
  <c r="AQ122" i="2"/>
  <c r="BH123" i="2"/>
  <c r="AW136" i="2"/>
  <c r="AW141" i="2"/>
  <c r="I80" i="2"/>
  <c r="AF85" i="2" s="1"/>
  <c r="BX5" i="2" s="1"/>
  <c r="AE84" i="2"/>
  <c r="BI23" i="2"/>
  <c r="AQ143" i="2"/>
  <c r="AQ142" i="2" s="1"/>
  <c r="H93" i="2"/>
  <c r="BW14" i="2"/>
  <c r="BI39" i="2"/>
  <c r="BL39" i="2" s="1"/>
  <c r="BK87" i="2"/>
  <c r="AT121" i="2"/>
  <c r="AT122" i="2"/>
  <c r="AU122" i="2" s="1"/>
  <c r="AT125" i="2" s="1"/>
  <c r="AZ147" i="2" s="1"/>
  <c r="BA147" i="2" s="1"/>
  <c r="AJ134" i="2"/>
  <c r="BB123" i="2" s="1"/>
  <c r="H84" i="2"/>
  <c r="AE89" i="2"/>
  <c r="H90" i="2"/>
  <c r="BL37" i="2"/>
  <c r="BH37" i="2"/>
  <c r="BJ37" i="2"/>
  <c r="AZ125" i="2"/>
  <c r="BB125" i="2" s="1"/>
  <c r="AD89" i="2"/>
  <c r="BK109" i="2"/>
  <c r="BH119" i="2"/>
  <c r="CB119" i="2" s="1"/>
  <c r="BE125" i="2"/>
  <c r="AV128" i="2"/>
  <c r="AD132" i="2"/>
  <c r="AZ133" i="2"/>
  <c r="BA133" i="2" s="1"/>
  <c r="AC136" i="2"/>
  <c r="AE135" i="2" s="1"/>
  <c r="AF135" i="2" s="1"/>
  <c r="BC115" i="2" s="1"/>
  <c r="BI4" i="2"/>
  <c r="BI18" i="2"/>
  <c r="BI34" i="2"/>
  <c r="BJ34" i="2" s="1"/>
  <c r="BH84" i="2"/>
  <c r="AE85" i="2"/>
  <c r="AC92" i="2"/>
  <c r="AB92" i="2" s="1"/>
  <c r="BH108" i="2"/>
  <c r="BH114" i="2"/>
  <c r="CB114" i="2" s="1"/>
  <c r="BH117" i="2"/>
  <c r="AC130" i="2"/>
  <c r="AZ116" i="2" s="1"/>
  <c r="AZ132" i="2"/>
  <c r="BC132" i="2" s="1"/>
  <c r="AZ137" i="2"/>
  <c r="BA137" i="2" s="1"/>
  <c r="AD139" i="2"/>
  <c r="AI140" i="2"/>
  <c r="AZ141" i="2"/>
  <c r="BA141" i="2" s="1"/>
  <c r="AO150" i="2"/>
  <c r="H92" i="2"/>
  <c r="BK22" i="2" s="1"/>
  <c r="BK72" i="2" s="1"/>
  <c r="AZ134" i="2"/>
  <c r="BC134" i="2" s="1"/>
  <c r="BI7" i="2"/>
  <c r="BH7" i="2" s="1"/>
  <c r="AD130" i="2"/>
  <c r="BA116" i="2" s="1"/>
  <c r="H88" i="2"/>
  <c r="BI17" i="2"/>
  <c r="BW18" i="2"/>
  <c r="BJ22" i="2"/>
  <c r="AC86" i="2"/>
  <c r="AB86" i="2" s="1"/>
  <c r="BS6" i="2" s="1"/>
  <c r="BK91" i="2"/>
  <c r="AE92" i="2"/>
  <c r="AD93" i="2"/>
  <c r="BH107" i="2"/>
  <c r="CB107" i="2" s="1"/>
  <c r="BK121" i="2"/>
  <c r="AE123" i="2"/>
  <c r="AE130" i="2"/>
  <c r="BB116" i="2" s="1"/>
  <c r="AK131" i="2"/>
  <c r="AW139" i="2"/>
  <c r="AZ140" i="2"/>
  <c r="BA140" i="2" s="1"/>
  <c r="AQ145" i="2"/>
  <c r="BC139" i="2" s="1"/>
  <c r="H87" i="2"/>
  <c r="BK92" i="2"/>
  <c r="BH17" i="2"/>
  <c r="BJ66" i="2"/>
  <c r="AD92" i="2"/>
  <c r="AZ152" i="2"/>
  <c r="BQ5" i="2"/>
  <c r="BI14" i="2"/>
  <c r="BW15" i="2"/>
  <c r="BJ17" i="2"/>
  <c r="BH19" i="2"/>
  <c r="BJ64" i="2"/>
  <c r="BH69" i="2"/>
  <c r="BH73" i="2"/>
  <c r="AE93" i="2"/>
  <c r="BK13" i="2" s="1"/>
  <c r="BH104" i="2"/>
  <c r="BK108" i="2"/>
  <c r="AH119" i="2"/>
  <c r="AH120" i="2" s="1"/>
  <c r="AH121" i="2" s="1"/>
  <c r="AZ122" i="2" s="1"/>
  <c r="AQ121" i="2"/>
  <c r="AO124" i="2"/>
  <c r="AF130" i="2"/>
  <c r="BC116" i="2" s="1"/>
  <c r="AW135" i="2"/>
  <c r="AV144" i="2"/>
  <c r="AV143" i="2" s="1"/>
  <c r="BH87" i="2"/>
  <c r="AD86" i="2"/>
  <c r="BJ16" i="2"/>
  <c r="AE86" i="2"/>
  <c r="BZ16" i="2"/>
  <c r="BK116" i="2"/>
  <c r="H86" i="2"/>
  <c r="BH106" i="2"/>
  <c r="CB106" i="2" s="1"/>
  <c r="BJ40" i="2"/>
  <c r="BH40" i="2"/>
  <c r="BJ18" i="2"/>
  <c r="BW22" i="2"/>
  <c r="BI36" i="2"/>
  <c r="BH36" i="2" s="1"/>
  <c r="BH66" i="2"/>
  <c r="BH120" i="2"/>
  <c r="CB120" i="2" s="1"/>
  <c r="BI10" i="2"/>
  <c r="BZ15" i="2"/>
  <c r="BJ21" i="2"/>
  <c r="BH67" i="2"/>
  <c r="AD85" i="2"/>
  <c r="BH86" i="2"/>
  <c r="CB86" i="2" s="1"/>
  <c r="AB87" i="2"/>
  <c r="AC89" i="2"/>
  <c r="AB89" i="2" s="1"/>
  <c r="AC93" i="2"/>
  <c r="AB93" i="2" s="1"/>
  <c r="BH16" i="2"/>
  <c r="BI16" i="2"/>
  <c r="BZ19" i="2"/>
  <c r="BI42" i="2"/>
  <c r="BL42" i="2" s="1"/>
  <c r="BJ73" i="2"/>
  <c r="BH85" i="2"/>
  <c r="AE87" i="2"/>
  <c r="BH112" i="2"/>
  <c r="CB112" i="2" s="1"/>
  <c r="BH116" i="2"/>
  <c r="BH122" i="2"/>
  <c r="BI6" i="2"/>
  <c r="BI8" i="2"/>
  <c r="BI12" i="2"/>
  <c r="BH20" i="2"/>
  <c r="BH22" i="2"/>
  <c r="BH110" i="2"/>
  <c r="BH18" i="2"/>
  <c r="BI20" i="2"/>
  <c r="BI38" i="2"/>
  <c r="BH91" i="2"/>
  <c r="BZ23" i="2"/>
  <c r="CA23" i="2"/>
  <c r="BK90" i="2"/>
  <c r="BW20" i="2"/>
  <c r="BL40" i="2"/>
  <c r="BZ20" i="2"/>
  <c r="BZ18" i="2"/>
  <c r="BH97" i="2"/>
  <c r="CB97" i="2" s="1"/>
  <c r="CA16" i="2"/>
  <c r="BW16" i="2"/>
  <c r="BK85" i="2"/>
  <c r="BY14" i="2"/>
  <c r="BK84" i="2"/>
  <c r="BZ47" i="2"/>
  <c r="BY47" i="2"/>
  <c r="BO57" i="2"/>
  <c r="BP57" i="2"/>
  <c r="BO73" i="2"/>
  <c r="BP73" i="2"/>
  <c r="BY56" i="2"/>
  <c r="BZ56" i="2"/>
  <c r="BZ51" i="2"/>
  <c r="BY51" i="2"/>
  <c r="BY58" i="2"/>
  <c r="BZ58" i="2"/>
  <c r="BO77" i="2"/>
  <c r="BP77" i="2"/>
  <c r="BP26" i="2"/>
  <c r="BN26" i="2"/>
  <c r="BM26" i="2"/>
  <c r="BO44" i="2"/>
  <c r="BN44" i="2"/>
  <c r="BP44" i="2"/>
  <c r="BO69" i="2"/>
  <c r="BP69" i="2"/>
  <c r="BY50" i="2"/>
  <c r="BZ50" i="2"/>
  <c r="BO52" i="2"/>
  <c r="BN52" i="2"/>
  <c r="BP52" i="2"/>
  <c r="BO72" i="2"/>
  <c r="BP72" i="2"/>
  <c r="BP49" i="2"/>
  <c r="BN49" i="2"/>
  <c r="BO49" i="2"/>
  <c r="BR50" i="2"/>
  <c r="BQ50" i="2"/>
  <c r="BO61" i="2"/>
  <c r="BP61" i="2"/>
  <c r="BM6" i="2"/>
  <c r="BM25" i="2"/>
  <c r="BS27" i="2"/>
  <c r="BR27" i="2"/>
  <c r="BM29" i="2"/>
  <c r="BR40" i="2"/>
  <c r="BQ40" i="2"/>
  <c r="BS53" i="2"/>
  <c r="BR53" i="2"/>
  <c r="BQ53" i="2"/>
  <c r="BO88" i="2"/>
  <c r="BP88" i="2"/>
  <c r="BY94" i="2"/>
  <c r="CA94" i="2"/>
  <c r="BK102" i="2"/>
  <c r="BL102" i="2"/>
  <c r="BH102" i="2"/>
  <c r="CB102" i="2" s="1"/>
  <c r="BJ102" i="2"/>
  <c r="BP4" i="2"/>
  <c r="BN6" i="2"/>
  <c r="BP16" i="2"/>
  <c r="BW19" i="2"/>
  <c r="BP20" i="2"/>
  <c r="BN20" i="2"/>
  <c r="BZ21" i="2"/>
  <c r="BN25" i="2"/>
  <c r="BN29" i="2"/>
  <c r="BR43" i="2"/>
  <c r="BT44" i="2"/>
  <c r="BA44" i="2"/>
  <c r="BZ46" i="2"/>
  <c r="BY49" i="2"/>
  <c r="BY62" i="2"/>
  <c r="BZ62" i="2"/>
  <c r="BH64" i="2"/>
  <c r="BZ65" i="2"/>
  <c r="BW65" i="2"/>
  <c r="BJ67" i="2"/>
  <c r="BZ83" i="2"/>
  <c r="BW83" i="2"/>
  <c r="BX83" i="2"/>
  <c r="CA83" i="2" s="1"/>
  <c r="BK98" i="2"/>
  <c r="BL98" i="2"/>
  <c r="BH98" i="2"/>
  <c r="CB98" i="2" s="1"/>
  <c r="BJ98" i="2"/>
  <c r="BS28" i="2"/>
  <c r="BR28" i="2"/>
  <c r="BP47" i="2"/>
  <c r="BN47" i="2"/>
  <c r="BM9" i="2"/>
  <c r="BN41" i="2"/>
  <c r="BM41" i="2"/>
  <c r="BZ44" i="2"/>
  <c r="BY44" i="2"/>
  <c r="BO47" i="2"/>
  <c r="BZ48" i="2"/>
  <c r="BR52" i="2"/>
  <c r="BQ52" i="2"/>
  <c r="BS52" i="2"/>
  <c r="BR54" i="2"/>
  <c r="BS54" i="2"/>
  <c r="BQ54" i="2"/>
  <c r="BP59" i="2"/>
  <c r="BZ61" i="2"/>
  <c r="BY61" i="2"/>
  <c r="BP74" i="2"/>
  <c r="BO74" i="2"/>
  <c r="BO81" i="2"/>
  <c r="BP81" i="2"/>
  <c r="BP108" i="2"/>
  <c r="BM108" i="2"/>
  <c r="BO108" i="2"/>
  <c r="BN9" i="2"/>
  <c r="BP12" i="2"/>
  <c r="BY18" i="2"/>
  <c r="BS25" i="2"/>
  <c r="BR25" i="2"/>
  <c r="BS29" i="2"/>
  <c r="BR29" i="2"/>
  <c r="BP41" i="2"/>
  <c r="BY45" i="2"/>
  <c r="BS47" i="2"/>
  <c r="BR47" i="2"/>
  <c r="BQ47" i="2"/>
  <c r="BP55" i="2"/>
  <c r="BZ60" i="2"/>
  <c r="BJ62" i="2"/>
  <c r="BH62" i="2"/>
  <c r="BX72" i="2"/>
  <c r="CA72" i="2" s="1"/>
  <c r="BZ72" i="2"/>
  <c r="BM92" i="2"/>
  <c r="BN92" i="2" s="1"/>
  <c r="BK94" i="2"/>
  <c r="BJ94" i="2"/>
  <c r="BL94" i="2"/>
  <c r="BH94" i="2"/>
  <c r="CB94" i="2" s="1"/>
  <c r="AE286" i="2"/>
  <c r="BM46" i="2" s="1"/>
  <c r="CA19" i="2"/>
  <c r="BY19" i="2"/>
  <c r="BA42" i="2"/>
  <c r="BT42" i="2"/>
  <c r="BP51" i="2"/>
  <c r="BN51" i="2"/>
  <c r="BZ81" i="2"/>
  <c r="BW81" i="2"/>
  <c r="BM91" i="2"/>
  <c r="BN91" i="2" s="1"/>
  <c r="BM71" i="2"/>
  <c r="BN71" i="2" s="1"/>
  <c r="BM4" i="2"/>
  <c r="BH13" i="2"/>
  <c r="BZ17" i="2"/>
  <c r="BY17" i="2"/>
  <c r="BW17" i="2"/>
  <c r="CA18" i="2"/>
  <c r="BN21" i="2"/>
  <c r="BM21" i="2"/>
  <c r="BW21" i="2"/>
  <c r="BM22" i="2"/>
  <c r="BS26" i="2"/>
  <c r="BR26" i="2"/>
  <c r="BM28" i="2"/>
  <c r="BM31" i="2"/>
  <c r="BM33" i="2"/>
  <c r="BO48" i="2"/>
  <c r="BP48" i="2"/>
  <c r="BS49" i="2"/>
  <c r="BR49" i="2"/>
  <c r="BQ49" i="2"/>
  <c r="BO51" i="2"/>
  <c r="BZ52" i="2"/>
  <c r="BZ54" i="2"/>
  <c r="BY55" i="2"/>
  <c r="BJ72" i="2"/>
  <c r="BH72" i="2"/>
  <c r="BP75" i="2"/>
  <c r="BO75" i="2"/>
  <c r="BY102" i="2"/>
  <c r="CA102" i="2"/>
  <c r="AV272" i="2"/>
  <c r="AW272" i="2"/>
  <c r="AU272" i="2"/>
  <c r="BM64" i="2"/>
  <c r="BN64" i="2" s="1"/>
  <c r="BM84" i="2"/>
  <c r="BN84" i="2" s="1"/>
  <c r="AV280" i="2"/>
  <c r="AW280" i="2"/>
  <c r="AW281" i="2"/>
  <c r="AU281" i="2"/>
  <c r="BO80" i="2"/>
  <c r="BP80" i="2"/>
  <c r="BZ57" i="2"/>
  <c r="BY57" i="2"/>
  <c r="BO37" i="2"/>
  <c r="BO17" i="2"/>
  <c r="BN16" i="2"/>
  <c r="BY16" i="2"/>
  <c r="CA17" i="2"/>
  <c r="BU19" i="2"/>
  <c r="BN22" i="2"/>
  <c r="BN28" i="2"/>
  <c r="BN31" i="2"/>
  <c r="BN33" i="2"/>
  <c r="BS40" i="2"/>
  <c r="BA41" i="2"/>
  <c r="BT41" i="2"/>
  <c r="BS46" i="2"/>
  <c r="BR46" i="2"/>
  <c r="BN48" i="2"/>
  <c r="BS51" i="2"/>
  <c r="BR51" i="2"/>
  <c r="BQ51" i="2"/>
  <c r="BJ56" i="2"/>
  <c r="BH56" i="2"/>
  <c r="BH71" i="2"/>
  <c r="BJ71" i="2"/>
  <c r="BK88" i="2"/>
  <c r="BY98" i="2"/>
  <c r="CA98" i="2"/>
  <c r="CA101" i="2"/>
  <c r="BZ75" i="2"/>
  <c r="BX75" i="2"/>
  <c r="CA75" i="2" s="1"/>
  <c r="BZ69" i="2"/>
  <c r="BW69" i="2"/>
  <c r="BZ77" i="2"/>
  <c r="BW77" i="2"/>
  <c r="BH95" i="2"/>
  <c r="CB95" i="2" s="1"/>
  <c r="BK95" i="2"/>
  <c r="BJ95" i="2"/>
  <c r="BJ96" i="2"/>
  <c r="BH96" i="2"/>
  <c r="CB96" i="2" s="1"/>
  <c r="BK96" i="2"/>
  <c r="BH99" i="2"/>
  <c r="CB99" i="2" s="1"/>
  <c r="BK99" i="2"/>
  <c r="BJ99" i="2"/>
  <c r="BJ100" i="2"/>
  <c r="BH100" i="2"/>
  <c r="CB100" i="2" s="1"/>
  <c r="BK100" i="2"/>
  <c r="BH103" i="2"/>
  <c r="CB103" i="2" s="1"/>
  <c r="BK103" i="2"/>
  <c r="BJ103" i="2"/>
  <c r="BP106" i="2"/>
  <c r="BM106" i="2"/>
  <c r="BZ14" i="2"/>
  <c r="BZ22" i="2"/>
  <c r="BR48" i="2"/>
  <c r="BZ73" i="2"/>
  <c r="BW73" i="2"/>
  <c r="AV276" i="2"/>
  <c r="AW276" i="2"/>
  <c r="BM87" i="2"/>
  <c r="BN87" i="2" s="1"/>
  <c r="BM67" i="2"/>
  <c r="BN67" i="2" s="1"/>
  <c r="BY63" i="2"/>
  <c r="BP68" i="2"/>
  <c r="BP105" i="2"/>
  <c r="BO105" i="2"/>
  <c r="AM286" i="2"/>
  <c r="BM54" i="2" s="1"/>
  <c r="AV268" i="2"/>
  <c r="C363" i="2"/>
  <c r="AU268" i="2"/>
  <c r="CA85" i="2"/>
  <c r="CA88" i="2"/>
  <c r="CA89" i="2"/>
  <c r="CA92" i="2"/>
  <c r="CA93" i="2"/>
  <c r="BP99" i="2"/>
  <c r="BM99" i="2"/>
  <c r="BP103" i="2"/>
  <c r="BM103" i="2"/>
  <c r="BP113" i="2"/>
  <c r="AD286" i="2"/>
  <c r="BM45" i="2" s="1"/>
  <c r="AL286" i="2"/>
  <c r="BM53" i="2" s="1"/>
  <c r="BA139" i="2"/>
  <c r="C364" i="2"/>
  <c r="C365" i="2" s="1"/>
  <c r="C366" i="2" s="1"/>
  <c r="C367" i="2" s="1"/>
  <c r="C368" i="2" s="1"/>
  <c r="C369" i="2" s="1"/>
  <c r="C370" i="2" s="1"/>
  <c r="C371" i="2" s="1"/>
  <c r="C372" i="2" s="1"/>
  <c r="C373" i="2" s="1"/>
  <c r="C374" i="2" s="1"/>
  <c r="C375" i="2" s="1"/>
  <c r="C376" i="2" s="1"/>
  <c r="C377" i="2" s="1"/>
  <c r="C378" i="2" s="1"/>
  <c r="C379" i="2" s="1"/>
  <c r="C380" i="2" s="1"/>
  <c r="D381" i="2" s="1"/>
  <c r="AW269" i="2"/>
  <c r="AI286" i="2"/>
  <c r="BM50" i="2" s="1"/>
  <c r="AW277" i="2"/>
  <c r="BK89" i="2"/>
  <c r="BH89" i="2"/>
  <c r="BK93" i="2"/>
  <c r="BH93" i="2"/>
  <c r="BO110" i="2"/>
  <c r="BP111" i="2"/>
  <c r="AW285" i="2"/>
  <c r="AU270" i="2"/>
  <c r="AU278" i="2"/>
  <c r="BK21" i="2" l="1"/>
  <c r="BK71" i="2" s="1"/>
  <c r="CB71" i="2" s="1"/>
  <c r="BK19" i="2"/>
  <c r="BK69" i="2" s="1"/>
  <c r="CB69" i="2" s="1"/>
  <c r="AN151" i="2"/>
  <c r="AO151" i="2" s="1"/>
  <c r="AP151" i="2" s="1"/>
  <c r="AO148" i="2" s="1"/>
  <c r="AN112" i="2" s="1"/>
  <c r="AN113" i="2" s="1"/>
  <c r="AP129" i="2" s="1"/>
  <c r="AP131" i="2" s="1"/>
  <c r="BJ43" i="2"/>
  <c r="CB88" i="2"/>
  <c r="CB62" i="2"/>
  <c r="BJ10" i="2"/>
  <c r="CB110" i="2"/>
  <c r="BC151" i="2"/>
  <c r="CB123" i="2"/>
  <c r="BA114" i="2"/>
  <c r="BR15" i="2" s="1"/>
  <c r="BK41" i="2"/>
  <c r="BJ5" i="2"/>
  <c r="BK23" i="2"/>
  <c r="BK73" i="2" s="1"/>
  <c r="CB73" i="2" s="1"/>
  <c r="BZ5" i="2"/>
  <c r="AT114" i="2"/>
  <c r="AU114" i="2" s="1"/>
  <c r="AU111" i="2" s="1"/>
  <c r="AT115" i="2" s="1"/>
  <c r="AT127" i="2" s="1"/>
  <c r="AT128" i="2" s="1"/>
  <c r="BC152" i="2"/>
  <c r="BS10" i="2"/>
  <c r="BW10" i="2"/>
  <c r="BQ10" i="2"/>
  <c r="BA151" i="2"/>
  <c r="BK38" i="2"/>
  <c r="CD22" i="2"/>
  <c r="BC113" i="2"/>
  <c r="BE151" i="2"/>
  <c r="BV19" i="2" s="1"/>
  <c r="BV23" i="2"/>
  <c r="BK20" i="2"/>
  <c r="BK70" i="2" s="1"/>
  <c r="CB70" i="2" s="1"/>
  <c r="AC118" i="2"/>
  <c r="AC119" i="2" s="1"/>
  <c r="AC120" i="2" s="1"/>
  <c r="AZ113" i="2" s="1"/>
  <c r="BT10" i="2"/>
  <c r="BK30" i="2" s="1"/>
  <c r="BI30" i="2" s="1"/>
  <c r="BJ30" i="2" s="1"/>
  <c r="AO118" i="2"/>
  <c r="AO130" i="2" s="1"/>
  <c r="CB93" i="2"/>
  <c r="CD17" i="2"/>
  <c r="CB109" i="2"/>
  <c r="CD20" i="2"/>
  <c r="BV21" i="2"/>
  <c r="BE140" i="2"/>
  <c r="BT8" i="2"/>
  <c r="BK28" i="2" s="1"/>
  <c r="BI28" i="2" s="1"/>
  <c r="BJ28" i="2" s="1"/>
  <c r="BH41" i="2"/>
  <c r="BT11" i="2"/>
  <c r="BK31" i="2" s="1"/>
  <c r="BI31" i="2" s="1"/>
  <c r="BH31" i="2" s="1"/>
  <c r="BJ11" i="2"/>
  <c r="BB151" i="2"/>
  <c r="CD23" i="2"/>
  <c r="CB90" i="2"/>
  <c r="BB141" i="2"/>
  <c r="BS24" i="2" s="1"/>
  <c r="CB122" i="2"/>
  <c r="BK11" i="2"/>
  <c r="CB121" i="2"/>
  <c r="CB108" i="2"/>
  <c r="BV17" i="2"/>
  <c r="BT12" i="2"/>
  <c r="BK32" i="2" s="1"/>
  <c r="BI32" i="2" s="1"/>
  <c r="BH32" i="2" s="1"/>
  <c r="BT7" i="2"/>
  <c r="BK27" i="2" s="1"/>
  <c r="BI27" i="2" s="1"/>
  <c r="BJ27" i="2" s="1"/>
  <c r="BS5" i="2"/>
  <c r="CB89" i="2"/>
  <c r="BJ41" i="2"/>
  <c r="CB91" i="2"/>
  <c r="CB87" i="2"/>
  <c r="AH141" i="2"/>
  <c r="AI141" i="2" s="1"/>
  <c r="AJ141" i="2" s="1"/>
  <c r="AI138" i="2" s="1"/>
  <c r="AH112" i="2" s="1"/>
  <c r="AH113" i="2" s="1"/>
  <c r="AJ123" i="2" s="1"/>
  <c r="AJ125" i="2" s="1"/>
  <c r="AD116" i="2"/>
  <c r="AD123" i="2" s="1"/>
  <c r="BA132" i="2"/>
  <c r="BJ35" i="2"/>
  <c r="BK18" i="2"/>
  <c r="BK68" i="2" s="1"/>
  <c r="CB68" i="2" s="1"/>
  <c r="BA152" i="2"/>
  <c r="BR20" i="2" s="1"/>
  <c r="AC140" i="2"/>
  <c r="AD140" i="2" s="1"/>
  <c r="AE140" i="2" s="1"/>
  <c r="AE137" i="2" s="1"/>
  <c r="AC112" i="2" s="1"/>
  <c r="AC122" i="2" s="1"/>
  <c r="AC123" i="2" s="1"/>
  <c r="AF88" i="2"/>
  <c r="BY8" i="2" s="1"/>
  <c r="AF91" i="2"/>
  <c r="BX11" i="2" s="1"/>
  <c r="CB92" i="2"/>
  <c r="CD19" i="2"/>
  <c r="BW8" i="2"/>
  <c r="BK42" i="2"/>
  <c r="BE141" i="2"/>
  <c r="BK35" i="2"/>
  <c r="BT9" i="2"/>
  <c r="BK29" i="2" s="1"/>
  <c r="BI29" i="2" s="1"/>
  <c r="BJ29" i="2" s="1"/>
  <c r="BT4" i="2"/>
  <c r="BK24" i="2" s="1"/>
  <c r="BI24" i="2" s="1"/>
  <c r="BH24" i="2" s="1"/>
  <c r="CB40" i="2"/>
  <c r="BL35" i="2"/>
  <c r="BQ20" i="2"/>
  <c r="AF86" i="2"/>
  <c r="BX6" i="2" s="1"/>
  <c r="BZ6" i="2" s="1"/>
  <c r="BB132" i="2"/>
  <c r="BQ8" i="2"/>
  <c r="BE152" i="2"/>
  <c r="BV20" i="2" s="1"/>
  <c r="BK39" i="2"/>
  <c r="CB72" i="2"/>
  <c r="BL38" i="2"/>
  <c r="BY5" i="2"/>
  <c r="CB104" i="2"/>
  <c r="AF89" i="2"/>
  <c r="BX9" i="2" s="1"/>
  <c r="BZ9" i="2" s="1"/>
  <c r="CD18" i="2"/>
  <c r="AF90" i="2"/>
  <c r="BX10" i="2" s="1"/>
  <c r="BZ10" i="2" s="1"/>
  <c r="CB117" i="2"/>
  <c r="AU120" i="2"/>
  <c r="AU128" i="2" s="1"/>
  <c r="BK4" i="2"/>
  <c r="CB15" i="2"/>
  <c r="CD21" i="2"/>
  <c r="CB22" i="2"/>
  <c r="BK17" i="2"/>
  <c r="BK67" i="2" s="1"/>
  <c r="CB67" i="2" s="1"/>
  <c r="AF92" i="2"/>
  <c r="BY12" i="2" s="1"/>
  <c r="BH5" i="2"/>
  <c r="BV15" i="2"/>
  <c r="BU18" i="2"/>
  <c r="BV14" i="2"/>
  <c r="BT23" i="2"/>
  <c r="BQ23" i="2"/>
  <c r="BR23" i="2"/>
  <c r="BU20" i="2"/>
  <c r="AI117" i="2"/>
  <c r="AI124" i="2" s="1"/>
  <c r="AN120" i="2"/>
  <c r="AO120" i="2" s="1"/>
  <c r="AN121" i="2" s="1"/>
  <c r="AZ131" i="2" s="1"/>
  <c r="BC131" i="2" s="1"/>
  <c r="AP124" i="2"/>
  <c r="AQ124" i="2" s="1"/>
  <c r="AQ125" i="2" s="1"/>
  <c r="AR145" i="2" s="1"/>
  <c r="AQ146" i="2" s="1"/>
  <c r="BC140" i="2" s="1"/>
  <c r="BU15" i="2"/>
  <c r="CB65" i="2"/>
  <c r="CD14" i="2"/>
  <c r="BK5" i="2"/>
  <c r="CB84" i="2"/>
  <c r="CB85" i="2"/>
  <c r="BK14" i="2"/>
  <c r="BK64" i="2" s="1"/>
  <c r="CB64" i="2" s="1"/>
  <c r="CD15" i="2"/>
  <c r="CD16" i="2"/>
  <c r="BW6" i="2"/>
  <c r="CB116" i="2"/>
  <c r="CB56" i="2"/>
  <c r="BK16" i="2"/>
  <c r="BK66" i="2" s="1"/>
  <c r="CB66" i="2" s="1"/>
  <c r="BQ6" i="2"/>
  <c r="BK6" i="2"/>
  <c r="AN142" i="2"/>
  <c r="AZ136" i="2" s="1"/>
  <c r="BA136" i="2" s="1"/>
  <c r="BU16" i="2"/>
  <c r="BR22" i="2"/>
  <c r="BQ22" i="2"/>
  <c r="BT24" i="2"/>
  <c r="BU24" i="2"/>
  <c r="BT22" i="2"/>
  <c r="BQ24" i="2"/>
  <c r="BR24" i="2"/>
  <c r="BU22" i="2"/>
  <c r="BK9" i="2"/>
  <c r="BQ4" i="2"/>
  <c r="BB147" i="2"/>
  <c r="BS15" i="2" s="1"/>
  <c r="BJ9" i="2"/>
  <c r="BJ4" i="2"/>
  <c r="AB91" i="2"/>
  <c r="BW11" i="2" s="1"/>
  <c r="BB152" i="2"/>
  <c r="BS20" i="2" s="1"/>
  <c r="AT123" i="2"/>
  <c r="AU123" i="2" s="1"/>
  <c r="AT124" i="2" s="1"/>
  <c r="AZ146" i="2" s="1"/>
  <c r="BW4" i="2"/>
  <c r="BB140" i="2"/>
  <c r="BS23" i="2" s="1"/>
  <c r="BT6" i="2"/>
  <c r="BK26" i="2" s="1"/>
  <c r="BI26" i="2" s="1"/>
  <c r="BJ26" i="2" s="1"/>
  <c r="AF93" i="2"/>
  <c r="AF87" i="2"/>
  <c r="BJ39" i="2"/>
  <c r="BH39" i="2"/>
  <c r="AI121" i="2"/>
  <c r="BA122" i="2" s="1"/>
  <c r="BC141" i="2"/>
  <c r="BC147" i="2"/>
  <c r="BL43" i="2"/>
  <c r="BH4" i="2"/>
  <c r="BK7" i="2"/>
  <c r="BJ7" i="2"/>
  <c r="BE137" i="2"/>
  <c r="AF84" i="2"/>
  <c r="BW12" i="2"/>
  <c r="BS12" i="2"/>
  <c r="BQ12" i="2"/>
  <c r="BB115" i="2"/>
  <c r="BJ42" i="2"/>
  <c r="BH6" i="2"/>
  <c r="BL34" i="2"/>
  <c r="BH34" i="2"/>
  <c r="BT13" i="2"/>
  <c r="BK33" i="2" s="1"/>
  <c r="BI33" i="2" s="1"/>
  <c r="BJ6" i="2"/>
  <c r="BK34" i="2"/>
  <c r="BA125" i="2"/>
  <c r="AC135" i="2"/>
  <c r="BK43" i="2"/>
  <c r="BH42" i="2"/>
  <c r="BC137" i="2"/>
  <c r="BA134" i="2"/>
  <c r="AT143" i="2"/>
  <c r="AZ150" i="2" s="1"/>
  <c r="BC150" i="2" s="1"/>
  <c r="BB134" i="2"/>
  <c r="BC133" i="2"/>
  <c r="BB137" i="2"/>
  <c r="BC125" i="2"/>
  <c r="AK134" i="2"/>
  <c r="BJ36" i="2"/>
  <c r="BS13" i="2"/>
  <c r="BQ13" i="2"/>
  <c r="BW13" i="2"/>
  <c r="BH38" i="2"/>
  <c r="BT5" i="2"/>
  <c r="BK25" i="2" s="1"/>
  <c r="BI25" i="2" s="1"/>
  <c r="BK36" i="2"/>
  <c r="BK37" i="2"/>
  <c r="CB37" i="2" s="1"/>
  <c r="BJ38" i="2"/>
  <c r="BK12" i="2"/>
  <c r="BJ12" i="2"/>
  <c r="BH12" i="2"/>
  <c r="BS7" i="2"/>
  <c r="BW7" i="2"/>
  <c r="BQ7" i="2"/>
  <c r="BJ13" i="2"/>
  <c r="CB13" i="2" s="1"/>
  <c r="BL36" i="2"/>
  <c r="BS9" i="2"/>
  <c r="BQ9" i="2"/>
  <c r="BW9" i="2"/>
  <c r="BK8" i="2"/>
  <c r="BJ8" i="2"/>
  <c r="BH8" i="2"/>
  <c r="BH10" i="2"/>
  <c r="BK10" i="2"/>
  <c r="BP45" i="2"/>
  <c r="BO45" i="2"/>
  <c r="BN45" i="2"/>
  <c r="BM90" i="2"/>
  <c r="BN90" i="2" s="1"/>
  <c r="BM70" i="2"/>
  <c r="BN70" i="2" s="1"/>
  <c r="BM86" i="2"/>
  <c r="BN86" i="2" s="1"/>
  <c r="BM66" i="2"/>
  <c r="BN66" i="2" s="1"/>
  <c r="BO38" i="2"/>
  <c r="BO18" i="2"/>
  <c r="BP17" i="2"/>
  <c r="BN17" i="2"/>
  <c r="BM17" i="2"/>
  <c r="BP71" i="2"/>
  <c r="BO71" i="2"/>
  <c r="BO92" i="2"/>
  <c r="BP92" i="2"/>
  <c r="BO15" i="2"/>
  <c r="BO35" i="2"/>
  <c r="BR41" i="2"/>
  <c r="BQ41" i="2"/>
  <c r="BS41" i="2"/>
  <c r="BN37" i="2"/>
  <c r="BM37" i="2"/>
  <c r="BP37" i="2"/>
  <c r="BP84" i="2"/>
  <c r="BO84" i="2"/>
  <c r="BP91" i="2"/>
  <c r="BO91" i="2"/>
  <c r="BP46" i="2"/>
  <c r="BO46" i="2"/>
  <c r="BN46" i="2"/>
  <c r="BO54" i="2"/>
  <c r="BN54" i="2"/>
  <c r="BP54" i="2"/>
  <c r="BO39" i="2"/>
  <c r="BO19" i="2"/>
  <c r="BS42" i="2"/>
  <c r="BQ42" i="2"/>
  <c r="BR42" i="2"/>
  <c r="BQ44" i="2"/>
  <c r="BS44" i="2"/>
  <c r="BR44" i="2"/>
  <c r="BO64" i="2"/>
  <c r="BP64" i="2"/>
  <c r="BP67" i="2"/>
  <c r="BO67" i="2"/>
  <c r="BP53" i="2"/>
  <c r="BN53" i="2"/>
  <c r="BO53" i="2"/>
  <c r="BO34" i="2"/>
  <c r="BO14" i="2"/>
  <c r="BM62" i="2"/>
  <c r="BN62" i="2" s="1"/>
  <c r="BM82" i="2"/>
  <c r="BN82" i="2" s="1"/>
  <c r="BO50" i="2"/>
  <c r="BN50" i="2"/>
  <c r="BP50" i="2"/>
  <c r="BO43" i="2"/>
  <c r="BO23" i="2"/>
  <c r="BO27" i="2"/>
  <c r="BO7" i="2"/>
  <c r="BM78" i="2"/>
  <c r="BN78" i="2" s="1"/>
  <c r="BM58" i="2"/>
  <c r="BN58" i="2" s="1"/>
  <c r="BP87" i="2"/>
  <c r="BO87" i="2"/>
  <c r="BO10" i="2"/>
  <c r="BO30" i="2"/>
  <c r="AE135" i="1"/>
  <c r="AE134" i="1"/>
  <c r="AD133" i="1"/>
  <c r="AE133" i="1" s="1"/>
  <c r="AE132" i="1"/>
  <c r="AE131" i="1"/>
  <c r="AE114" i="1"/>
  <c r="AE113" i="1"/>
  <c r="AE112" i="1"/>
  <c r="AE111" i="1"/>
  <c r="AE110" i="1"/>
  <c r="AE109" i="1"/>
  <c r="AE108" i="1"/>
  <c r="AE107" i="1"/>
  <c r="AE106" i="1"/>
  <c r="AE105" i="1"/>
  <c r="AE104" i="1"/>
  <c r="AD101" i="1"/>
  <c r="AE101" i="1" s="1"/>
  <c r="AD100" i="1"/>
  <c r="AE100" i="1" s="1"/>
  <c r="AD98" i="1"/>
  <c r="AE98" i="1" s="1"/>
  <c r="AD97" i="1"/>
  <c r="AE97" i="1" s="1"/>
  <c r="AD96" i="1"/>
  <c r="AE96" i="1" s="1"/>
  <c r="AE95" i="1"/>
  <c r="AE94" i="1"/>
  <c r="AE92" i="1"/>
  <c r="BR19" i="2" l="1"/>
  <c r="BT20" i="2"/>
  <c r="CE20" i="2" s="1"/>
  <c r="BQ19" i="2"/>
  <c r="CE23" i="2"/>
  <c r="CE24" i="2"/>
  <c r="CB21" i="2"/>
  <c r="AN114" i="2"/>
  <c r="AN115" i="2" s="1"/>
  <c r="AN139" i="2" s="1"/>
  <c r="AO139" i="2" s="1"/>
  <c r="AP139" i="2" s="1"/>
  <c r="AQ139" i="2" s="1"/>
  <c r="AN140" i="2" s="1"/>
  <c r="AZ135" i="2" s="1"/>
  <c r="BQ14" i="2"/>
  <c r="CB19" i="2"/>
  <c r="CB43" i="2"/>
  <c r="AN129" i="2"/>
  <c r="AN130" i="2" s="1"/>
  <c r="AN131" i="2" s="1"/>
  <c r="AO132" i="2" s="1"/>
  <c r="AP135" i="2" s="1"/>
  <c r="BH30" i="2"/>
  <c r="CB30" i="2" s="1"/>
  <c r="AT116" i="2"/>
  <c r="AT117" i="2" s="1"/>
  <c r="AT138" i="2" s="1"/>
  <c r="AU138" i="2" s="1"/>
  <c r="AV138" i="2" s="1"/>
  <c r="AW138" i="2" s="1"/>
  <c r="AT139" i="2" s="1"/>
  <c r="AZ148" i="2" s="1"/>
  <c r="BA131" i="2"/>
  <c r="BY9" i="2"/>
  <c r="CD9" i="2" s="1"/>
  <c r="CC8" i="2"/>
  <c r="CB8" i="2"/>
  <c r="CD5" i="2"/>
  <c r="AC124" i="2"/>
  <c r="CB18" i="2"/>
  <c r="CB23" i="2"/>
  <c r="BH28" i="2"/>
  <c r="CB28" i="2" s="1"/>
  <c r="CC10" i="2"/>
  <c r="BQ11" i="2"/>
  <c r="CB11" i="2"/>
  <c r="CB20" i="2"/>
  <c r="BX12" i="2"/>
  <c r="BZ12" i="2" s="1"/>
  <c r="CD12" i="2" s="1"/>
  <c r="BB136" i="2"/>
  <c r="BS19" i="2" s="1"/>
  <c r="BY11" i="2"/>
  <c r="AH114" i="2"/>
  <c r="AH115" i="2" s="1"/>
  <c r="AH129" i="2" s="1"/>
  <c r="AZ126" i="2" s="1"/>
  <c r="AD120" i="2"/>
  <c r="BA113" i="2" s="1"/>
  <c r="CB9" i="2"/>
  <c r="CB38" i="2"/>
  <c r="CB41" i="2"/>
  <c r="BJ31" i="2"/>
  <c r="CB31" i="2" s="1"/>
  <c r="AC113" i="2"/>
  <c r="CB7" i="2"/>
  <c r="CC13" i="2"/>
  <c r="AH123" i="2"/>
  <c r="AH124" i="2" s="1"/>
  <c r="AH125" i="2" s="1"/>
  <c r="AI126" i="2" s="1"/>
  <c r="AJ129" i="2" s="1"/>
  <c r="BZ11" i="2"/>
  <c r="CB10" i="2"/>
  <c r="BS11" i="2"/>
  <c r="BA146" i="2"/>
  <c r="BY10" i="2"/>
  <c r="CD10" i="2" s="1"/>
  <c r="CB14" i="2"/>
  <c r="CB35" i="2"/>
  <c r="CC4" i="2"/>
  <c r="BC146" i="2"/>
  <c r="BT14" i="2" s="1"/>
  <c r="BB146" i="2"/>
  <c r="CB42" i="2"/>
  <c r="CB12" i="2"/>
  <c r="BJ32" i="2"/>
  <c r="CB32" i="2" s="1"/>
  <c r="CC12" i="2"/>
  <c r="BY6" i="2"/>
  <c r="CD6" i="2" s="1"/>
  <c r="AT129" i="2"/>
  <c r="CB17" i="2"/>
  <c r="CB5" i="2"/>
  <c r="CC7" i="2"/>
  <c r="BX8" i="2"/>
  <c r="BZ8" i="2" s="1"/>
  <c r="CD8" i="2" s="1"/>
  <c r="CB39" i="2"/>
  <c r="CC9" i="2"/>
  <c r="BB133" i="2"/>
  <c r="BB131" i="2"/>
  <c r="BB139" i="2"/>
  <c r="BS22" i="2" s="1"/>
  <c r="CE22" i="2" s="1"/>
  <c r="CC5" i="2"/>
  <c r="CB4" i="2"/>
  <c r="CB34" i="2"/>
  <c r="CB16" i="2"/>
  <c r="CC6" i="2"/>
  <c r="CB36" i="2"/>
  <c r="CB6" i="2"/>
  <c r="BC136" i="2"/>
  <c r="BT19" i="2" s="1"/>
  <c r="BH26" i="2"/>
  <c r="CB26" i="2" s="1"/>
  <c r="BH27" i="2"/>
  <c r="CB27" i="2" s="1"/>
  <c r="BB150" i="2"/>
  <c r="BY7" i="2"/>
  <c r="BX7" i="2"/>
  <c r="BZ7" i="2" s="1"/>
  <c r="BX13" i="2"/>
  <c r="BZ13" i="2" s="1"/>
  <c r="BY13" i="2"/>
  <c r="BX4" i="2"/>
  <c r="BZ4" i="2" s="1"/>
  <c r="BY4" i="2"/>
  <c r="BJ24" i="2"/>
  <c r="CB24" i="2" s="1"/>
  <c r="BA150" i="2"/>
  <c r="AK121" i="2"/>
  <c r="BB122" i="2" s="1"/>
  <c r="BS14" i="2" s="1"/>
  <c r="BH29" i="2"/>
  <c r="CB29" i="2" s="1"/>
  <c r="AD135" i="2"/>
  <c r="BA115" i="2" s="1"/>
  <c r="AZ115" i="2"/>
  <c r="AH136" i="2"/>
  <c r="AZ124" i="2" s="1"/>
  <c r="BC123" i="2"/>
  <c r="BT15" i="2" s="1"/>
  <c r="AK136" i="2"/>
  <c r="BJ33" i="2"/>
  <c r="BH33" i="2"/>
  <c r="BJ25" i="2"/>
  <c r="BH25" i="2"/>
  <c r="BP23" i="2"/>
  <c r="BM23" i="2"/>
  <c r="BN23" i="2"/>
  <c r="BP10" i="2"/>
  <c r="BN10" i="2"/>
  <c r="BM10" i="2"/>
  <c r="BP43" i="2"/>
  <c r="BM43" i="2"/>
  <c r="BN43" i="2"/>
  <c r="BP15" i="2"/>
  <c r="BM15" i="2"/>
  <c r="BN15" i="2"/>
  <c r="BN18" i="2"/>
  <c r="BP18" i="2"/>
  <c r="BM18" i="2"/>
  <c r="BP58" i="2"/>
  <c r="BO58" i="2"/>
  <c r="BO66" i="2"/>
  <c r="BP66" i="2"/>
  <c r="BO90" i="2"/>
  <c r="BP90" i="2"/>
  <c r="BO78" i="2"/>
  <c r="BP78" i="2"/>
  <c r="BP82" i="2"/>
  <c r="BO82" i="2"/>
  <c r="BO86" i="2"/>
  <c r="BP86" i="2"/>
  <c r="BP30" i="2"/>
  <c r="BN30" i="2"/>
  <c r="BM30" i="2"/>
  <c r="BM38" i="2"/>
  <c r="BN38" i="2"/>
  <c r="BP38" i="2"/>
  <c r="BP7" i="2"/>
  <c r="BN7" i="2"/>
  <c r="BM7" i="2"/>
  <c r="BP62" i="2"/>
  <c r="BO62" i="2"/>
  <c r="BM19" i="2"/>
  <c r="BP19" i="2"/>
  <c r="BN19" i="2"/>
  <c r="BP34" i="2"/>
  <c r="BN34" i="2"/>
  <c r="BM34" i="2"/>
  <c r="BP35" i="2"/>
  <c r="BN35" i="2"/>
  <c r="BM35" i="2"/>
  <c r="BO70" i="2"/>
  <c r="BP70" i="2"/>
  <c r="BP27" i="2"/>
  <c r="BN27" i="2"/>
  <c r="BM27" i="2"/>
  <c r="BP14" i="2"/>
  <c r="BM14" i="2"/>
  <c r="BN14" i="2"/>
  <c r="BN39" i="2"/>
  <c r="BP39" i="2"/>
  <c r="BM39" i="2"/>
  <c r="CE19" i="2" l="1"/>
  <c r="CE14" i="2"/>
  <c r="AN135" i="2"/>
  <c r="AZ138" i="2" s="1"/>
  <c r="AN134" i="2"/>
  <c r="AQ135" i="2" s="1"/>
  <c r="AT132" i="2"/>
  <c r="AW133" i="2" s="1"/>
  <c r="BR14" i="2"/>
  <c r="AT140" i="2"/>
  <c r="AU140" i="2" s="1"/>
  <c r="AV140" i="2" s="1"/>
  <c r="AW140" i="2" s="1"/>
  <c r="AT141" i="2" s="1"/>
  <c r="AZ149" i="2" s="1"/>
  <c r="BQ17" i="2" s="1"/>
  <c r="AV127" i="2"/>
  <c r="AV129" i="2" s="1"/>
  <c r="AU130" i="2" s="1"/>
  <c r="AV133" i="2" s="1"/>
  <c r="AT133" i="2"/>
  <c r="AZ153" i="2" s="1"/>
  <c r="BQ21" i="2" s="1"/>
  <c r="CC11" i="2"/>
  <c r="AH128" i="2"/>
  <c r="AK129" i="2" s="1"/>
  <c r="BC126" i="2" s="1"/>
  <c r="BB126" i="2"/>
  <c r="CD11" i="2"/>
  <c r="AH133" i="2"/>
  <c r="AJ133" i="2" s="1"/>
  <c r="AK133" i="2" s="1"/>
  <c r="AL133" i="2" s="1"/>
  <c r="AH134" i="2" s="1"/>
  <c r="AI134" i="2" s="1"/>
  <c r="BA123" i="2" s="1"/>
  <c r="CD13" i="2"/>
  <c r="CD7" i="2"/>
  <c r="AE122" i="2"/>
  <c r="AE124" i="2" s="1"/>
  <c r="AD125" i="2" s="1"/>
  <c r="AE128" i="2" s="1"/>
  <c r="BB117" i="2" s="1"/>
  <c r="BS18" i="2" s="1"/>
  <c r="AC114" i="2"/>
  <c r="CB25" i="2"/>
  <c r="BQ16" i="2"/>
  <c r="CB33" i="2"/>
  <c r="CD4" i="2"/>
  <c r="W15" i="1" s="1"/>
  <c r="BA124" i="2"/>
  <c r="BC124" i="2"/>
  <c r="BC135" i="2"/>
  <c r="BB135" i="2"/>
  <c r="BA135" i="2"/>
  <c r="BB148" i="2"/>
  <c r="BS16" i="2" s="1"/>
  <c r="BC148" i="2"/>
  <c r="BA148" i="2"/>
  <c r="BR16" i="2" l="1"/>
  <c r="BT16" i="2"/>
  <c r="CE16" i="2" s="1"/>
  <c r="W15" i="6"/>
  <c r="W20" i="6" s="1"/>
  <c r="W63" i="6" s="1"/>
  <c r="W15" i="7"/>
  <c r="W20" i="7" s="1"/>
  <c r="W21" i="7" s="1"/>
  <c r="Q20" i="7" s="1"/>
  <c r="W15" i="8"/>
  <c r="W20" i="8" s="1"/>
  <c r="BC138" i="2"/>
  <c r="BB138" i="2"/>
  <c r="BA138" i="2"/>
  <c r="BC149" i="2"/>
  <c r="BT17" i="2" s="1"/>
  <c r="BA149" i="2"/>
  <c r="BR17" i="2" s="1"/>
  <c r="BB149" i="2"/>
  <c r="BS17" i="2" s="1"/>
  <c r="BB153" i="2"/>
  <c r="BS21" i="2" s="1"/>
  <c r="BA153" i="2"/>
  <c r="BR21" i="2" s="1"/>
  <c r="BC153" i="2"/>
  <c r="BT21" i="2" s="1"/>
  <c r="AZ123" i="2"/>
  <c r="AC127" i="2"/>
  <c r="AF128" i="2" s="1"/>
  <c r="BC117" i="2" s="1"/>
  <c r="BT18" i="2" s="1"/>
  <c r="AC128" i="2"/>
  <c r="AC132" i="2"/>
  <c r="AE132" i="2" s="1"/>
  <c r="AF132" i="2" s="1"/>
  <c r="AG132" i="2" s="1"/>
  <c r="AC133" i="2" s="1"/>
  <c r="AZ114" i="2" s="1"/>
  <c r="BQ15" i="2" s="1"/>
  <c r="CE15" i="2" s="1"/>
  <c r="CE21" i="2" l="1"/>
  <c r="CE17" i="2"/>
  <c r="W21" i="6"/>
  <c r="Q20" i="6" s="1"/>
  <c r="W22" i="6"/>
  <c r="W63" i="7"/>
  <c r="W22" i="7"/>
  <c r="W63" i="8"/>
  <c r="W22" i="8"/>
  <c r="W21" i="8"/>
  <c r="Q20" i="8" s="1"/>
  <c r="W20" i="1"/>
  <c r="AD128" i="2"/>
  <c r="AZ117" i="2"/>
  <c r="BQ18" i="2" s="1"/>
  <c r="CE18" i="2" s="1"/>
  <c r="Q22" i="1" l="1"/>
  <c r="Q18" i="1" s="1"/>
  <c r="Q21" i="7"/>
  <c r="Q21" i="6"/>
  <c r="Q21" i="8"/>
  <c r="W63" i="1"/>
  <c r="W21" i="1"/>
  <c r="W22" i="1"/>
  <c r="AI129" i="2"/>
  <c r="BA126" i="2" s="1"/>
  <c r="BA117" i="2"/>
  <c r="BR18" i="2" s="1"/>
  <c r="E162" i="3" l="1"/>
  <c r="G162" i="3"/>
  <c r="Q19" i="1"/>
  <c r="G159" i="3" s="1"/>
  <c r="Z20" i="1" l="1"/>
  <c r="Z21" i="1" s="1"/>
  <c r="AF16" i="1"/>
  <c r="E159" i="3"/>
  <c r="AF107" i="1" l="1"/>
  <c r="AF96" i="1"/>
  <c r="AF113" i="1"/>
  <c r="AF101" i="1"/>
  <c r="AE77" i="1"/>
  <c r="AE68" i="1"/>
  <c r="AE20" i="1"/>
  <c r="AE76" i="1"/>
  <c r="AF100" i="1"/>
  <c r="AF98" i="1"/>
  <c r="AE70" i="1"/>
  <c r="AF132" i="1"/>
  <c r="AF125" i="1"/>
  <c r="AF124" i="1"/>
  <c r="AF134" i="1"/>
  <c r="AF109" i="1"/>
  <c r="AF112" i="1"/>
  <c r="AE22" i="1"/>
  <c r="AE69" i="1"/>
  <c r="AE73" i="1"/>
  <c r="AE79" i="1"/>
  <c r="AF108" i="1"/>
  <c r="AF92" i="1"/>
  <c r="AF128" i="1"/>
  <c r="AE81" i="1"/>
  <c r="AE74" i="1"/>
  <c r="AF120" i="1"/>
  <c r="AE87" i="1"/>
  <c r="AE78" i="1"/>
  <c r="AE19" i="1"/>
  <c r="AE67" i="1"/>
  <c r="AF133" i="1"/>
  <c r="AF126" i="1"/>
  <c r="AF136" i="1"/>
  <c r="AF115" i="1"/>
  <c r="AF123" i="1"/>
  <c r="AE64" i="1"/>
  <c r="AE86" i="1"/>
  <c r="AE63" i="1"/>
  <c r="AE18" i="1"/>
  <c r="AF114" i="1"/>
  <c r="AF95" i="1"/>
  <c r="AF131" i="1"/>
  <c r="AF105" i="1"/>
  <c r="AE71" i="1"/>
  <c r="AE80" i="1"/>
  <c r="AE84" i="1"/>
  <c r="AE83" i="1"/>
  <c r="AE75" i="1"/>
  <c r="AE21" i="1"/>
  <c r="AF106" i="1"/>
  <c r="AF97" i="1"/>
  <c r="AF104" i="1"/>
  <c r="AF129" i="1"/>
  <c r="AE72" i="1"/>
  <c r="AF118" i="1"/>
  <c r="AF110" i="1"/>
  <c r="AE65" i="1"/>
  <c r="AF111" i="1"/>
  <c r="AF127" i="1"/>
  <c r="AF94" i="1"/>
  <c r="AF135" i="1"/>
  <c r="AE66" i="1"/>
  <c r="AE85" i="1"/>
  <c r="AE82" i="1"/>
  <c r="AE88" i="1"/>
  <c r="Z22" i="1"/>
  <c r="Z63" i="1"/>
  <c r="G172" i="3" s="1"/>
  <c r="Q21" i="1"/>
  <c r="G164" i="3" s="1"/>
  <c r="G170" i="3" s="1"/>
  <c r="G174" i="3" l="1"/>
  <c r="G175" i="3" s="1"/>
  <c r="AI80" i="1"/>
  <c r="AF80" i="1"/>
  <c r="AI19" i="1"/>
  <c r="AF19" i="1"/>
  <c r="AI68" i="1"/>
  <c r="AF68" i="1"/>
  <c r="AF71" i="1"/>
  <c r="AI71" i="1"/>
  <c r="AI78" i="1"/>
  <c r="AF78" i="1"/>
  <c r="AF77" i="1"/>
  <c r="AI77" i="1"/>
  <c r="AI87" i="1"/>
  <c r="AF87" i="1"/>
  <c r="AF73" i="1"/>
  <c r="AI73" i="1"/>
  <c r="AF69" i="1"/>
  <c r="AI69" i="1"/>
  <c r="AF70" i="1"/>
  <c r="AI70" i="1"/>
  <c r="AI66" i="1"/>
  <c r="AF66" i="1"/>
  <c r="AI64" i="1"/>
  <c r="AF64" i="1"/>
  <c r="AI79" i="1"/>
  <c r="AF79" i="1"/>
  <c r="AF88" i="1"/>
  <c r="AI88" i="1"/>
  <c r="AI65" i="1"/>
  <c r="AF65" i="1"/>
  <c r="AF21" i="1"/>
  <c r="AI21" i="1"/>
  <c r="AI74" i="1"/>
  <c r="AF74" i="1"/>
  <c r="AF22" i="1"/>
  <c r="AI22" i="1"/>
  <c r="AF72" i="1"/>
  <c r="AI72" i="1"/>
  <c r="AF86" i="1"/>
  <c r="AI86" i="1"/>
  <c r="AF82" i="1"/>
  <c r="AI82" i="1"/>
  <c r="AF75" i="1"/>
  <c r="AI75" i="1"/>
  <c r="AI81" i="1"/>
  <c r="AF81" i="1"/>
  <c r="AF85" i="1"/>
  <c r="AI85" i="1"/>
  <c r="AI83" i="1"/>
  <c r="AF83" i="1"/>
  <c r="AI18" i="1"/>
  <c r="AF18" i="1"/>
  <c r="AI76" i="1"/>
  <c r="AF76" i="1"/>
  <c r="AF84" i="1"/>
  <c r="AI84" i="1"/>
  <c r="AI63" i="1"/>
  <c r="AF63" i="1"/>
  <c r="AF67" i="1"/>
  <c r="AI67" i="1"/>
  <c r="AI20" i="1"/>
  <c r="AF20" i="1"/>
  <c r="AF17" i="1" l="1"/>
  <c r="G171" i="3" s="1"/>
  <c r="AI17" i="1"/>
</calcChain>
</file>

<file path=xl/comments1.xml><?xml version="1.0" encoding="utf-8"?>
<comments xmlns="http://schemas.openxmlformats.org/spreadsheetml/2006/main">
  <authors>
    <author>User</author>
    <author>Felipe Otoya</author>
  </authors>
  <commentList>
    <comment ref="D83" authorId="0" shapeId="0">
      <text>
        <r>
          <rPr>
            <b/>
            <sz val="8"/>
            <color indexed="81"/>
            <rFont val="Tahoma"/>
            <family val="2"/>
          </rPr>
          <t>cantidad de ventanas</t>
        </r>
      </text>
    </comment>
    <comment ref="E83" authorId="0" shapeId="0">
      <text>
        <r>
          <rPr>
            <b/>
            <sz val="8"/>
            <color indexed="81"/>
            <rFont val="Tahoma"/>
            <family val="2"/>
          </rPr>
          <t>Ancho de ventana</t>
        </r>
      </text>
    </comment>
    <comment ref="F83" authorId="0" shapeId="0">
      <text>
        <r>
          <rPr>
            <b/>
            <sz val="8"/>
            <color indexed="81"/>
            <rFont val="Tahoma"/>
            <family val="2"/>
          </rPr>
          <t>Alto de ventana</t>
        </r>
      </text>
    </comment>
    <comment ref="G83" authorId="0" shapeId="0">
      <text>
        <r>
          <rPr>
            <b/>
            <sz val="8"/>
            <color indexed="81"/>
            <rFont val="Tahoma"/>
            <family val="2"/>
          </rPr>
          <t>Espesor de muro</t>
        </r>
      </text>
    </comment>
    <comment ref="H83" authorId="0" shapeId="0">
      <text>
        <r>
          <rPr>
            <b/>
            <sz val="8"/>
            <color indexed="81"/>
            <rFont val="Tahoma"/>
            <family val="2"/>
          </rPr>
          <t>ARLEX DICE:
ALTURA DE ANTEPECHO DE VENTANA</t>
        </r>
      </text>
    </comment>
    <comment ref="I83" authorId="0" shapeId="0">
      <text>
        <r>
          <rPr>
            <b/>
            <sz val="8"/>
            <color indexed="81"/>
            <rFont val="Tahoma"/>
            <family val="2"/>
          </rPr>
          <t xml:space="preserve">ARLEX:
</t>
        </r>
        <r>
          <rPr>
            <b/>
            <sz val="8"/>
            <color indexed="10"/>
            <rFont val="Tahoma"/>
            <family val="2"/>
          </rPr>
          <t>VA</t>
        </r>
        <r>
          <rPr>
            <b/>
            <sz val="8"/>
            <color indexed="81"/>
            <rFont val="Tahoma"/>
            <family val="2"/>
          </rPr>
          <t>=</t>
        </r>
        <r>
          <rPr>
            <sz val="8"/>
            <color indexed="81"/>
            <rFont val="Tahoma"/>
            <family val="2"/>
          </rPr>
          <t xml:space="preserve">Vent con Alfajia sencilla
</t>
        </r>
        <r>
          <rPr>
            <b/>
            <sz val="8"/>
            <color indexed="81"/>
            <rFont val="Tahoma"/>
            <family val="2"/>
          </rPr>
          <t xml:space="preserve">VAS= </t>
        </r>
        <r>
          <rPr>
            <sz val="8"/>
            <color indexed="81"/>
            <rFont val="Tahoma"/>
            <family val="2"/>
          </rPr>
          <t xml:space="preserve">Vent Alfajia Saliente
</t>
        </r>
        <r>
          <rPr>
            <b/>
            <sz val="8"/>
            <color indexed="10"/>
            <rFont val="Tahoma"/>
            <family val="2"/>
          </rPr>
          <t>VRA</t>
        </r>
        <r>
          <rPr>
            <b/>
            <sz val="8"/>
            <color indexed="81"/>
            <rFont val="Tahoma"/>
            <family val="2"/>
          </rPr>
          <t>=</t>
        </r>
        <r>
          <rPr>
            <sz val="8"/>
            <color indexed="81"/>
            <rFont val="Tahoma"/>
            <family val="2"/>
          </rPr>
          <t xml:space="preserve">Vent Reborde Alfajia
</t>
        </r>
        <r>
          <rPr>
            <b/>
            <sz val="8"/>
            <color indexed="81"/>
            <rFont val="Tahoma"/>
            <family val="2"/>
          </rPr>
          <t xml:space="preserve">VR </t>
        </r>
        <r>
          <rPr>
            <sz val="8"/>
            <color indexed="81"/>
            <rFont val="Tahoma"/>
            <family val="2"/>
          </rPr>
          <t>=Venta Reborde</t>
        </r>
      </text>
    </comment>
    <comment ref="F146" authorId="0" shapeId="0">
      <text>
        <r>
          <rPr>
            <b/>
            <sz val="8"/>
            <color indexed="81"/>
            <rFont val="Tahoma"/>
            <family val="2"/>
          </rPr>
          <t xml:space="preserve">SE ECRIBE EL TIPO DE ESCALERA:
TIPO 01= </t>
        </r>
        <r>
          <rPr>
            <b/>
            <sz val="8"/>
            <color indexed="17"/>
            <rFont val="Tahoma"/>
            <family val="2"/>
          </rPr>
          <t>T1</t>
        </r>
        <r>
          <rPr>
            <b/>
            <sz val="8"/>
            <color indexed="81"/>
            <rFont val="Tahoma"/>
            <family val="2"/>
          </rPr>
          <t xml:space="preserve">
TIPO 02= </t>
        </r>
        <r>
          <rPr>
            <b/>
            <sz val="8"/>
            <color indexed="10"/>
            <rFont val="Tahoma"/>
            <family val="2"/>
          </rPr>
          <t>T2</t>
        </r>
        <r>
          <rPr>
            <b/>
            <sz val="8"/>
            <color indexed="81"/>
            <rFont val="Tahoma"/>
            <family val="2"/>
          </rPr>
          <t xml:space="preserve">
TIPO 01= </t>
        </r>
        <r>
          <rPr>
            <b/>
            <sz val="8"/>
            <color indexed="57"/>
            <rFont val="Tahoma"/>
            <family val="2"/>
          </rPr>
          <t>T3</t>
        </r>
        <r>
          <rPr>
            <b/>
            <sz val="8"/>
            <color indexed="81"/>
            <rFont val="Tahoma"/>
            <family val="2"/>
          </rPr>
          <t xml:space="preserve">
TIPO 02= </t>
        </r>
        <r>
          <rPr>
            <b/>
            <sz val="8"/>
            <color indexed="10"/>
            <rFont val="Tahoma"/>
            <family val="2"/>
          </rPr>
          <t>T4</t>
        </r>
      </text>
    </comment>
    <comment ref="AY265" authorId="1" shapeId="0">
      <text>
        <r>
          <rPr>
            <b/>
            <sz val="8"/>
            <color indexed="81"/>
            <rFont val="Tahoma"/>
            <family val="2"/>
          </rPr>
          <t xml:space="preserve">Arlex:
</t>
        </r>
        <r>
          <rPr>
            <sz val="8"/>
            <color indexed="81"/>
            <rFont val="Tahoma"/>
            <family val="2"/>
          </rPr>
          <t>METROS LINEALES ENTRE INC. Y TERM.</t>
        </r>
      </text>
    </comment>
    <comment ref="G358" authorId="1" shapeId="0">
      <text>
        <r>
          <rPr>
            <b/>
            <sz val="8"/>
            <color indexed="81"/>
            <rFont val="Tahoma"/>
            <family val="2"/>
          </rPr>
          <t>ARLEX:
Con Formaleta de ANCHO 60 ó 90</t>
        </r>
      </text>
    </comment>
    <comment ref="J358" authorId="1" shapeId="0">
      <text>
        <r>
          <rPr>
            <b/>
            <sz val="8"/>
            <color indexed="81"/>
            <rFont val="Tahoma"/>
            <family val="2"/>
          </rPr>
          <t xml:space="preserve">ARLEX:
</t>
        </r>
        <r>
          <rPr>
            <sz val="8"/>
            <color indexed="81"/>
            <rFont val="Tahoma"/>
            <family val="2"/>
          </rPr>
          <t>altura del Equipo</t>
        </r>
      </text>
    </comment>
    <comment ref="E360" authorId="0" shapeId="0">
      <text>
        <r>
          <rPr>
            <b/>
            <sz val="8"/>
            <color indexed="81"/>
            <rFont val="Tahoma"/>
            <family val="2"/>
          </rPr>
          <t xml:space="preserve">LONGITUD DEL MURO  EN CM DESDE INICIO HASTA FINAL
</t>
        </r>
      </text>
    </comment>
    <comment ref="F360" authorId="0" shapeId="0">
      <text>
        <r>
          <rPr>
            <b/>
            <sz val="8"/>
            <color indexed="81"/>
            <rFont val="Tahoma"/>
            <family val="2"/>
          </rPr>
          <t xml:space="preserve">Arlex:
</t>
        </r>
        <r>
          <rPr>
            <sz val="8"/>
            <color indexed="81"/>
            <rFont val="Tahoma"/>
            <family val="2"/>
          </rPr>
          <t>se manejara los siguientes espesores
8, 10, 12, 15, 20, 25 cm.</t>
        </r>
      </text>
    </comment>
    <comment ref="G360" authorId="1" shapeId="0">
      <text>
        <r>
          <rPr>
            <b/>
            <sz val="8"/>
            <color indexed="81"/>
            <rFont val="Tahoma"/>
            <family val="2"/>
          </rPr>
          <t xml:space="preserve">Arlex:
</t>
        </r>
        <r>
          <rPr>
            <sz val="8"/>
            <color indexed="81"/>
            <rFont val="Tahoma"/>
            <family val="2"/>
          </rPr>
          <t>TH=Tapa
1 = Recto
2= Esquina
3= Tee
4= Cruz</t>
        </r>
        <r>
          <rPr>
            <b/>
            <sz val="8"/>
            <color indexed="81"/>
            <rFont val="Tahoma"/>
            <family val="2"/>
          </rPr>
          <t xml:space="preserve">
</t>
        </r>
      </text>
    </comment>
    <comment ref="H360" authorId="0" shapeId="0">
      <text>
        <r>
          <rPr>
            <b/>
            <sz val="8"/>
            <color indexed="81"/>
            <rFont val="Tahoma"/>
            <family val="2"/>
          </rPr>
          <t>Arlex:</t>
        </r>
        <r>
          <rPr>
            <sz val="8"/>
            <color indexed="81"/>
            <rFont val="Tahoma"/>
            <family val="2"/>
          </rPr>
          <t xml:space="preserve">
TH=Tapa
1 = Recto
2= Esquina
3= Tee
4= Cruz</t>
        </r>
      </text>
    </comment>
    <comment ref="I360" authorId="1" shapeId="0">
      <text>
        <r>
          <rPr>
            <b/>
            <sz val="8"/>
            <color indexed="81"/>
            <rFont val="Tahoma"/>
            <family val="2"/>
          </rPr>
          <t xml:space="preserve">ARLEX:
</t>
        </r>
        <r>
          <rPr>
            <sz val="8"/>
            <color indexed="81"/>
            <rFont val="Tahoma"/>
            <family val="2"/>
          </rPr>
          <t>Escriba (SI) si lleva remate, de lo contrario NO llevara</t>
        </r>
        <r>
          <rPr>
            <b/>
            <sz val="8"/>
            <color indexed="81"/>
            <rFont val="Tahoma"/>
            <family val="2"/>
          </rPr>
          <t xml:space="preserve">
</t>
        </r>
      </text>
    </comment>
  </commentList>
</comments>
</file>

<file path=xl/sharedStrings.xml><?xml version="1.0" encoding="utf-8"?>
<sst xmlns="http://schemas.openxmlformats.org/spreadsheetml/2006/main" count="2564" uniqueCount="1222">
  <si>
    <t>losa</t>
  </si>
  <si>
    <t>area construida</t>
  </si>
  <si>
    <t>escalera</t>
  </si>
  <si>
    <t>consumibles</t>
  </si>
  <si>
    <t>vaciados</t>
  </si>
  <si>
    <t>formaleta</t>
  </si>
  <si>
    <t>dolares</t>
  </si>
  <si>
    <t>valor formaleta</t>
  </si>
  <si>
    <t>valor consumibles</t>
  </si>
  <si>
    <t>valor escalera</t>
  </si>
  <si>
    <t>anclaje</t>
  </si>
  <si>
    <t>barra desencofre</t>
  </si>
  <si>
    <t>barreta</t>
  </si>
  <si>
    <t>broca</t>
  </si>
  <si>
    <t>cuña en angulo</t>
  </si>
  <si>
    <t>cuña para pasador</t>
  </si>
  <si>
    <t>funda m10</t>
  </si>
  <si>
    <t>funda m15</t>
  </si>
  <si>
    <t>funda m8</t>
  </si>
  <si>
    <t>gradamovil</t>
  </si>
  <si>
    <t>llave 15/16</t>
  </si>
  <si>
    <t>llave 3/4</t>
  </si>
  <si>
    <t>llave 9/16</t>
  </si>
  <si>
    <t>pasador cabeza plana</t>
  </si>
  <si>
    <t>pasador corto</t>
  </si>
  <si>
    <t>pasador extra largo</t>
  </si>
  <si>
    <t>pasador largo</t>
  </si>
  <si>
    <t>pasador mediano</t>
  </si>
  <si>
    <t>pin grapa der</t>
  </si>
  <si>
    <t>pin grapa izq</t>
  </si>
  <si>
    <t>funda rollo</t>
  </si>
  <si>
    <t>sacacorbata</t>
  </si>
  <si>
    <t>sacapanel</t>
  </si>
  <si>
    <t>separador malla 10</t>
  </si>
  <si>
    <t>separador malla 15</t>
  </si>
  <si>
    <t>separador malla 8</t>
  </si>
  <si>
    <t>tornillo 5/8</t>
  </si>
  <si>
    <t>viruta</t>
  </si>
  <si>
    <t>silleta 2.5</t>
  </si>
  <si>
    <t>silleta 6.5</t>
  </si>
  <si>
    <t>cp</t>
  </si>
  <si>
    <t>fm</t>
  </si>
  <si>
    <t>alin cap 240-10.7</t>
  </si>
  <si>
    <t>alin cap 270-30</t>
  </si>
  <si>
    <t>andamio alineador</t>
  </si>
  <si>
    <t>base para gato</t>
  </si>
  <si>
    <t>corbata 10</t>
  </si>
  <si>
    <t>corbata 15</t>
  </si>
  <si>
    <t>corbata 20</t>
  </si>
  <si>
    <t>corbata 25</t>
  </si>
  <si>
    <t>corbata 30</t>
  </si>
  <si>
    <t>corbata 8</t>
  </si>
  <si>
    <t>linea de vida 20</t>
  </si>
  <si>
    <t>linea de vida 15</t>
  </si>
  <si>
    <t>linea de vida 10</t>
  </si>
  <si>
    <t>portalineador</t>
  </si>
  <si>
    <t>portalineador cap</t>
  </si>
  <si>
    <t>puntal</t>
  </si>
  <si>
    <t>soporte cuchilla cr</t>
  </si>
  <si>
    <t>soporte cuchilla sr</t>
  </si>
  <si>
    <t>soporte uml</t>
  </si>
  <si>
    <t>portalineador uml</t>
  </si>
  <si>
    <t>tensor muro</t>
  </si>
  <si>
    <t>tensor t1</t>
  </si>
  <si>
    <t>tensor tB</t>
  </si>
  <si>
    <t>pasarela estandar 240-10.7</t>
  </si>
  <si>
    <t>pasarela estandar 270-45</t>
  </si>
  <si>
    <t>pasarela estandar 270-45 sin lv</t>
  </si>
  <si>
    <t>pasarela voladizo 10</t>
  </si>
  <si>
    <t>pasarela voladizo 20</t>
  </si>
  <si>
    <t>pasarela dintel 30.7-10</t>
  </si>
  <si>
    <t>pasarela dintel 50-15</t>
  </si>
  <si>
    <t>pasarela dintel 48-20</t>
  </si>
  <si>
    <t>guardacuerpo 30-60</t>
  </si>
  <si>
    <t>guardacuerpo 61-90</t>
  </si>
  <si>
    <t>guardacuerpo 91-120</t>
  </si>
  <si>
    <t>guardacuerpo 121-150</t>
  </si>
  <si>
    <t>guardacuerpo 151-180</t>
  </si>
  <si>
    <t>pasarela esquinera 23x23</t>
  </si>
  <si>
    <t>pasarela esquinera 35x35</t>
  </si>
  <si>
    <t>pasarela esquinera 45x45</t>
  </si>
  <si>
    <t>soporte agr</t>
  </si>
  <si>
    <t>negativo</t>
  </si>
  <si>
    <t>corbata MD</t>
  </si>
  <si>
    <t>taco metalico xs</t>
  </si>
  <si>
    <t>escuadra</t>
  </si>
  <si>
    <t>plataforma 120</t>
  </si>
  <si>
    <t>sistema de seguridad</t>
  </si>
  <si>
    <t>valor sist seguridad</t>
  </si>
  <si>
    <t>listado de muros</t>
  </si>
  <si>
    <t>ítem</t>
  </si>
  <si>
    <t>altura libre</t>
  </si>
  <si>
    <t>cm</t>
  </si>
  <si>
    <t>espesor losa</t>
  </si>
  <si>
    <t>cant</t>
  </si>
  <si>
    <t>SI</t>
  </si>
  <si>
    <t>NO</t>
  </si>
  <si>
    <t>POSTERIOR</t>
  </si>
  <si>
    <t>MONOLITICA</t>
  </si>
  <si>
    <t>listado de puertas y ventanas</t>
  </si>
  <si>
    <t>FORMALETA PARA MUROS</t>
  </si>
  <si>
    <t>FORMALETA PARA CULATAS</t>
  </si>
  <si>
    <t>FORMALETA PARA LOSA</t>
  </si>
  <si>
    <t>FORMALETA PARA UNION</t>
  </si>
  <si>
    <t>Cantidad</t>
  </si>
  <si>
    <t>Descripcion</t>
  </si>
  <si>
    <t>Ancho1</t>
  </si>
  <si>
    <t>Alto1</t>
  </si>
  <si>
    <t>Ancho2</t>
  </si>
  <si>
    <t>Alto2</t>
  </si>
  <si>
    <t>Largo</t>
  </si>
  <si>
    <t>Izq</t>
  </si>
  <si>
    <r>
      <t>NOTA:</t>
    </r>
    <r>
      <rPr>
        <sz val="12"/>
        <rFont val="Arial"/>
        <family val="2"/>
      </rPr>
      <t xml:space="preserve"> </t>
    </r>
    <r>
      <rPr>
        <sz val="10"/>
        <color indexed="12"/>
        <rFont val="Arial"/>
        <family val="2"/>
      </rPr>
      <t>CADA DISEÑO ARQUITECTONICO SE AJUSTARA A LA PERFILERIA FORSA</t>
    </r>
    <r>
      <rPr>
        <sz val="10"/>
        <color indexed="10"/>
        <rFont val="Arial"/>
        <family val="2"/>
      </rPr>
      <t>.</t>
    </r>
  </si>
  <si>
    <t>ESPECIFICACIONES TECNICAS VENTANAS</t>
  </si>
  <si>
    <t>NOTA: MEDIDA EN CMS</t>
  </si>
  <si>
    <t>ALTURA EXTERIOR</t>
  </si>
  <si>
    <t>ALTURA DEL PANEL</t>
  </si>
  <si>
    <t>ALTURA DE UML</t>
  </si>
  <si>
    <t>ITEM</t>
  </si>
  <si>
    <t>CANTIDAD</t>
  </si>
  <si>
    <t>ANCHO</t>
  </si>
  <si>
    <t>ALTO</t>
  </si>
  <si>
    <t>ESP</t>
  </si>
  <si>
    <t>ALTURA ANP</t>
  </si>
  <si>
    <t>TIPO</t>
  </si>
  <si>
    <t>ANH TOTAL</t>
  </si>
  <si>
    <t>FOR..DIM</t>
  </si>
  <si>
    <t>ALT EXT</t>
  </si>
  <si>
    <t>AL FM</t>
  </si>
  <si>
    <t>ALT UML</t>
  </si>
  <si>
    <t>VA</t>
  </si>
  <si>
    <t>VAS</t>
  </si>
  <si>
    <t>VRA</t>
  </si>
  <si>
    <t>VR</t>
  </si>
  <si>
    <t>ESCALERA TIPO 01</t>
  </si>
  <si>
    <t>ESCALERA TIPO 02</t>
  </si>
  <si>
    <t>ESCALERA TIPO 03</t>
  </si>
  <si>
    <t>ESCALERA TIPO 04</t>
  </si>
  <si>
    <t>DISTANCIA DE "b"</t>
  </si>
  <si>
    <t>Angulo</t>
  </si>
  <si>
    <t>LOSA</t>
  </si>
  <si>
    <t>longitud 01</t>
  </si>
  <si>
    <t>alt libre</t>
  </si>
  <si>
    <t xml:space="preserve">B </t>
  </si>
  <si>
    <t>CANTIDAD DE PELDAÑOS</t>
  </si>
  <si>
    <t>B</t>
  </si>
  <si>
    <t>ANCHO DE GUALDERA</t>
  </si>
  <si>
    <t>CP</t>
  </si>
  <si>
    <t>LARGO DE GUALDERA</t>
  </si>
  <si>
    <t>ANGULARES</t>
  </si>
  <si>
    <t>LOSA INTERNA</t>
  </si>
  <si>
    <t>FLA</t>
  </si>
  <si>
    <t>FLE</t>
  </si>
  <si>
    <t>FORMALETA DE LOSA EN PUNTAS</t>
  </si>
  <si>
    <t>FL</t>
  </si>
  <si>
    <t>ESPECIFICACIONES TECNICAS DE ESCALERAS</t>
  </si>
  <si>
    <t>MEDIDAS EN CENTIMETROS</t>
  </si>
  <si>
    <t>FORMALETA PARA LA PARTE INTERNA DEL ABANICO</t>
  </si>
  <si>
    <t>ESCALERA TIPO</t>
  </si>
  <si>
    <t>T1</t>
  </si>
  <si>
    <t>Altura libre</t>
  </si>
  <si>
    <t>T2</t>
  </si>
  <si>
    <t>Espesor de losa</t>
  </si>
  <si>
    <t>T3</t>
  </si>
  <si>
    <t>Longiitud 01</t>
  </si>
  <si>
    <t>T4</t>
  </si>
  <si>
    <t>Longitud 02</t>
  </si>
  <si>
    <t>Ancho</t>
  </si>
  <si>
    <t>Altura de peldaño</t>
  </si>
  <si>
    <t>ESPECIFICACIONES TECNICAS DE DOMOS</t>
  </si>
  <si>
    <t>LONG- 01</t>
  </si>
  <si>
    <t>LONG- 02</t>
  </si>
  <si>
    <t>ESP LOSA</t>
  </si>
  <si>
    <t>ALTURA 01</t>
  </si>
  <si>
    <t>ANCHO 01</t>
  </si>
  <si>
    <t>TH</t>
  </si>
  <si>
    <t>EQM</t>
  </si>
  <si>
    <t>AG</t>
  </si>
  <si>
    <t>RML</t>
  </si>
  <si>
    <t>MTSL</t>
  </si>
  <si>
    <t>ESPECIFICACIONES TECNICAS DE COLUMNAS</t>
  </si>
  <si>
    <t>ANCHO 02</t>
  </si>
  <si>
    <t>ALTURA</t>
  </si>
  <si>
    <t>PRETIL---TORREON---FRONTON</t>
  </si>
  <si>
    <t>ANCHO DE FORMALETA</t>
  </si>
  <si>
    <t>""</t>
  </si>
  <si>
    <t xml:space="preserve">MODULO #1 </t>
  </si>
  <si>
    <t>LONG/MURO</t>
  </si>
  <si>
    <t>INC</t>
  </si>
  <si>
    <t>TERM</t>
  </si>
  <si>
    <t>Muro# 1</t>
  </si>
  <si>
    <t>Muro# 2</t>
  </si>
  <si>
    <t>Muro# 3</t>
  </si>
  <si>
    <t>Muro# 4</t>
  </si>
  <si>
    <t>Muro# 5</t>
  </si>
  <si>
    <t>Muro# 6</t>
  </si>
  <si>
    <t>Muro# 7</t>
  </si>
  <si>
    <t>Muro# 8</t>
  </si>
  <si>
    <t>Muro# 9</t>
  </si>
  <si>
    <t>Muro# 10</t>
  </si>
  <si>
    <t>Muro# 11</t>
  </si>
  <si>
    <t>Muro# 12</t>
  </si>
  <si>
    <t>Muro# 13</t>
  </si>
  <si>
    <t>Muro# 14</t>
  </si>
  <si>
    <t>Muro# 15</t>
  </si>
  <si>
    <t>Muro# 16</t>
  </si>
  <si>
    <t>Muro# 17</t>
  </si>
  <si>
    <t>Muro# 18</t>
  </si>
  <si>
    <t>Muro# 19</t>
  </si>
  <si>
    <t>Muro# 20</t>
  </si>
  <si>
    <t>VENTANAS</t>
  </si>
  <si>
    <t>ESCALERAS</t>
  </si>
  <si>
    <t>DOMO</t>
  </si>
  <si>
    <t>COLUMNAS</t>
  </si>
  <si>
    <t>FROMTONES</t>
  </si>
  <si>
    <t>Escalera Tipo</t>
  </si>
  <si>
    <t>Longitud 1</t>
  </si>
  <si>
    <t>Longitud 2</t>
  </si>
  <si>
    <t>Altura de Peldaño</t>
  </si>
  <si>
    <t>espesor muro</t>
  </si>
  <si>
    <t>fundas</t>
  </si>
  <si>
    <t>separadores</t>
  </si>
  <si>
    <t>silletas 2.5</t>
  </si>
  <si>
    <t>silletas 6.5</t>
  </si>
  <si>
    <t>vivientas por torre</t>
  </si>
  <si>
    <t>PASARELAS</t>
  </si>
  <si>
    <t>PAS PLAT GUARD</t>
  </si>
  <si>
    <r>
      <t xml:space="preserve">COTIZACIÓN </t>
    </r>
    <r>
      <rPr>
        <b/>
        <u/>
        <sz val="11"/>
        <color rgb="FF0070C0"/>
        <rFont val="Calibri"/>
        <family val="2"/>
      </rPr>
      <t>CLASE A</t>
    </r>
    <r>
      <rPr>
        <b/>
        <sz val="11"/>
        <color rgb="FF0070C0"/>
        <rFont val="Calibri"/>
        <family val="2"/>
      </rPr>
      <t xml:space="preserve"> </t>
    </r>
    <r>
      <rPr>
        <b/>
        <sz val="11"/>
        <color theme="1"/>
        <rFont val="Calibri"/>
        <family val="2"/>
      </rPr>
      <t>FORSA-ALUM: XXXXXA-15XX</t>
    </r>
  </si>
  <si>
    <t>Ciudad, Mes XX de 2015</t>
  </si>
  <si>
    <t>CLIENTE</t>
  </si>
  <si>
    <t>Sr. Contacto.</t>
  </si>
  <si>
    <t xml:space="preserve">Ciudad  - País  </t>
  </si>
  <si>
    <t>Dirección.</t>
  </si>
  <si>
    <t>Teléfono.</t>
  </si>
  <si>
    <t>Referencia: PROYECTO.</t>
  </si>
  <si>
    <t xml:space="preserve">A continuación presentamos la propuesta económica del Equipo de Formaleta FORSALUM para el Proyecto de la referencia.
FORSA, a través de su fortaleza en servicio, brinda un acompañamiento continuo al constructor, siempre con personal altamente capacitado, desde el anteproyecto hasta la conclusión de la construcción, con el propósito de mejorar su experiencia con el sistema para la optimización permanente de los recursos y el éxito integral de la obra.
Por ser el sistema FORSAALUM monolítico, el tiempo de ejecución de la vivienda se reduce considerablemente (menos de la mitad) en comparación con el sistema tradicional, ya que permite vaciar diariamente y en una sola etapa los muros de fachada, muros internos divisorios, detalles arquitectónicos y las losas de una vivienda. FORSAALUM le brinda más productividad a su obra, haciéndola más rápida, económica y segura.
El sistema FORSAALUM es muy simple en su uso porque tiene menor cantidad de accesorios. Por lo que el personal que moverá los encofrados requiere un mínimo de entrenamiento y sin necesidad de utilizar grúas.  Los paneles FORSAALUM, pesan tan solo 22 kg por m2, haciéndolos manoportables en su operación, facilitando la secuencia de armado y desencofre.
En el sistema tradicional los muros de block se repellan y después se les aplica pasta para dar la terminación final. Con el sistema FORSAALUM, los muros y losas quedan listos para aplicar la pasta (3 mm) directamente sobre la superficie e incluso puede dejarse aparente, ahorrando en los costos de terminación. El sistema FORSAALUM, permite obras limpias y libres de escombros que les generan a los constructores ahorros considerables.
El sistema constructivo de FORSAALUM al permitir vaciar el concreto simultáneamente de muros, losas y culatas de una vivienda, provee un seguro comportamiento sismorresistente que está ampliamente utilizado y comprobado en el mundo. Esto quiere decir que en la eventualidad de un terremoto, de un temblor o de un huracán, no solamente la inversión estará más segura sino que el valor más importante, la vida, tendrá una mayor protección.
El sistema constructivo de FORSAALUM también permite el desarrollo progresivo para que la vivienda se ajuste durante su vida útil.
Lo invitamos a visitar nuestra página web www.forsa.com.co para ampliar información sobre el comportamiento y bondades de la Formaleta que estamos ofertando.
</t>
  </si>
  <si>
    <t>Correo electrónico</t>
  </si>
  <si>
    <t>TELEFONO FJO, CELULAR.</t>
  </si>
  <si>
    <t>FORSA PAIS</t>
  </si>
  <si>
    <t>CARGO</t>
  </si>
  <si>
    <t>NOMBRE COMPLETO DE QUIEN PRESENTA LA OFERTA</t>
  </si>
  <si>
    <t xml:space="preserve">Atentamente   </t>
  </si>
  <si>
    <t>El análisis consiste en:</t>
  </si>
  <si>
    <t>PARTE 1:</t>
  </si>
  <si>
    <t>Un (1) equipo nuevo de formaleta en aluminio para fundir…</t>
  </si>
  <si>
    <t>PARTE 2:</t>
  </si>
  <si>
    <t>Formaleta adicional en aluminio para fundir…</t>
  </si>
  <si>
    <t xml:space="preserve">PARTE 3: (Detalles Adicionales) </t>
  </si>
  <si>
    <t>PARTE 4: (Accesorios de seguridad)</t>
  </si>
  <si>
    <t xml:space="preserve">PARTE 5: (Accesorios complementarios) </t>
  </si>
  <si>
    <t>“MEMORIA GRAFICA"</t>
  </si>
  <si>
    <t>Nota: La distribución de las imágenes será proporcional al tamaño de las mismas.</t>
  </si>
  <si>
    <t>Planos de referencia: xxxxxxxxxxxxxx</t>
  </si>
  <si>
    <t>OBSERVACIONES DE COTIZACIÓN</t>
  </si>
  <si>
    <r>
      <t>Se contempla;</t>
    </r>
    <r>
      <rPr>
        <sz val="11"/>
        <color rgb="FF000000"/>
        <rFont val="Calibri"/>
        <family val="2"/>
        <scheme val="minor"/>
      </rPr>
      <t xml:space="preserve"> Altura libre de xxx cm., Panel muro de xxx cm. + Unión Muro losa tipo xxxxx  de xx cm. De altura.</t>
    </r>
  </si>
  <si>
    <t xml:space="preserve">No se contempla; </t>
  </si>
  <si>
    <t>Se considera muros de xx cm. de espesor.
Se considera losa de xx cm. de espesor.
Se considera enrase de ventanas a xxx cm. De altura.
Se considera losa de punto fijo. (Cantidad).
Se considera enrase de puertas a xxx cm. De altura.
Se considera xxxxx
Se considera xxxxx
Se considera xxxxx</t>
  </si>
  <si>
    <t>No se considera escaleras.
No se considera  losa para cubrir escalera en azotea.
No se considera  xxxx.
No se considera  xxxx.
No se considera Ningún detalle especial.
No se considera cambio entre niveles.
No se considera Junta de dilatación ni desniveles entre viviendas.
No se considera accesorios de seguridad (Plataformas, Guarda cuerpos)
No se considera Puntales para losa, Negativos en aceros , Dilatación en fachada
Solo se considera lo visualizado en la memoria gráfica.</t>
  </si>
  <si>
    <t>RESUMEN DE LA OFERTA</t>
  </si>
  <si>
    <t>RESUMEN</t>
  </si>
  <si>
    <t>Valor Unitario</t>
  </si>
  <si>
    <t>(US$/ m²)</t>
  </si>
  <si>
    <t>Área
(m²)</t>
  </si>
  <si>
    <t>VALOR</t>
  </si>
  <si>
    <t>PARTE 1</t>
  </si>
  <si>
    <t>ALUMINIO + ACCESORIOS</t>
  </si>
  <si>
    <t>PARTE 2</t>
  </si>
  <si>
    <t>ESCALERA + ACCESORIOS</t>
  </si>
  <si>
    <t>PARTE 3</t>
  </si>
  <si>
    <t>ACCESORIOS DE SEGURIDAD</t>
  </si>
  <si>
    <t>PARTE 4</t>
  </si>
  <si>
    <t>ACCESORIOS COMPLEMENTARIOS</t>
  </si>
  <si>
    <t xml:space="preserve">Notas:
• La presente cotización es por valor unitario fijo, las áreas calculadas son aproximadas (+/- 10%), estas pueden variar durante el proceso de coordinación y ajuste de planos, por tanto el valor final del equipo será el que resulte de multiplicar m2 de formaleta calculados sobre los diseños aprobados para construcción por los valores unitarios US$/m2 ofertados.
• La presente propuesta ha sido elaborada según los diseños e indicaciones suministrados.
• La presente cotización se expresa en PESOS COLOMBIANOS, tiene validez por 60 días y el valor se expresa en termino de negociación EXW (puesto en planta Colombia sin pago de impuestos)”
• El tiempo estimado de fabricación es de 2 a 6 semanas aproximadamente a partir de confirmada la orden, el deposito, información definitiva del diseño del proyecto y planos firmados, lo que suceda más tarde. 
• El precio FORSA incluye Servicio Técnico in situ (TIEMPO DEPENDE DEL VALOR DEL PROYECTO).
• Accesorios opcionales sugeridos: Estos se realizaran sobre pedido
• Si se producen cambios de proyecto con posterioridad a la orden, se deberá recotizar el monto y el tiempo de entrega.
</t>
  </si>
  <si>
    <t>Valor Total EXW EQUIPO FORSA</t>
  </si>
  <si>
    <t>Peso</t>
  </si>
  <si>
    <t>Volumen</t>
  </si>
  <si>
    <t>Kg</t>
  </si>
  <si>
    <t>m²</t>
  </si>
  <si>
    <r>
      <t>m</t>
    </r>
    <r>
      <rPr>
        <b/>
        <vertAlign val="superscript"/>
        <sz val="10"/>
        <color rgb="FF000000"/>
        <rFont val="Calibri"/>
        <family val="2"/>
        <scheme val="minor"/>
      </rPr>
      <t>3</t>
    </r>
  </si>
  <si>
    <t>listado culatas</t>
  </si>
  <si>
    <t>culata</t>
  </si>
  <si>
    <t>valor culata</t>
  </si>
  <si>
    <t>PARTE 5</t>
  </si>
  <si>
    <t>CULATA + ACCESORIOS</t>
  </si>
  <si>
    <t>perimetros sist seg.</t>
  </si>
  <si>
    <t>alto 1 (cm)</t>
  </si>
  <si>
    <t>alto 2 (cm)</t>
  </si>
  <si>
    <t>long. (cm)</t>
  </si>
  <si>
    <t>ancho (cm)</t>
  </si>
  <si>
    <t>alto (cm)</t>
  </si>
  <si>
    <t>valor / m²</t>
  </si>
  <si>
    <t>kg</t>
  </si>
  <si>
    <t>precio</t>
  </si>
  <si>
    <t>cajas</t>
  </si>
  <si>
    <t>peso</t>
  </si>
  <si>
    <t>peso un</t>
  </si>
  <si>
    <t>peso total</t>
  </si>
  <si>
    <t>cant x m2</t>
  </si>
  <si>
    <t>m2</t>
  </si>
  <si>
    <t>pesos sist seg</t>
  </si>
  <si>
    <t>vol sist seg</t>
  </si>
  <si>
    <t>long.
(cm)</t>
  </si>
  <si>
    <t>INSTRUCCIONES</t>
  </si>
  <si>
    <t>1- Este archivo es propiedad de FORSA, es para uso personal e intransferible, no se puede compartir con otras personas independientemente de que pertenezcan o no a la familia FORSA. Con los clientes solamente se pueden compartir datos con impresiones en PDF o en papel. Cualquier violación a lo expuesto arriba será considerado como una violación al uso confidencial de la información al interior de la compañía y como tal sera tratado el caso.</t>
  </si>
  <si>
    <t>2- Identifique con números cada muro que conforma la unidad, se sugiere marcar primero los horizontales y luego los verticales de manera secuencial para facilitar revisiones posteriores.</t>
  </si>
  <si>
    <t>3- Identifique con números cada puerta y ventana que conforma la unidad, se sugiere arrancar por el perímetro arrancando en la parte superior, conservando el sentido de las manecillas del reloj, y terminar con puertas y ventanas interiores.</t>
  </si>
  <si>
    <t>4- Tenga en cuenta que los muros deben ser continuos sobre puertas y ventanas para considerar el efecto de antepechos y dinteles.</t>
  </si>
  <si>
    <t>5- Las longitudes de muros siempre se deben considerar a sus bordes extremos.</t>
  </si>
  <si>
    <t>6- En caso de que existan culatas, como altura como altura libre (celda Q6), se debe considerar el punto mas bajo de todas las vertientes.</t>
  </si>
  <si>
    <t xml:space="preserve">7- Toda sección de muro por encima de la altura libre definida se debe considerar en el cuadro de culatas. </t>
  </si>
  <si>
    <t>8- Para culatas de sección constante la altura 1 y 2, columnas L y M se deben diligenciar con el mismo valor.</t>
  </si>
  <si>
    <t>EQUIPO BASE</t>
  </si>
  <si>
    <t>ADAPTACION 1</t>
  </si>
  <si>
    <t>ADAPTACION 2</t>
  </si>
  <si>
    <t>ADAPTACION 3</t>
  </si>
  <si>
    <t>DESCRIPCION</t>
  </si>
  <si>
    <t>TOTAL ADAPTACIONES (M2)</t>
  </si>
  <si>
    <t>pesos</t>
  </si>
  <si>
    <t>PARTE 6</t>
  </si>
  <si>
    <t>ADICIONALES ALUMINIO + ACCESORIOS</t>
  </si>
  <si>
    <r>
      <t xml:space="preserve">9- Al cotizar unidades que se repiten como </t>
    </r>
    <r>
      <rPr>
        <b/>
        <u/>
        <sz val="11"/>
        <color theme="1"/>
        <rFont val="Calibri"/>
        <family val="2"/>
        <scheme val="minor"/>
      </rPr>
      <t>espejo,</t>
    </r>
    <r>
      <rPr>
        <sz val="11"/>
        <color theme="1"/>
        <rFont val="Calibri"/>
        <family val="2"/>
        <scheme val="minor"/>
      </rPr>
      <t xml:space="preserve"> se debe tener presente si el poryecto requiere </t>
    </r>
    <r>
      <rPr>
        <b/>
        <u/>
        <sz val="11"/>
        <color theme="1"/>
        <rFont val="Calibri"/>
        <family val="2"/>
        <scheme val="minor"/>
      </rPr>
      <t>culatas dobles por el efecto de piezas izquierdas y derechas</t>
    </r>
    <r>
      <rPr>
        <sz val="11"/>
        <color theme="1"/>
        <rFont val="Calibri"/>
        <family val="2"/>
        <scheme val="minor"/>
      </rPr>
      <t xml:space="preserve">. </t>
    </r>
  </si>
  <si>
    <r>
      <t xml:space="preserve">10- En adaptaciones con vaciados de muros comunes, </t>
    </r>
    <r>
      <rPr>
        <b/>
        <u/>
        <sz val="11"/>
        <color theme="1"/>
        <rFont val="Calibri"/>
        <family val="2"/>
        <scheme val="minor"/>
      </rPr>
      <t>los muros comunes se deben tener en cuenta en el calculo de todas las unidades involucradas</t>
    </r>
    <r>
      <rPr>
        <sz val="11"/>
        <color theme="1"/>
        <rFont val="Calibri"/>
        <family val="2"/>
        <scheme val="minor"/>
      </rPr>
      <t>.</t>
    </r>
  </si>
  <si>
    <t>11- En adaptaciones con muros comunes se debe advertir al cliente que cambios en la secuencia de fundición puede generar variaciones en las cantidades de formaleta calculada.</t>
  </si>
  <si>
    <t xml:space="preserve">12- En la hoja de adaptaciones el equipo base siempre debe ser el de menor área, de igual manera las adaptaciones 1, 2, y 3 se deben ingresar en estricto orden de menor a mayor. </t>
  </si>
  <si>
    <t>CULATAS</t>
  </si>
  <si>
    <t>ADICIONALES (M2)</t>
  </si>
  <si>
    <t>Flete</t>
  </si>
  <si>
    <t>IVA</t>
  </si>
  <si>
    <t>Valor Total de la Oferta</t>
  </si>
  <si>
    <t>DETALLE DE ACCESORIOS BASICOS INCLUÍDOS</t>
  </si>
  <si>
    <r>
      <rPr>
        <b/>
        <sz val="11"/>
        <color theme="1"/>
        <rFont val="Calibri"/>
        <family val="2"/>
        <scheme val="minor"/>
      </rPr>
      <t>Accesorios básicos de sujeción y alineación:</t>
    </r>
    <r>
      <rPr>
        <sz val="11"/>
        <color theme="1"/>
        <rFont val="Calibri"/>
        <family val="2"/>
        <scheme val="minor"/>
      </rPr>
      <t xml:space="preserve"> Sujeción de muro: </t>
    </r>
    <r>
      <rPr>
        <sz val="11"/>
        <color rgb="FFFF0000"/>
        <rFont val="Calibri"/>
        <family val="2"/>
        <scheme val="minor"/>
      </rPr>
      <t>pinflecha</t>
    </r>
    <r>
      <rPr>
        <sz val="11"/>
        <rFont val="Calibri"/>
        <family val="2"/>
        <scheme val="minor"/>
      </rPr>
      <t>;</t>
    </r>
    <r>
      <rPr>
        <sz val="11"/>
        <color theme="1"/>
        <rFont val="Calibri"/>
        <family val="2"/>
        <scheme val="minor"/>
      </rPr>
      <t xml:space="preserve"> Sujeción de losa: </t>
    </r>
    <r>
      <rPr>
        <sz val="11"/>
        <color rgb="FFFF0000"/>
        <rFont val="Calibri"/>
        <family val="2"/>
        <scheme val="minor"/>
      </rPr>
      <t>pin y cuñas</t>
    </r>
    <r>
      <rPr>
        <sz val="11"/>
        <color theme="1"/>
        <rFont val="Calibri"/>
        <family val="2"/>
        <scheme val="minor"/>
      </rPr>
      <t>.</t>
    </r>
  </si>
  <si>
    <r>
      <rPr>
        <b/>
        <sz val="11"/>
        <color theme="1"/>
        <rFont val="Calibri"/>
        <family val="2"/>
        <scheme val="minor"/>
      </rPr>
      <t>Otros:</t>
    </r>
    <r>
      <rPr>
        <sz val="11"/>
        <color theme="1"/>
        <rFont val="Calibri"/>
        <family val="2"/>
        <scheme val="minor"/>
      </rPr>
      <t xml:space="preserve"> corbatas, pin grapas, tornillos, tensores puertas y ventanas, tensores de muro solamente en fachadas, porta alineadores.</t>
    </r>
  </si>
  <si>
    <r>
      <rPr>
        <b/>
        <sz val="11"/>
        <color theme="1"/>
        <rFont val="Calibri"/>
        <family val="2"/>
        <scheme val="minor"/>
      </rPr>
      <t>Juego Pasarela exterior:</t>
    </r>
    <r>
      <rPr>
        <sz val="11"/>
        <color theme="1"/>
        <rFont val="Calibri"/>
        <family val="2"/>
        <scheme val="minor"/>
      </rPr>
      <t xml:space="preserve"> La cantidad es de 2  perímetros del equipo cotizado.</t>
    </r>
  </si>
  <si>
    <r>
      <rPr>
        <b/>
        <sz val="11"/>
        <color theme="1"/>
        <rFont val="Calibri"/>
        <family val="2"/>
        <scheme val="minor"/>
      </rPr>
      <t>Juego de Herramientas básicas:</t>
    </r>
    <r>
      <rPr>
        <sz val="11"/>
        <color theme="1"/>
        <rFont val="Calibri"/>
        <family val="2"/>
        <scheme val="minor"/>
      </rPr>
      <t xml:space="preserve"> barretas, saca corbatas, saca paneles, 2 saca ángulos,  escalera de armado y grada móvil</t>
    </r>
  </si>
  <si>
    <r>
      <rPr>
        <b/>
        <sz val="11"/>
        <color theme="1"/>
        <rFont val="Calibri"/>
        <family val="2"/>
        <scheme val="minor"/>
      </rPr>
      <t>Consumibles 20 vaciados:</t>
    </r>
    <r>
      <rPr>
        <sz val="11"/>
        <color theme="1"/>
        <rFont val="Calibri"/>
        <family val="2"/>
        <scheme val="minor"/>
      </rPr>
      <t xml:space="preserve"> fundas para corbatas, separadores plásticos y viruta metálica para limpieza</t>
    </r>
  </si>
  <si>
    <t>ESCRIBA VALOR DEL FLETE</t>
  </si>
  <si>
    <t>AREA TOTAL
(M2)</t>
  </si>
  <si>
    <t>AREA
CULATAS
(M2)</t>
  </si>
  <si>
    <t>AREA
ADAPTABLE
(M2)</t>
  </si>
  <si>
    <t>ADICIONALES
POR MAYOR
AREA</t>
  </si>
  <si>
    <t>ADICIONALES
POR
OPTIMIZACION</t>
  </si>
  <si>
    <t>ADICIONALES
TOTALES
(M2)</t>
  </si>
  <si>
    <t>SALDO
ADAPTACION</t>
  </si>
  <si>
    <t>ANALISIS</t>
  </si>
  <si>
    <t>INVENTARIO INICIAL</t>
  </si>
  <si>
    <t>TUBO 60 X 40   1ML</t>
  </si>
  <si>
    <t>GUARDACUERPO</t>
  </si>
  <si>
    <t xml:space="preserve">PLATAFORMA </t>
  </si>
  <si>
    <t>TORNILLO TWA</t>
  </si>
  <si>
    <t>CORBATA M15</t>
  </si>
  <si>
    <t xml:space="preserve">CUÑA PARA PASADOR </t>
  </si>
  <si>
    <t>CUÑA EN ANGULO</t>
  </si>
  <si>
    <r>
      <t xml:space="preserve">Guarda cuerpo </t>
    </r>
    <r>
      <rPr>
        <u/>
        <sz val="10"/>
        <color rgb="FF0070C0"/>
        <rFont val="Calibri"/>
        <family val="2"/>
      </rPr>
      <t xml:space="preserve"> en armado</t>
    </r>
  </si>
  <si>
    <t xml:space="preserve">PASADOR CABEZA PLANA </t>
  </si>
  <si>
    <r>
      <t>Guarda cuerpos</t>
    </r>
    <r>
      <rPr>
        <sz val="10"/>
        <color rgb="FF000000"/>
        <rFont val="Calibri"/>
        <family val="2"/>
      </rPr>
      <t xml:space="preserve">  </t>
    </r>
    <r>
      <rPr>
        <sz val="10"/>
        <color rgb="FF0070C0"/>
        <rFont val="Calibri"/>
        <family val="2"/>
      </rPr>
      <t>(sobre concreto)</t>
    </r>
  </si>
  <si>
    <t>PLATAFORMA (+ 2 TUBOS 60 X 40 1ML)</t>
  </si>
  <si>
    <t>VALOR TOTAL DE UN KIT DE PASARELA 1 UNID POR MTL ( SIN TUBOS)</t>
  </si>
  <si>
    <t>PASARELA</t>
  </si>
  <si>
    <r>
      <t>Plataformas</t>
    </r>
    <r>
      <rPr>
        <sz val="10"/>
        <color rgb="FF000000"/>
        <rFont val="Calibri"/>
        <family val="2"/>
      </rPr>
      <t xml:space="preserve"> </t>
    </r>
    <r>
      <rPr>
        <sz val="10"/>
        <color rgb="FF0070C0"/>
        <rFont val="Calibri"/>
        <family val="2"/>
      </rPr>
      <t>(sobre concreto)</t>
    </r>
  </si>
  <si>
    <t xml:space="preserve">PASARELA CON POSTE </t>
  </si>
  <si>
    <r>
      <t>Pasarelas</t>
    </r>
    <r>
      <rPr>
        <sz val="10"/>
        <color rgb="FF000000"/>
        <rFont val="Calibri"/>
        <family val="2"/>
      </rPr>
      <t xml:space="preserve">  </t>
    </r>
    <r>
      <rPr>
        <sz val="10"/>
        <color rgb="FF00B0F0"/>
        <rFont val="Calibri"/>
        <family val="2"/>
      </rPr>
      <t>(sobre concreto)</t>
    </r>
  </si>
  <si>
    <t>Los Sig. Valores de  kit de de seguridad contemplan (1 kit de pasarela, guardacuerpo tipo 100,  plataforma de 106 x 60 y 3 tubos 60 x 40) estos valores corresponden a 1 metro lineal.</t>
  </si>
  <si>
    <t>Peso empaque</t>
  </si>
  <si>
    <t>Peso- unitario</t>
  </si>
  <si>
    <t>Valor USD</t>
  </si>
  <si>
    <t>Valor Pesos</t>
  </si>
  <si>
    <t xml:space="preserve">DECRIPCION </t>
  </si>
  <si>
    <t>CODIGO</t>
  </si>
  <si>
    <t>Valor de MTL Dolares</t>
  </si>
  <si>
    <t>Valor de MTL Pesos</t>
  </si>
  <si>
    <t>PARA TENSOR S.PLASTI (FORSA)</t>
  </si>
  <si>
    <t>PARA TENSOR MURO (FORSA)</t>
  </si>
  <si>
    <t>PARA TENSOR DOBLE (FORSA)</t>
  </si>
  <si>
    <t/>
  </si>
  <si>
    <t>ZAPATA</t>
  </si>
  <si>
    <t>Z</t>
  </si>
  <si>
    <t>5/8" GALV G5</t>
  </si>
  <si>
    <t>WASA</t>
  </si>
  <si>
    <t>W</t>
  </si>
  <si>
    <t>250 GR CAJA X 50 UN</t>
  </si>
  <si>
    <t>VIRUTA</t>
  </si>
  <si>
    <t>UPN 100 X 3.0 MTS PERFORADA (FORSA)</t>
  </si>
  <si>
    <t>UPN 100 X 2.5 MTS PERFORADA (FORSA)</t>
  </si>
  <si>
    <t>UPN 100 X 2.0 MTS PERFORADA(FORSA)</t>
  </si>
  <si>
    <t>MURO 1 CARA DE 3.0M (FORSA)</t>
  </si>
  <si>
    <t>MURO 1 CARA DE 2.0M (FORSA)</t>
  </si>
  <si>
    <t>MURO 1 CARA DE 1.5M (FORSA)</t>
  </si>
  <si>
    <t>IPE 120 X 6,0 MTS PERFORADA (FORSA)</t>
  </si>
  <si>
    <t>IPE 120 X 6,0 MTS - I</t>
  </si>
  <si>
    <t>IPE 120 X 5,0 MTS (FORSA)</t>
  </si>
  <si>
    <t>IPE 120 X 4,5 MTS (FORSA)</t>
  </si>
  <si>
    <t>IPE 120 X 4,0 MTS (FORSA)</t>
  </si>
  <si>
    <t>IPE 120 X 3,0 MTS - I</t>
  </si>
  <si>
    <t>IPE 120 X 2,0 MTS (FORSA)</t>
  </si>
  <si>
    <t>IPE 120 X 1,5 MTS (FORSA)</t>
  </si>
  <si>
    <t>IPE 120 X 1,2 MTS - I</t>
  </si>
  <si>
    <t>IPE 120 X 1,0 MTS (FORSA)</t>
  </si>
  <si>
    <t>DE MADERA H20 X 6,00 MTS - I</t>
  </si>
  <si>
    <t>DE MADERA H20 X 4,90 MTS - I</t>
  </si>
  <si>
    <t>DE MADERA H20 X 3,90 MTS - I</t>
  </si>
  <si>
    <t>DE MADERA H20 X 1,95 MTS - I</t>
  </si>
  <si>
    <t>VIGA</t>
  </si>
  <si>
    <t>V</t>
  </si>
  <si>
    <t>70X70 DE 5-6 MTS (FORSA)</t>
  </si>
  <si>
    <t>70X70 DE 4-5 MTS (FORSA)</t>
  </si>
  <si>
    <t>70X70 DE 3-4 MTS (FORSA)</t>
  </si>
  <si>
    <t>70X70 DE 2-3 MTS (FORSA)</t>
  </si>
  <si>
    <t>70X70 DE 1-2 MTS (FORSA)</t>
  </si>
  <si>
    <t>70X70 DE 0-1 MTS (FORSA)</t>
  </si>
  <si>
    <t>60 X 40 DE 5-6 MTS (FORSA)</t>
  </si>
  <si>
    <t>60 X 40 DE 4-5 MTS (FORSA)</t>
  </si>
  <si>
    <t>60 X 40 DE 3-4 MTS (FORSA)</t>
  </si>
  <si>
    <t>60 X 40 DE 2-3 MTS (FORSA)</t>
  </si>
  <si>
    <t>60 X 40 DE 1-2 MTS (FORSA)</t>
  </si>
  <si>
    <t>60 X 40 DE 0-1 MTS (FORSA)</t>
  </si>
  <si>
    <t>TUBOS</t>
  </si>
  <si>
    <t>97-166 MTS (FORSA)</t>
  </si>
  <si>
    <t>610-680 (FORSA)</t>
  </si>
  <si>
    <t>587-656 MTS (FORSA)</t>
  </si>
  <si>
    <t>517-586 MTS (FORSA)</t>
  </si>
  <si>
    <t>447-516 MTS (FORSA)</t>
  </si>
  <si>
    <t>377-446 MTS (FORSA)</t>
  </si>
  <si>
    <t>307-376 MTS (FORSA)</t>
  </si>
  <si>
    <t>237-306 MTS (FORSA)</t>
  </si>
  <si>
    <t>167-236 MTS (FORSA)</t>
  </si>
  <si>
    <t>TENSOR INFRAESTRUCTURA</t>
  </si>
  <si>
    <t>T5 91-120 (FORSA)</t>
  </si>
  <si>
    <t>T5 61-90 (FORSA)</t>
  </si>
  <si>
    <t>T5 30-60 (FORSA)</t>
  </si>
  <si>
    <t>T5 151-180 (FORSA)</t>
  </si>
  <si>
    <t>T5 121-150 (FORSA)</t>
  </si>
  <si>
    <t>T4 91-120 (FORSA)</t>
  </si>
  <si>
    <t>T4 61-90 (FORSA)</t>
  </si>
  <si>
    <t>T4 30-60 (FORSA)</t>
  </si>
  <si>
    <t>T4 151-180 (FORSA)</t>
  </si>
  <si>
    <t>T4 121-150 (FORSA)</t>
  </si>
  <si>
    <t>T3 91-120 (FORSA)</t>
  </si>
  <si>
    <t>T3 61-90 (FORSA)</t>
  </si>
  <si>
    <t>T3 30-60 (FORSA)</t>
  </si>
  <si>
    <t>T3 151-180 (FORSA)</t>
  </si>
  <si>
    <t>T3 121-150 (FORSA)</t>
  </si>
  <si>
    <t>T2 91-120 (FORSA)</t>
  </si>
  <si>
    <t>T2 61-90 (FORSA)</t>
  </si>
  <si>
    <t>T2 30-60 (FORSA)</t>
  </si>
  <si>
    <t>T2 151-180 (FORSA)</t>
  </si>
  <si>
    <t>T2 121-150 (FORSA)</t>
  </si>
  <si>
    <t>T1 91-120 (FORSA)</t>
  </si>
  <si>
    <t>T1 61-90 (FORSA)</t>
  </si>
  <si>
    <t>T1 30-60 (FORSA)</t>
  </si>
  <si>
    <t>T1 151-180 (FORSA)</t>
  </si>
  <si>
    <t>T1 121-150 (FORSA)</t>
  </si>
  <si>
    <t>TENSOR FIJO DE VANO</t>
  </si>
  <si>
    <t>C 121-150 (FORSA)</t>
  </si>
  <si>
    <t>B 91-120 (FORSA)</t>
  </si>
  <si>
    <t>A 60-90 (FORSA)</t>
  </si>
  <si>
    <t>TENSOR EXTENSIBLE DE VANO</t>
  </si>
  <si>
    <t>12 X 240 (FORSA)</t>
  </si>
  <si>
    <t>11 X 60 (FORSA)</t>
  </si>
  <si>
    <t>11 X 240 (FORSA)</t>
  </si>
  <si>
    <t>10 X 90 (FORSA)</t>
  </si>
  <si>
    <t>10 X 240 (FORSA)</t>
  </si>
  <si>
    <t>10 X 220 (FORSA)</t>
  </si>
  <si>
    <t>10 X 120 (FORSA)</t>
  </si>
  <si>
    <t>TAPA MURO</t>
  </si>
  <si>
    <t>F.ACERO 15 X 15 CM(FORSA)</t>
  </si>
  <si>
    <t>F.ACERO 10 X 10 (FORSA)</t>
  </si>
  <si>
    <t>TAPA ESQUINERO</t>
  </si>
  <si>
    <t>T</t>
  </si>
  <si>
    <t>SIN RESTRICCION (FORSA)</t>
  </si>
  <si>
    <t>F.ACERO CON RESTRICCION (FORSA)</t>
  </si>
  <si>
    <t>CON RESTRICCION (FORSA)</t>
  </si>
  <si>
    <t>SOPORTE PARA CUCHILLA</t>
  </si>
  <si>
    <t>ESQUINERA (FORSA)</t>
  </si>
  <si>
    <t>EN T (FORSA)</t>
  </si>
  <si>
    <t>ALTA (FORSA)</t>
  </si>
  <si>
    <t>(FORSA)</t>
  </si>
  <si>
    <t>SOPORTE LINEA DE VIDA</t>
  </si>
  <si>
    <t>SUPERIOR TORNILLO 3P (FORSA)</t>
  </si>
  <si>
    <t>PARA UML (FORSA)</t>
  </si>
  <si>
    <t>PARA PUNTAL (FORSA)</t>
  </si>
  <si>
    <t>PARA PRETIL (FORSA)</t>
  </si>
  <si>
    <t>PARA LOSA F.ACERO (FORSA)</t>
  </si>
  <si>
    <t>PARA FORMALETA (FORSA)</t>
  </si>
  <si>
    <t>PARA DOMO (FORSA)</t>
  </si>
  <si>
    <t>PARA CPBL (FORSA)</t>
  </si>
  <si>
    <t>MALLA VOLADIZO (FORSA)</t>
  </si>
  <si>
    <t>INFERIOR TORNILLO 3P (FORSA)</t>
  </si>
  <si>
    <t>CIMENTACION (FORSA)</t>
  </si>
  <si>
    <t>ALINEADOR DE CAP (FORSA)</t>
  </si>
  <si>
    <t>AG DE ARRASTRE (FORSA)</t>
  </si>
  <si>
    <t>SOPORTE</t>
  </si>
  <si>
    <t>SUPERGLAZE ER-5356 DE 3/64" X 7.26K-I</t>
  </si>
  <si>
    <t>MIG 5356 DE 0.045 X 8.00KL</t>
  </si>
  <si>
    <t>A/CARBONO MIG MAG 0.045MM</t>
  </si>
  <si>
    <t>SOLDADURA</t>
  </si>
  <si>
    <t>DE 6.5 CMS CAJA X 1500 UND</t>
  </si>
  <si>
    <t>DE 2.5 CMS CAJA X 4000 UND</t>
  </si>
  <si>
    <t>SILLETA P/ENTREPISO</t>
  </si>
  <si>
    <t>SENC-DOBLE 80 MM CAJA X 3500 UND</t>
  </si>
  <si>
    <t>SENC-DOBLE 150MM CAJA X 700</t>
  </si>
  <si>
    <t>SENC-DOBLE 120MM CAJA X 1200 UND</t>
  </si>
  <si>
    <t>SENC-DOBLE 100MM CAJA X 1800 UND</t>
  </si>
  <si>
    <t>SEPARADOR DE MALLA</t>
  </si>
  <si>
    <t>S.PLASTICO (FORSA)</t>
  </si>
  <si>
    <t>SACA PANEL</t>
  </si>
  <si>
    <t>-</t>
  </si>
  <si>
    <t>SACA CORBATA DE IMPACTO</t>
  </si>
  <si>
    <t>SACA ANGULO</t>
  </si>
  <si>
    <t>S</t>
  </si>
  <si>
    <t>REMOVEDOR DE CEMENTO X 200 LITROS</t>
  </si>
  <si>
    <t>REMOVEDOR DE CEMENTO</t>
  </si>
  <si>
    <t>REMACHE BUSHING 6,20MM X LARGO 20.00MM</t>
  </si>
  <si>
    <t xml:space="preserve">DRIVE RIVETS 1/4" DE 21.4MM </t>
  </si>
  <si>
    <t>REMACHE</t>
  </si>
  <si>
    <t>R</t>
  </si>
  <si>
    <t>TENSOR MURO 3,5-S(55/48MM) 2.0A3.5 MT -I</t>
  </si>
  <si>
    <t>TACO METALICO 81-110 (FORSA)</t>
  </si>
  <si>
    <t>TACO METALICO 45-80 (FORSA)</t>
  </si>
  <si>
    <t>TACO METALICO 111-163 (FORSA)</t>
  </si>
  <si>
    <t>DE LOSA 3-S (55/48MM)1.75 A 3.0 M -I</t>
  </si>
  <si>
    <t>PUNTAL</t>
  </si>
  <si>
    <t>PARA PASARELA SIS.SEGURIDAD (FORSA)</t>
  </si>
  <si>
    <t>PARA PASARELA (FORSA)</t>
  </si>
  <si>
    <t>PARA BORDE DE CAP (FORSA)</t>
  </si>
  <si>
    <t>POSTE</t>
  </si>
  <si>
    <t>TAPA MURO VERTICAL</t>
  </si>
  <si>
    <t>ROSCADO 20-30 CM (FORSA)</t>
  </si>
  <si>
    <t>ROSCADO 10-20 CM (FORSA)</t>
  </si>
  <si>
    <t>P/ALINEADOR DE CAP (FORSA)</t>
  </si>
  <si>
    <t>PORTALINEADOR</t>
  </si>
  <si>
    <t>732 X 320 MM -  I</t>
  </si>
  <si>
    <t>2572 X 320 MM (FORSA)</t>
  </si>
  <si>
    <t>2572 X 254 MM (FORSA)</t>
  </si>
  <si>
    <t>2072 X 320 MM (FORSA)</t>
  </si>
  <si>
    <t>1500 X 320 MM (FORSA)</t>
  </si>
  <si>
    <t>1500 X 203 MM (FORSA)</t>
  </si>
  <si>
    <t>1070 X 320 MM - I</t>
  </si>
  <si>
    <t>PLATAFORMA INFRAESTRUCTURA</t>
  </si>
  <si>
    <t>PASARELA ESQUINERA (FORSA)</t>
  </si>
  <si>
    <t>39 X 300 MM -I</t>
  </si>
  <si>
    <t>(91-120) X 60 CM NS (FORSA)</t>
  </si>
  <si>
    <t>(91-120) X 35 CM NS (FORSA)</t>
  </si>
  <si>
    <t>(91-120) X 30 CM (FORSA)</t>
  </si>
  <si>
    <t>(91-120) X 25 CM NS (FORSA)</t>
  </si>
  <si>
    <t>(91-120) X 20 CM NS (FORSA)</t>
  </si>
  <si>
    <t>(91-120) X 15 CM NS (FORSA)</t>
  </si>
  <si>
    <t>(91-120) X 10 CM NS (FORSA)</t>
  </si>
  <si>
    <t>(61-90) X 60 CM NS (FORSA)</t>
  </si>
  <si>
    <t>(61-90) X 35 CM NS (FORSA)</t>
  </si>
  <si>
    <t>(61-90) X 30 CM (FORSA)</t>
  </si>
  <si>
    <t>(61-90) X 25 CM NS (FORSA)</t>
  </si>
  <si>
    <t>(61-90) X 20 CM NS (FORSA)</t>
  </si>
  <si>
    <t>(61-90) X 15 CM NS (FORSA)</t>
  </si>
  <si>
    <t>(61-90) X 10 CM NS (FORSA)</t>
  </si>
  <si>
    <t>(30-60) X 60 CM NS (FORSA)</t>
  </si>
  <si>
    <t>(30-60) X 35 CM NS (FORSA)</t>
  </si>
  <si>
    <t>(30-60) X 30 CM (FORSA)</t>
  </si>
  <si>
    <t>(30-60) X 25 CM NS (FORSA)</t>
  </si>
  <si>
    <t>(30-60) X 20 CM NS (FORSA)</t>
  </si>
  <si>
    <t>(30-60) X 15 CM NS (FORSA)</t>
  </si>
  <si>
    <t>(30-60) X 10 CM NS (FORSA)</t>
  </si>
  <si>
    <t>(181-210) X 60 CM NS (FORSA)</t>
  </si>
  <si>
    <t>(181-210) X 35 CM NS (FORSA)</t>
  </si>
  <si>
    <t>(181-210) X 30 CM (FORSA)</t>
  </si>
  <si>
    <t>(181-210) X 25 CM NS (FORSA)</t>
  </si>
  <si>
    <t>(181-210) X 20 CM NS (FORSA)</t>
  </si>
  <si>
    <t>(181-210) X 15 CM NS (FORSA)</t>
  </si>
  <si>
    <t>(181-210) X 10 CM NS (FORSA)</t>
  </si>
  <si>
    <t>(151-180) X 60 CM NS (FORSA)</t>
  </si>
  <si>
    <t>(151-180) X 35 CM NS (FORSA)</t>
  </si>
  <si>
    <t>(151-180) X 30 CM (FORSA)</t>
  </si>
  <si>
    <t>(151-180) X 25 CM NS (FORSA)</t>
  </si>
  <si>
    <t>(151-180) X 20 CM NS (FORSA)</t>
  </si>
  <si>
    <t>(151-180) X 15 CM NS (FORSA)</t>
  </si>
  <si>
    <t>(151-180) X 10 CM NS (FORSA)</t>
  </si>
  <si>
    <t>(121-150) X 60 CM NS (FORSA)</t>
  </si>
  <si>
    <t>(121-150) X 35 CM NS (FORSA)</t>
  </si>
  <si>
    <t>(121-150) X 30 CM (FORSA)</t>
  </si>
  <si>
    <t>(121-150) X 25 CM NS (FORSA)</t>
  </si>
  <si>
    <t>(121-150) X 20 CM NS (FORSA)</t>
  </si>
  <si>
    <t>(121-150) X 15 CM NS (FORSA)</t>
  </si>
  <si>
    <t>(121-150) X 10 CM NS (FORSA)</t>
  </si>
  <si>
    <t>PLATAFORMA</t>
  </si>
  <si>
    <t>REGULABLE</t>
  </si>
  <si>
    <t>PARA PIN GRAPA</t>
  </si>
  <si>
    <t>MEDIO</t>
  </si>
  <si>
    <t>GRAPA IZQUIERDO 22 MM GALV-I</t>
  </si>
  <si>
    <t>GRAPA DERECHO 22 MM GALV-I</t>
  </si>
  <si>
    <t>CORTO</t>
  </si>
  <si>
    <t>(PIN + CHAPOLA + V ROSCADA) (FORSA)</t>
  </si>
  <si>
    <t>PIN</t>
  </si>
  <si>
    <t>SIN POSTE S.S (FORSA)</t>
  </si>
  <si>
    <t>SIN POSTE 1.0 (FORSA)</t>
  </si>
  <si>
    <t>+ POSTE 1.1 MT S.S (FORSA)..</t>
  </si>
  <si>
    <t>+ POSTE 1.1 MIXTA (FORSA</t>
  </si>
  <si>
    <t>+ POSTE 1 MT (FORSA)..</t>
  </si>
  <si>
    <t>PASARELA VOLADIZO DINTEL</t>
  </si>
  <si>
    <t>1.1 MT S.S (FORSA)</t>
  </si>
  <si>
    <t>1 MT (FORSA)..</t>
  </si>
  <si>
    <t>+ POSTE 1.1 MT S.S (FORSA).</t>
  </si>
  <si>
    <t>+ POSTE 1.1 MT MIXTA (FORSA)</t>
  </si>
  <si>
    <t>+ POSTE 1 MT (FORSA).</t>
  </si>
  <si>
    <t>PASARELA VOLADIZO</t>
  </si>
  <si>
    <t>PASARELA TIPO CEMEX</t>
  </si>
  <si>
    <t>S3</t>
  </si>
  <si>
    <t>PASARELA INFRAESTRUCTURA</t>
  </si>
  <si>
    <t>PASARELA FORMALETA ACERO</t>
  </si>
  <si>
    <t>1 MT (FORSA).</t>
  </si>
  <si>
    <t>+ POSTE 1.1 MT S.S (FORSA)</t>
  </si>
  <si>
    <t>+ POSTE 1.1 MT MIXTA(FORSA)</t>
  </si>
  <si>
    <t>+ POSTE 1 MT (FORSA)</t>
  </si>
  <si>
    <t>PASARELA EXTERIOR</t>
  </si>
  <si>
    <t>SIN PLATAFORMA (FORSA)</t>
  </si>
  <si>
    <t>+ PLATAFORMA SS (FORSA)</t>
  </si>
  <si>
    <t>+ PLATAFORMA (FORSA)</t>
  </si>
  <si>
    <t>PASARELA ESQUINERA</t>
  </si>
  <si>
    <t>ROSCADO + TUERCA S.PLASTICO -I</t>
  </si>
  <si>
    <t>ROSCADO + TUERCA S.ALUMNIO -I</t>
  </si>
  <si>
    <t>PASADOR TM-PLAST -I</t>
  </si>
  <si>
    <t>MEDIANO -N</t>
  </si>
  <si>
    <t>FLECHA GALVANIZADO -I</t>
  </si>
  <si>
    <t>EXTRA LARGO -N</t>
  </si>
  <si>
    <t>CORTO -I</t>
  </si>
  <si>
    <t>CORTO CABEZA PLANA -I</t>
  </si>
  <si>
    <t>PASADOR</t>
  </si>
  <si>
    <t>P</t>
  </si>
  <si>
    <t>NIVELADOR DE CUCHILLA</t>
  </si>
  <si>
    <t>5-10 KG (FORSA)</t>
  </si>
  <si>
    <t>25-30 KG (FORSA)</t>
  </si>
  <si>
    <t>20-25 KG (FORSA)</t>
  </si>
  <si>
    <t>15-20 KG (FORSA)</t>
  </si>
  <si>
    <t>1-5 KG (FORSA)</t>
  </si>
  <si>
    <t>10-15 KG (FORSA)</t>
  </si>
  <si>
    <t>NEGATIVOS</t>
  </si>
  <si>
    <t>N</t>
  </si>
  <si>
    <t>TERLURAN HI-10 NR 25kg 5H4 1</t>
  </si>
  <si>
    <t>MP PLASTICO</t>
  </si>
  <si>
    <t>UNION CENEFA 20 SUP X 4.80 MTS-N</t>
  </si>
  <si>
    <t>UNION CENEFA 10-N</t>
  </si>
  <si>
    <t>UNION 5-N</t>
  </si>
  <si>
    <t>UNION 5 DILATADA-N</t>
  </si>
  <si>
    <t>UNION 10 X 245-N</t>
  </si>
  <si>
    <t>UNION 10 X 240 MTS-I</t>
  </si>
  <si>
    <t>TRIANGULO REFUERZO ALUMINIO</t>
  </si>
  <si>
    <t>TAPA MURO DE10 X 480 RANURADO-I</t>
  </si>
  <si>
    <t>TAPA MURO DE 10 X 480 RANURADO-N</t>
  </si>
  <si>
    <t>TAPA 10 X 10</t>
  </si>
  <si>
    <t>RIEL PIN LOCK -N</t>
  </si>
  <si>
    <t>REFUERZO 7.5-I</t>
  </si>
  <si>
    <t>REFUERZO 12.5-N</t>
  </si>
  <si>
    <t>REFUERZO 12.5-I</t>
  </si>
  <si>
    <t>PLATINA VENTANA BRA  X 245 -N</t>
  </si>
  <si>
    <t>PLATINA TAPA MURO RANURADO X 2.40-N</t>
  </si>
  <si>
    <t>PLATINA RANURADA-N</t>
  </si>
  <si>
    <t>PLATINA RANURADA X 2.4-I</t>
  </si>
  <si>
    <t>PLATINA HORIZONTAL 12.5 X 2.45 -N</t>
  </si>
  <si>
    <t>PLATINA CULATON X 4.8 MTS-N</t>
  </si>
  <si>
    <t>PLATINA CULATON X 2.4-I</t>
  </si>
  <si>
    <t>PLATINA CENEFA-N</t>
  </si>
  <si>
    <t>PLATINA 9.5-I</t>
  </si>
  <si>
    <t xml:space="preserve">PLATINA 205 X 8.5 X 240 MT </t>
  </si>
  <si>
    <t>PLATINA 205 X 8.5 X 2.40 MTS-N</t>
  </si>
  <si>
    <t>PLATINA 12.5-I</t>
  </si>
  <si>
    <t>PERFIL MACHO R 15 X 2.40 MTS-N</t>
  </si>
  <si>
    <t>PERFIL MACHO 30 X 2.4 MT  - 2004-I</t>
  </si>
  <si>
    <t>PERFIL MACHO 20 X 2.4 MT-I</t>
  </si>
  <si>
    <t>PERFIL HEMBRA 30 X 2.4 MT  - 2004-I</t>
  </si>
  <si>
    <t>PERFIL HEMBRA 20 X 2.4 MT-I</t>
  </si>
  <si>
    <t>PERFIL DE AJUSTE RANURADO X 4.82-I</t>
  </si>
  <si>
    <t>LAMINA EN ALUMINO TEXTURADA-I</t>
  </si>
  <si>
    <t>LAMINA EN ALUMINIO 47 1/4"X94 9/16"H32-I</t>
  </si>
  <si>
    <t>LAMINA EN ALUMINIO 47 1/4"X118 3/16" H32</t>
  </si>
  <si>
    <t>LAMINA EN ALUMINIO 120X300 H-32 505-I</t>
  </si>
  <si>
    <t>LAMINA EN ALUMINIO 120 X 240 H-32 505-I</t>
  </si>
  <si>
    <t>LAM.CORE PANEL WITH MCO 48" X 96" X -I</t>
  </si>
  <si>
    <t>FILLER 5 X 4.80 MTS-N</t>
  </si>
  <si>
    <t>FILLER 3 X 240</t>
  </si>
  <si>
    <t>FILLER 2 X 4.80 MTS-N</t>
  </si>
  <si>
    <t>F.ACEROPLATINA 2.5" X 8MM X 4800 F.ACERO</t>
  </si>
  <si>
    <t>EQM 15X15X240-I</t>
  </si>
  <si>
    <t>EQM 15X15X181-I</t>
  </si>
  <si>
    <t>EQM 10 X 4.80 MTS-N</t>
  </si>
  <si>
    <t>EQM 10 X 230 MT</t>
  </si>
  <si>
    <t>EQL-10-T  X 2.45 MTS-I</t>
  </si>
  <si>
    <t>EQL 20X10 X L-4.8 -I</t>
  </si>
  <si>
    <t>DILATACION X 2.45 MT -N (FDC-114)</t>
  </si>
  <si>
    <t>DILATACION TIPO BOLIVAR (FAS 025)</t>
  </si>
  <si>
    <t>DILATACION DE 5CM X 240 (FU-4052)</t>
  </si>
  <si>
    <t>DILATACION 3/4 X 120 (TIPO TENDA)</t>
  </si>
  <si>
    <t>CUCHILLA 15-N</t>
  </si>
  <si>
    <t>CUCHILLA 15 X 240 F.ACERO -N (FAS 156)</t>
  </si>
  <si>
    <t>CUCHILLA 10-N</t>
  </si>
  <si>
    <t>COLLARIN DILATADO (FAS 154)</t>
  </si>
  <si>
    <t>BSE PIN FLECHA X 2.4 -I</t>
  </si>
  <si>
    <t>BASE PIN FLECHA X 2.40-N</t>
  </si>
  <si>
    <t>BASE PIN FLECHA CORTADO</t>
  </si>
  <si>
    <t>ANGULO COMP. TAPA MURO X 4,80 MTS-N</t>
  </si>
  <si>
    <t>ANGULO 54 X 11-N</t>
  </si>
  <si>
    <t>MP ALUMINIO</t>
  </si>
  <si>
    <t>VARILLA ROSCADA 3/4" X 1 MT</t>
  </si>
  <si>
    <t>VARILLA ROSCA RAPIDA X 1.5  Ø 12 -I</t>
  </si>
  <si>
    <t>VARILLA ROSCA RAPIDA X 1.2 (I)</t>
  </si>
  <si>
    <t>UPN EN C 100 X 6 MTS</t>
  </si>
  <si>
    <t>PLATINA DE 1-1/2 X 1/8 X 6 MTS</t>
  </si>
  <si>
    <t>PLATINA A-36 2" X 1/8" X 6 MTS.</t>
  </si>
  <si>
    <t>PLATINA 2.5" X 8MM X 2450 F.ACERO-I</t>
  </si>
  <si>
    <t>PLATINA 2.5" X 8MM X 2450 F.ACERO</t>
  </si>
  <si>
    <t>PLATINA 1" X 1/8" X 6 MTS</t>
  </si>
  <si>
    <t>PERFIL EN C STAN C6"X8.2LB/F+X6.0MTS</t>
  </si>
  <si>
    <t>PERFIL EN C ESTANDAR C 3" X 4.1 X 6 MTS</t>
  </si>
  <si>
    <t>ANGULO A/C 2-1/2" X 3/16" X 6 MTS</t>
  </si>
  <si>
    <t>ANGULO A/C 2" X 3/16" X 6 MTS</t>
  </si>
  <si>
    <t>ANGULO 2" X 1/8" X 6.0 M (ACASA)</t>
  </si>
  <si>
    <t>ANGULO 1-1/2" X 1/8" X 6.0 M (ACASA)</t>
  </si>
  <si>
    <t>MP ACERO</t>
  </si>
  <si>
    <t>M</t>
  </si>
  <si>
    <t>LLAVE PARA CHAPOLA</t>
  </si>
  <si>
    <t>PESTO 6"</t>
  </si>
  <si>
    <t>PESTO 10"</t>
  </si>
  <si>
    <t>MIXTA 9/16"</t>
  </si>
  <si>
    <t>MIXTA 3/4"</t>
  </si>
  <si>
    <t>MIXTA 15/16"</t>
  </si>
  <si>
    <t xml:space="preserve">LLAVE </t>
  </si>
  <si>
    <t>12.7MMX1220X2440MM MX</t>
  </si>
  <si>
    <t>12.7MMX1220X2440MM CH</t>
  </si>
  <si>
    <t>LAMINA CONTRACHAPADA (MADERA)</t>
  </si>
  <si>
    <t>L</t>
  </si>
  <si>
    <t>UNION PARA VIGAS (FORSA)</t>
  </si>
  <si>
    <t>TUBO SEPARADOR DE VIGA (FORSA)</t>
  </si>
  <si>
    <t>TUBO DE ALINEACION (FORSA)</t>
  </si>
  <si>
    <t>TIRANTE DW15 -150 CM.</t>
  </si>
  <si>
    <t>TENSOR VARIABLE 320-660 (FORSA)</t>
  </si>
  <si>
    <t>SOPORTE PARA VARILLA MENSULA (FORSA)</t>
  </si>
  <si>
    <t>SOPORTE APOYO PANEL UNIVERSAL (FORSA)</t>
  </si>
  <si>
    <t>PLATINA DE ANCLAJE DW 15 L=160MM</t>
  </si>
  <si>
    <t>PLACA P/FIJACION DE CONO M24</t>
  </si>
  <si>
    <t>PASO DE CORBATA (FORSA)</t>
  </si>
  <si>
    <t>PASARELA 1.20 MT (FORSA)</t>
  </si>
  <si>
    <t>MENSULA DE SERVICIO S3 (FORSA)</t>
  </si>
  <si>
    <t>GRAPA PARA VIGAS IPE 120 -I</t>
  </si>
  <si>
    <t>GRAPA PARA VIGAS H20 (FORSA)</t>
  </si>
  <si>
    <t>ESCALERA TIPO GATO</t>
  </si>
  <si>
    <t>CONO DE ACERO DW 15/M24</t>
  </si>
  <si>
    <t>CHAPA TUERCA- CHAPOLA DW15</t>
  </si>
  <si>
    <t>CASQUILLO DE/CONEX CONSOLA TREPANTE</t>
  </si>
  <si>
    <t>CABEZAL ESP PARA TENSOR (FORSA)</t>
  </si>
  <si>
    <t>ABRAZADERA PARA ALINEACION (FORSA)</t>
  </si>
  <si>
    <t>INFRAESTRUCTURA.</t>
  </si>
  <si>
    <t>I</t>
  </si>
  <si>
    <t>ANGULAR (FORSA)</t>
  </si>
  <si>
    <t>(91-120) X 120 (FORSA)</t>
  </si>
  <si>
    <t>(61-90) X 120 (FORSA)</t>
  </si>
  <si>
    <t>(30-60) X 120 (FORSA)</t>
  </si>
  <si>
    <t>(181-210) X 120 (FORSA)</t>
  </si>
  <si>
    <t>(151-180) X 120 (FORSA)</t>
  </si>
  <si>
    <t>(121-150) X 120 (FORSA)</t>
  </si>
  <si>
    <t>GUARDA CUERPO</t>
  </si>
  <si>
    <t>GRAPA DE AMARRE</t>
  </si>
  <si>
    <t>GRADA MOVIL</t>
  </si>
  <si>
    <t>G</t>
  </si>
  <si>
    <t>YUMBOLON ROLLO X 550 MTS</t>
  </si>
  <si>
    <t>YUMBOLON ROLL X 250 MTS F.ACERO</t>
  </si>
  <si>
    <t>P/CORBATA M-8 ROLLO X 6110</t>
  </si>
  <si>
    <t>P/CORBATA M-15.5 ROLLO X 3438</t>
  </si>
  <si>
    <t>P/CORBATA M-12.5 ROLLO X 4231</t>
  </si>
  <si>
    <t>P/CORBATA M-10.5 ROLLO X 5000</t>
  </si>
  <si>
    <t>FUNDA</t>
  </si>
  <si>
    <t>FM 60 X 240 MACHIMBRADO</t>
  </si>
  <si>
    <t>FM 50 X 240 MACHIMBRADO</t>
  </si>
  <si>
    <t>FM 45 X 240</t>
  </si>
  <si>
    <t>FM 40 X 240 MACHIMBRADO</t>
  </si>
  <si>
    <t>FM 30 X 240</t>
  </si>
  <si>
    <t>FM 25 X 240</t>
  </si>
  <si>
    <t>FM 20 X 240</t>
  </si>
  <si>
    <t>FL 90 X 120</t>
  </si>
  <si>
    <t>EQM 15 X 180</t>
  </si>
  <si>
    <t>FORMALETA ALUMINIO</t>
  </si>
  <si>
    <t>MFM 8 X 60 (FORSA)</t>
  </si>
  <si>
    <t>MFM 8 X 240 (FORSA)</t>
  </si>
  <si>
    <t>MFM 8 X 150 (FORSA)</t>
  </si>
  <si>
    <t>MFM 8 X 120 (FORSA)</t>
  </si>
  <si>
    <t>MFM 60 X 90 (FORSA)</t>
  </si>
  <si>
    <t>MFM 60 X 60 (FORSA)</t>
  </si>
  <si>
    <t>MFM 60 X 240 (FORSA)</t>
  </si>
  <si>
    <t>MFM 60 X 210 (FORSA)</t>
  </si>
  <si>
    <t>MFM 60 X 180 (FORSA)</t>
  </si>
  <si>
    <t>MFM 60 X 150 (FORSA)</t>
  </si>
  <si>
    <t>MFM 60 X 120 (FORSA)</t>
  </si>
  <si>
    <t>MFM 60 X 100 (FORSA)</t>
  </si>
  <si>
    <t>MFM 57 X 120 (FORSA)</t>
  </si>
  <si>
    <t>MFM 55 X 90 (FORSA)</t>
  </si>
  <si>
    <t>MFM 55 X 60 (FORSA)</t>
  </si>
  <si>
    <t>MFM 55 X 240 (FORSA)</t>
  </si>
  <si>
    <t>MFM 55 X 150 (FORSA)</t>
  </si>
  <si>
    <t>MFM 55 X 120 (FORSA)</t>
  </si>
  <si>
    <t>MFM 53 X 240 (FORSA)</t>
  </si>
  <si>
    <t>MFM 50 X 90 (FORSA)</t>
  </si>
  <si>
    <t>MFM 50 X 60 (FORSA)</t>
  </si>
  <si>
    <t>MFM 50 X 240 (FORSA)</t>
  </si>
  <si>
    <t>MFM 50 X 210 (FORSA)</t>
  </si>
  <si>
    <t>MFM 50 X 150 (FORSA)</t>
  </si>
  <si>
    <t>MFM 50 X 120 (FORSA)</t>
  </si>
  <si>
    <t>MFM 45 X 90 (FORSA)</t>
  </si>
  <si>
    <t>MFM 45 X 60 (FORSA)</t>
  </si>
  <si>
    <t>MFM 45 X 240 (FORSA)</t>
  </si>
  <si>
    <t>MFM 45 X 180 (FORSA)</t>
  </si>
  <si>
    <t>MFM 45 X 150 (FORSA)</t>
  </si>
  <si>
    <t>MFM 45 X 120 (FORSA)</t>
  </si>
  <si>
    <t>MFM 44 X 240 (FORSA)</t>
  </si>
  <si>
    <t>MFM 42 X 60 (FORSA)</t>
  </si>
  <si>
    <t>MFM 40 X 90 (FORSA)</t>
  </si>
  <si>
    <t>MFM 40 X 60 (FORSA)</t>
  </si>
  <si>
    <t>MFM 40 X 240 (FORSA)</t>
  </si>
  <si>
    <t>MFM 40 X 210 (FORSA)</t>
  </si>
  <si>
    <t>MFM 40 X 180 (FORSA)</t>
  </si>
  <si>
    <t>MFM 40 X 150 (FORSA)</t>
  </si>
  <si>
    <t>MFM 40 X 120 (FORSA)</t>
  </si>
  <si>
    <t>MFM 40 X 100 (FORSA)</t>
  </si>
  <si>
    <t>MFM 38 X 90 (FORSA)</t>
  </si>
  <si>
    <t>MFM 38 X 60 (FORSA)</t>
  </si>
  <si>
    <t>MFM 38 X 240 (FORSA)</t>
  </si>
  <si>
    <t>MFM 38 X 210 (FORSA)</t>
  </si>
  <si>
    <t>MFM 38 X 180 (FORSA)</t>
  </si>
  <si>
    <t>MFM 38 X 120 (FORSA)</t>
  </si>
  <si>
    <t>MFM 37 X 240 (FORSA)</t>
  </si>
  <si>
    <t>MFM 37 X 120 (FORSA)</t>
  </si>
  <si>
    <t>MFM 35 X 90 (FORSA)</t>
  </si>
  <si>
    <t>MFM 35 X 60 (FORSA)</t>
  </si>
  <si>
    <t>MFM 35 X 240 (FORSA)</t>
  </si>
  <si>
    <t>MFM 35 X 210 (FORSA)</t>
  </si>
  <si>
    <t>MFM 35 X 180 (FORSA)</t>
  </si>
  <si>
    <t>MFM 35 X 150 (FORSA)</t>
  </si>
  <si>
    <t>MFM 35 X 120 (FORSA)</t>
  </si>
  <si>
    <t>MFM 35 X 100 (FORSA)</t>
  </si>
  <si>
    <t>MFM 34 X 240 (FORSA)</t>
  </si>
  <si>
    <t>MFM 33 X 90 (FORSA)</t>
  </si>
  <si>
    <t>MFM 33 X 120 (FORSA)</t>
  </si>
  <si>
    <t>MFM 32 X 90 (FORSA)</t>
  </si>
  <si>
    <t>MFM 32 X 60 (FORSA)</t>
  </si>
  <si>
    <t>MFM 32 X 240 (FORSA)</t>
  </si>
  <si>
    <t>MFM 32 X 210 (FORSA)</t>
  </si>
  <si>
    <t>MFM 32 X 150 (FORSA)</t>
  </si>
  <si>
    <t>MFM 32 X 120 (FORSA)</t>
  </si>
  <si>
    <t>MFM 31 X 90 (FORSA)</t>
  </si>
  <si>
    <t>MFM 31 X 60 (FORSA)</t>
  </si>
  <si>
    <t>MFM 31 X 240 (FORSA)</t>
  </si>
  <si>
    <t>MFM 31 X 120 (FORSA)</t>
  </si>
  <si>
    <t>MFM 30 X 90 (FORSA)</t>
  </si>
  <si>
    <t>MFM 30 X 60 (FORSA)</t>
  </si>
  <si>
    <t>MFM 30 X 240 (FORSA)</t>
  </si>
  <si>
    <t>MFM 30 X 210 (FORSA)</t>
  </si>
  <si>
    <t>MFM 30 X 180 (FORSA)</t>
  </si>
  <si>
    <t>MFM 30 X 150 (FORSA)</t>
  </si>
  <si>
    <t>MFM 30 X 120 (FORSA)</t>
  </si>
  <si>
    <t>MFM 28 X 90 (FORSA)</t>
  </si>
  <si>
    <t>MFM 28 X 60 (FORSA)</t>
  </si>
  <si>
    <t>MFM 28 X 240 (FORSA)</t>
  </si>
  <si>
    <t>MFM 28 X 180 (FORSA)</t>
  </si>
  <si>
    <t>MFM 28 X 120 (FORSA)</t>
  </si>
  <si>
    <t>MFM 27 X 90 (FORSA)</t>
  </si>
  <si>
    <t>MFM 27 X 60 (FORSA)</t>
  </si>
  <si>
    <t>MFM 27 X 240 (FORSA)</t>
  </si>
  <si>
    <t>MFM 27 X 120 (FORSA)</t>
  </si>
  <si>
    <t>MFM 25 X 90 (FORSA)</t>
  </si>
  <si>
    <t>MFM 25 X 60 (FORSA)</t>
  </si>
  <si>
    <t>MFM 25 X 240 (FORSA)</t>
  </si>
  <si>
    <t>MFM 25 X 210 (FORSA)</t>
  </si>
  <si>
    <t>MFM 25 X 180 (FORSA)</t>
  </si>
  <si>
    <t>MFM 25 X 150 (FORSA)</t>
  </si>
  <si>
    <t>MFM 25 X 120 (FORSA)</t>
  </si>
  <si>
    <t>MFM 25 X 100 (FORSA)</t>
  </si>
  <si>
    <t>MFM 24 X 60 (FORSA)</t>
  </si>
  <si>
    <t>MFM 24 X 240 (FORSA)</t>
  </si>
  <si>
    <t>MFM 24 X 120 (FORSA)</t>
  </si>
  <si>
    <t>MFM 23 X 90 (FORSA)</t>
  </si>
  <si>
    <t>MFM 23 X 60 (FORSA)</t>
  </si>
  <si>
    <t>MFM 23 X 240 (FORSA)</t>
  </si>
  <si>
    <t>MFM 23 X 120 (FORSA)</t>
  </si>
  <si>
    <t>MFM 22 X 90 (FORSA)</t>
  </si>
  <si>
    <t>MFM 22 X 60 (FORSA)</t>
  </si>
  <si>
    <t>MFM 22 X 240 (FORSA)</t>
  </si>
  <si>
    <t>MFM 22 X 210 (FORSA)</t>
  </si>
  <si>
    <t>MFM 22 X 120 (FORSA)</t>
  </si>
  <si>
    <t>MFM 21 X 60 (FORSA)</t>
  </si>
  <si>
    <t>MFM 21 X 240 (FORSA)</t>
  </si>
  <si>
    <t>MFM 20 X 90 (FORSA)</t>
  </si>
  <si>
    <t>MFM 20 X 60 (FORSA)</t>
  </si>
  <si>
    <t>MFM 20 X 240 (FORSA)</t>
  </si>
  <si>
    <t>MFM 20 X 180 (FORSA)</t>
  </si>
  <si>
    <t>MFM 20 X 150 (FORSA)</t>
  </si>
  <si>
    <t>MFM 20 X 120 (FORSA)</t>
  </si>
  <si>
    <t>MFM 20 X 100 (FORSA)</t>
  </si>
  <si>
    <t>MFM 18 X 90 (FORSA)</t>
  </si>
  <si>
    <t>MFM 18 X 60 (FORSA)</t>
  </si>
  <si>
    <t>MFM 18 X 240 (FORSA)</t>
  </si>
  <si>
    <t>MFM 18 X 120 (FORSA)</t>
  </si>
  <si>
    <t>MFM 17 X 60 (FORSA)</t>
  </si>
  <si>
    <t>MFM 17 X 240 (FORSA)</t>
  </si>
  <si>
    <t>MFM 15 X 90 (FORSA)</t>
  </si>
  <si>
    <t>MFM 15 X 60 (FORSA)</t>
  </si>
  <si>
    <t>MFM 15 X 240 (FORSA)</t>
  </si>
  <si>
    <t>MFM 15 X 180 (FORSA)</t>
  </si>
  <si>
    <t>MFM 15 X 150 (FORSA)</t>
  </si>
  <si>
    <t>MFM 15 X 120 (FORSA)</t>
  </si>
  <si>
    <t>MFM 15 X 100 (FORSA)</t>
  </si>
  <si>
    <t>MFM 14 X 90 (FORSA)</t>
  </si>
  <si>
    <t>MFM 14 X 60 (FORSA)</t>
  </si>
  <si>
    <t>MFM 14 X 240 (FORSA)</t>
  </si>
  <si>
    <t>MFM 14 X 120 (FORSA)</t>
  </si>
  <si>
    <t>MFM 13 X 120 (FORSA)</t>
  </si>
  <si>
    <t>MFM 12 X 90 (FORSA)</t>
  </si>
  <si>
    <t>MFM 12 X 60 (FORSA)</t>
  </si>
  <si>
    <t>MFM 12 X 240 (FORSA)</t>
  </si>
  <si>
    <t>MFM 12 X 210 (FORSA)</t>
  </si>
  <si>
    <t>MFM 12 X 150 (FORSA)</t>
  </si>
  <si>
    <t>MFM 12 X 120 (FORSA)</t>
  </si>
  <si>
    <t>MFM 10 X 90 (FORSA)</t>
  </si>
  <si>
    <t>MFM 10 X 60 (FORSA)</t>
  </si>
  <si>
    <t>MFM 10 X 240 (FORSA)</t>
  </si>
  <si>
    <t>MFM 10 X 210 (FORSA)</t>
  </si>
  <si>
    <t>MFM 10 X 180 (FORSA)</t>
  </si>
  <si>
    <t>MFM 10 X 150 (FORSA)</t>
  </si>
  <si>
    <t>MFM 10 X 120 (FORSA)</t>
  </si>
  <si>
    <t>MFM 10 X 100 (FORSA)</t>
  </si>
  <si>
    <t>FORMALETA ACERO</t>
  </si>
  <si>
    <t>5 X 82 (FORSA)</t>
  </si>
  <si>
    <t>5 X 60 (FORSA)</t>
  </si>
  <si>
    <t>5 X 240 CON 6P (FORSA)</t>
  </si>
  <si>
    <t>5 X 240 (FORSA)</t>
  </si>
  <si>
    <t>5 X 210 (FORSA)</t>
  </si>
  <si>
    <t>5 X 180 (FORSA)</t>
  </si>
  <si>
    <t>5 X 120 (FORSA)</t>
  </si>
  <si>
    <t>2 X 240 (FORSA)</t>
  </si>
  <si>
    <t>1 X 90 (FORSA)</t>
  </si>
  <si>
    <t>1 X 60 (FORSA)</t>
  </si>
  <si>
    <t>1 X 240 (FORSA)</t>
  </si>
  <si>
    <t>1 X 120 (FORSA)</t>
  </si>
  <si>
    <t>FILLER</t>
  </si>
  <si>
    <t>WATER STOP VARILLA ROSCA RAPID DIAM 12MM</t>
  </si>
  <si>
    <t>WATER STOP VARILLA DW15/17 - QT 450</t>
  </si>
  <si>
    <t>TUERCA PARA GATAS - I</t>
  </si>
  <si>
    <t>TUBO OD 48.3 X 3.2 X 3000 MM - I</t>
  </si>
  <si>
    <t>TRIPODE PARA PUNTAL -I</t>
  </si>
  <si>
    <t>TERMINAL PARA DIAGONAL -I</t>
  </si>
  <si>
    <t>TERMINAL GEMELA - I</t>
  </si>
  <si>
    <t>TERMINAL DE HORIZONTAL - I</t>
  </si>
  <si>
    <t>SOPORTE VOLADIZO 0.732 M - I</t>
  </si>
  <si>
    <t>ROSETA MÓVIL - I</t>
  </si>
  <si>
    <t>RODAPIES - ZOCALO X 3000 MM (FORSA)</t>
  </si>
  <si>
    <t>RODAPIES - ZOCALO X 2572 MM (FORSA)</t>
  </si>
  <si>
    <t>RODAPIES - ZOCALO X 2072 MM (FORSA)</t>
  </si>
  <si>
    <t>RODAPIES - ZOCALO X 1500 MM (FORSA)</t>
  </si>
  <si>
    <t>RODAPIES - ZOCALO X 1070 MM (FORSA)</t>
  </si>
  <si>
    <t>PUNTAL VERTICAL DE 500 MM  - I</t>
  </si>
  <si>
    <t>PUNTAL VERTICAL DE 3000 MM - I</t>
  </si>
  <si>
    <t>PUNTAL VERTICAL DE 2500 MM (FORSA)</t>
  </si>
  <si>
    <t>PUNTAL VERTICAL DE 2000 MM (FORSA)</t>
  </si>
  <si>
    <t>PUNTAL VERTICAL DE 1500 MM - I</t>
  </si>
  <si>
    <t>PUNTAL VERTICAL DE 1000 MM - I</t>
  </si>
  <si>
    <t>PUNTAL CABEZAL (FORSA)</t>
  </si>
  <si>
    <t>PRENSA PARA VIGA (FORSA)</t>
  </si>
  <si>
    <t>PIN DE GRAVEDAD 12 MM X 48.3 MM - I</t>
  </si>
  <si>
    <t>HORIZONTAL DE 732 MM (FORSA)</t>
  </si>
  <si>
    <t>HORIZONTAL DE 500 MM (FORSA)</t>
  </si>
  <si>
    <t>HORIZONTAL DE 3000 MM - I</t>
  </si>
  <si>
    <t>HORIZONTAL DE 2572 MM - I</t>
  </si>
  <si>
    <t>HORIZONTAL DE 2072 MM (FORSA)</t>
  </si>
  <si>
    <t>HORIZONTAL DE 200 MM - I</t>
  </si>
  <si>
    <t>HORIZONTAL DE 1500 MM (FORSA)</t>
  </si>
  <si>
    <t>HORIZONTAL DE 1070 MM (FORSA)</t>
  </si>
  <si>
    <t>GATA U ESPECIAL + ESPIGO (FORSA)</t>
  </si>
  <si>
    <t>GATA U 38 X 600 MM - I</t>
  </si>
  <si>
    <t>GATA U</t>
  </si>
  <si>
    <t>GATA CON RUEDA OD (FORSA)</t>
  </si>
  <si>
    <t>GATA CON RUEDA 38 X 600 MM - I</t>
  </si>
  <si>
    <t>GATA BASE X 24" = 600 MM HUECO - I</t>
  </si>
  <si>
    <t>GATA BASE (FORSA)</t>
  </si>
  <si>
    <t>ESTANTE SHORING - I</t>
  </si>
  <si>
    <t>ESPIGO CON ABRAZADERA - I</t>
  </si>
  <si>
    <t>ESCALERA ALUMINIO 2572 X 2000 MM - I</t>
  </si>
  <si>
    <t>DIAGONAL FACHADA 500 X 2000 MM - I</t>
  </si>
  <si>
    <t>DIAGONAL FACHADA 3000 X 2000 MM - I</t>
  </si>
  <si>
    <t>DIAGONAL FACHADA 2572 X 2000 MM - I</t>
  </si>
  <si>
    <t>DIAGONAL FACHADA 2072 X 2000 MM - I</t>
  </si>
  <si>
    <t>DIAGONAL FACHADA 1500 X 2000 MM - I</t>
  </si>
  <si>
    <t>DIAGONAL FACHADA 1070 X 2000 MM - I</t>
  </si>
  <si>
    <t>CONECTOR O ESPIGO DE 1.625" - I</t>
  </si>
  <si>
    <t>COLLAR DE INICIO - I</t>
  </si>
  <si>
    <t>CERCHA PARA SHORING (FORSA)</t>
  </si>
  <si>
    <t>CERCHA 2072 MM - I</t>
  </si>
  <si>
    <t>CERCHA 1500 MM - I</t>
  </si>
  <si>
    <t>CANASTA SHORING - I</t>
  </si>
  <si>
    <t>BASE PUNTAL 5" X 5" X 200 MM - I</t>
  </si>
  <si>
    <t>BARANDA INTERNA ACERO 2250 MM - I</t>
  </si>
  <si>
    <t>BARANDA EXTERNA ACERO 2572 MM - I</t>
  </si>
  <si>
    <t>ANILLO O ROSETA PARA POSTE VERTICAL - I</t>
  </si>
  <si>
    <t>ANCLAJE MURO 48.3 X 2.5 X 450 MM - I</t>
  </si>
  <si>
    <t>ABRAZADERA ORTOGONAL DIA. 48 MM - I</t>
  </si>
  <si>
    <t>ABRAZADERA ORIENTABLE DIA. 48 MM - I</t>
  </si>
  <si>
    <t>ABRAZADERA MEDIA - I</t>
  </si>
  <si>
    <t>F.ANDAMIOS</t>
  </si>
  <si>
    <t>F</t>
  </si>
  <si>
    <t>15 X 15 X 90 (FORSA)</t>
  </si>
  <si>
    <t>15 X 15 X 60 (FORSA)</t>
  </si>
  <si>
    <t>15 X 15 X 25 (FORSA)</t>
  </si>
  <si>
    <t>15 X 15 X 240 (FORSA)</t>
  </si>
  <si>
    <t>15 X 15 X 210 (FORSA)</t>
  </si>
  <si>
    <t>15 X 15 X 20 (FORSA)</t>
  </si>
  <si>
    <t>15 X 15 X 120 (FORSA)</t>
  </si>
  <si>
    <t>10 X 8 X 240 (FORSA)</t>
  </si>
  <si>
    <t>10 X 8 X 120 FORSA)</t>
  </si>
  <si>
    <t>10 X 10 X 90 REF/14511</t>
  </si>
  <si>
    <t>10 X 10 X 240 (FORSA)</t>
  </si>
  <si>
    <t>10 X 10 X 120 (FORSA)</t>
  </si>
  <si>
    <t>ESQUINERO MURO</t>
  </si>
  <si>
    <t>ESCUADRA</t>
  </si>
  <si>
    <t>430 CMS.</t>
  </si>
  <si>
    <t>390 CMS</t>
  </si>
  <si>
    <t>380 CMS</t>
  </si>
  <si>
    <t>370 CMS</t>
  </si>
  <si>
    <t>360 CMS</t>
  </si>
  <si>
    <t>350 CMS</t>
  </si>
  <si>
    <t>330 CMS</t>
  </si>
  <si>
    <t>320 CMS.</t>
  </si>
  <si>
    <t>310 CMS</t>
  </si>
  <si>
    <t>300 CMS</t>
  </si>
  <si>
    <t>290 CMS</t>
  </si>
  <si>
    <t>280 CMS.</t>
  </si>
  <si>
    <t>270 CMS.</t>
  </si>
  <si>
    <t>240 CMS</t>
  </si>
  <si>
    <t>ESCALERA CON PASAMANOS</t>
  </si>
  <si>
    <t>E</t>
  </si>
  <si>
    <t>PARA PIN (FORSA)</t>
  </si>
  <si>
    <t>PARA PASADOR CON TRATAMIENT (FORSA)</t>
  </si>
  <si>
    <t>LARGA F.ACERO REF/60052 -I</t>
  </si>
  <si>
    <t>EN ANGULO F.ACERO (FORSA)</t>
  </si>
  <si>
    <t>EN ANGULO</t>
  </si>
  <si>
    <t>CORTA F.ACERO REF/60058 -I</t>
  </si>
  <si>
    <t>135° (FORSA)</t>
  </si>
  <si>
    <t>120° (FORSA)</t>
  </si>
  <si>
    <t>CUÑA</t>
  </si>
  <si>
    <t>M-9 (FORSA)</t>
  </si>
  <si>
    <t>M-8</t>
  </si>
  <si>
    <t>M-70 - N</t>
  </si>
  <si>
    <t>M-7 (FORSA)</t>
  </si>
  <si>
    <t>M-65 (FORSA)</t>
  </si>
  <si>
    <t>M-60 - N</t>
  </si>
  <si>
    <t>M-56 (FORSA)</t>
  </si>
  <si>
    <t>M-55 (FORSA)</t>
  </si>
  <si>
    <t>M-50 (FORSA)</t>
  </si>
  <si>
    <t>M-5 (FORSA)</t>
  </si>
  <si>
    <t>M-45 (FORSA)</t>
  </si>
  <si>
    <t>M-41 (FORSA)</t>
  </si>
  <si>
    <t>M-40 (FORSA)</t>
  </si>
  <si>
    <t>M-35-N</t>
  </si>
  <si>
    <t>M-33 (FORSA)</t>
  </si>
  <si>
    <t>M-31.5 (FORSA)</t>
  </si>
  <si>
    <t>M-30 (FORSA)</t>
  </si>
  <si>
    <t>M-27 (FORSA)</t>
  </si>
  <si>
    <t>M-25 (FORSA)</t>
  </si>
  <si>
    <t>M-22</t>
  </si>
  <si>
    <t>M-21 (FORSA)</t>
  </si>
  <si>
    <t>M-20 (FORSA)</t>
  </si>
  <si>
    <t>M-18 (FORSA)</t>
  </si>
  <si>
    <t>M-17 (FORSA)</t>
  </si>
  <si>
    <t>M-16 (FORSA)</t>
  </si>
  <si>
    <t>M-15 (FORSA)</t>
  </si>
  <si>
    <t>M-14 (FORSA)</t>
  </si>
  <si>
    <t>M-13.5 (FORSA)</t>
  </si>
  <si>
    <t>M-13 (FORSA)</t>
  </si>
  <si>
    <t>M-12-I</t>
  </si>
  <si>
    <t>M-11 (FORSA)</t>
  </si>
  <si>
    <t>M-10-N</t>
  </si>
  <si>
    <t>CORBATA SENCILLA M-13 (FORSA)*</t>
  </si>
  <si>
    <t>CORBATAS SENCILLA</t>
  </si>
  <si>
    <t>M-8 (FORSA)</t>
  </si>
  <si>
    <t>M-12 (FORSA)</t>
  </si>
  <si>
    <t>M-10 (FORSA)</t>
  </si>
  <si>
    <t>CORBATAS PLUS</t>
  </si>
  <si>
    <t>M-10 S.PLASTICO</t>
  </si>
  <si>
    <t>CORBATAS PLASTICO</t>
  </si>
  <si>
    <t>CORBATAS PLANA</t>
  </si>
  <si>
    <t>P. + VARILLA (FORSA)</t>
  </si>
  <si>
    <t>CORBATAS P</t>
  </si>
  <si>
    <t>CORBATA MURO DOBLE DE 15 J-10 (FORSA</t>
  </si>
  <si>
    <t>CORBATA MURO DOBLE DE 10 J-15 (FORSA</t>
  </si>
  <si>
    <t>8 J-5 (FORSA)</t>
  </si>
  <si>
    <t>8 J-3 (FORSA)</t>
  </si>
  <si>
    <t>8 J-0 (FORSA)</t>
  </si>
  <si>
    <t>30 J-10 (FORSA)</t>
  </si>
  <si>
    <t>22 (FORSA)</t>
  </si>
  <si>
    <t>15 J-5 (FORSA)</t>
  </si>
  <si>
    <t>15 J-0 (FORSA)</t>
  </si>
  <si>
    <t>12 J-5 (FORSA)</t>
  </si>
  <si>
    <t>10 J-5 (FORSA)</t>
  </si>
  <si>
    <t>10 J-3 (FORSA)</t>
  </si>
  <si>
    <t>10 J-2 F.ACERO (FORSA</t>
  </si>
  <si>
    <t>10 J-2 (FORSA)</t>
  </si>
  <si>
    <t>CORBATAS MURO DOBLE</t>
  </si>
  <si>
    <t>M-95 (FORSA)</t>
  </si>
  <si>
    <t>M-90 (FORSA)</t>
  </si>
  <si>
    <t>M-9. (FORSA)</t>
  </si>
  <si>
    <t>M-80 (FORSA)</t>
  </si>
  <si>
    <t>M-8. (FORSA)</t>
  </si>
  <si>
    <t>M-70 (FORSA)</t>
  </si>
  <si>
    <t>M-60 (FORSA)</t>
  </si>
  <si>
    <t>M-55. (FORSA)</t>
  </si>
  <si>
    <t>M-35. (FORSA)</t>
  </si>
  <si>
    <t>M-32 (FORSA)</t>
  </si>
  <si>
    <t>M-23. (FORSA)</t>
  </si>
  <si>
    <t>M-120 (FORSA)</t>
  </si>
  <si>
    <t>M-100 (FORSA)</t>
  </si>
  <si>
    <t>M-10. (FORSA)</t>
  </si>
  <si>
    <t>CORBATA F.ACERO M-11 (FORSA)*</t>
  </si>
  <si>
    <t>CORBATAS F.ACERO</t>
  </si>
  <si>
    <t>M-8-I</t>
  </si>
  <si>
    <t>M-10-I</t>
  </si>
  <si>
    <t>CORBATAS CONICA</t>
  </si>
  <si>
    <t>PLASTICA + PIN (95 TRIPLE FUNCION)</t>
  </si>
  <si>
    <t>PLASTICA (95 TRIPLE FUNCION)</t>
  </si>
  <si>
    <t>METALICA 95 -I</t>
  </si>
  <si>
    <t>CHAPOLA</t>
  </si>
  <si>
    <t>TENSOR DE MURO (FORSA)</t>
  </si>
  <si>
    <t>CABEZAL GIRATORIO</t>
  </si>
  <si>
    <t>C</t>
  </si>
  <si>
    <t>PLUS CON TRATAMIENTO (FORSA)</t>
  </si>
  <si>
    <t>CON TRATAMIENTO FM PLAST (FORSA)</t>
  </si>
  <si>
    <t>CON TRATAMIENTO (FORSA)</t>
  </si>
  <si>
    <t>BUSHING</t>
  </si>
  <si>
    <t>BASE PARA GATO</t>
  </si>
  <si>
    <t>BASE PUNTAL (FORSA)</t>
  </si>
  <si>
    <t>BASE</t>
  </si>
  <si>
    <t>BARRETA NIVELADORA</t>
  </si>
  <si>
    <t>BARRA DE DESENCOFRE</t>
  </si>
  <si>
    <t>U DE REFUERZO</t>
  </si>
  <si>
    <t>S.PLASTICO -I</t>
  </si>
  <si>
    <t>DE REFUERZO 35 MM S.PLASTICO</t>
  </si>
  <si>
    <t>12.5MM</t>
  </si>
  <si>
    <t>ARO PROTECTOR</t>
  </si>
  <si>
    <t>X 90 (FORSA)</t>
  </si>
  <si>
    <t>X 60 (FORSA)</t>
  </si>
  <si>
    <t>X 330 (FORSA)</t>
  </si>
  <si>
    <t>X 250 (FORSA)</t>
  </si>
  <si>
    <t>X 240 (FORSA)</t>
  </si>
  <si>
    <t>X 220 (FORSA)</t>
  </si>
  <si>
    <t>X 210 FORSA)</t>
  </si>
  <si>
    <t>X 180 (FORSA)</t>
  </si>
  <si>
    <t>X 150 (FORSA)</t>
  </si>
  <si>
    <t>X 130 (FORSA)</t>
  </si>
  <si>
    <t>X 120 (FORSA)</t>
  </si>
  <si>
    <t>ANGULO EXTERNO ACERO</t>
  </si>
  <si>
    <t>ANGULO COMPLEMENTO</t>
  </si>
  <si>
    <t>AG 2 X 260</t>
  </si>
  <si>
    <t>AG 2 X 240</t>
  </si>
  <si>
    <t>ANGULO ALUMINIO</t>
  </si>
  <si>
    <t>MAS POSTE (FORSA)</t>
  </si>
  <si>
    <t>ANDAMIO ALINEADOR</t>
  </si>
  <si>
    <t>MURO-VARILLA ROSCADA (FORSA)</t>
  </si>
  <si>
    <t>ANCLAJE</t>
  </si>
  <si>
    <t>4" 2.5-3.0 MTS (FORSA)</t>
  </si>
  <si>
    <t>4" 2.0-2.5 MTS (FORSA)</t>
  </si>
  <si>
    <t>4" 1.5-2.0 MTS (FORSA)</t>
  </si>
  <si>
    <t>4" 1.0-1.5 MTS (FORSA)</t>
  </si>
  <si>
    <t>3" 6.0 MTS (FORSA)</t>
  </si>
  <si>
    <t>3" 5.0 MTS (FORSA)</t>
  </si>
  <si>
    <t>3" 4.5 MTS (FORSA)</t>
  </si>
  <si>
    <t>3" 3.0 MTS (FORSA)</t>
  </si>
  <si>
    <t>3" 2.0 MTS (FORSA).</t>
  </si>
  <si>
    <t>3" 1.5 MTS (FORSA)</t>
  </si>
  <si>
    <t>3" 1.0 MTS (FORSA)</t>
  </si>
  <si>
    <t xml:space="preserve">ALINEADOR EN C </t>
  </si>
  <si>
    <t>5.56 - 6.0 MTS (FORSA)</t>
  </si>
  <si>
    <t>5.01 - 5.5 MTS (FORSA)</t>
  </si>
  <si>
    <t>4.51 - 5.0 MTS (FORSA)</t>
  </si>
  <si>
    <t>3.51 - 4.0 MTS (FORSA)</t>
  </si>
  <si>
    <t>3.01 - 3.5 MTS (FORSA)</t>
  </si>
  <si>
    <t>2.51 - 3.0 MTS (FORSA)</t>
  </si>
  <si>
    <t>2.01 - 2.5 MTS (FORSA)</t>
  </si>
  <si>
    <t>2.0 - 2.5 MTS TUBOCURVO (FORSA)</t>
  </si>
  <si>
    <t>1.51 - 2.0 MTS (FORSA)</t>
  </si>
  <si>
    <t>1.5 - 2.0 MTS TUBOCURVO (FORSA)</t>
  </si>
  <si>
    <t>1.01 - 1.5 MTS (FORSA)</t>
  </si>
  <si>
    <t>0.51 - 1.0 MTS (FORSA)</t>
  </si>
  <si>
    <t>0.0 - 0.5 MTS (FORSA)</t>
  </si>
  <si>
    <t>ALINEADOR DOBLE</t>
  </si>
  <si>
    <t>ALINEADOR DE CAPS</t>
  </si>
  <si>
    <t>U DE REFUERZO S.PLASTICO (FORSA)</t>
  </si>
  <si>
    <t>TORNILLO Y TUERCA PARA TENSOR EN 1045</t>
  </si>
  <si>
    <t>TORNILLO HEXAGONAL G5 3/4" X 4" ROSCA OR</t>
  </si>
  <si>
    <t>TORNILLO HEXAGONAL G5 3/4" X 2" ROSCA OR</t>
  </si>
  <si>
    <t>TORNILLO HEX. 3/8" X 3" G-5 NC TUE + ARA</t>
  </si>
  <si>
    <t>TORNILLO HEX.  5/8" x 2" G-5 GALVANIZADO</t>
  </si>
  <si>
    <t>TORNILLO HEX 1/2" X 1-1/2" GAL G-5</t>
  </si>
  <si>
    <t>TORNILLO DE 5/8"</t>
  </si>
  <si>
    <t>TORNILLO ALLEN 1/4" X 1" NC G-5</t>
  </si>
  <si>
    <t>TORNILLO 1/4" ESPESOR X 3/4" LONGITUD</t>
  </si>
  <si>
    <t>TOLVA PARA CONCRETO (FORSA)</t>
  </si>
  <si>
    <t>TENSOR TIJERA (FORSA)</t>
  </si>
  <si>
    <t>TAPON VARILLA S.PLASTICO (FORSA)</t>
  </si>
  <si>
    <t>TAPA LLAVE S.PLASTICO (FORSA)</t>
  </si>
  <si>
    <t>ROSCA PARA TENSOR DE MURO (FORSA)</t>
  </si>
  <si>
    <t>PASADOR PARA TENSOR DE MURO  (FORSA)</t>
  </si>
  <si>
    <t>GANCHO PARA TENSOR DE MURO (FORSA)</t>
  </si>
  <si>
    <t>FLAUTA P/ TENSOR DE MURO  (FORSA)</t>
  </si>
  <si>
    <t>ESTABILIZADOR S.S (FORSA)</t>
  </si>
  <si>
    <t>ESQUELETO (FORSA)</t>
  </si>
  <si>
    <t>EMPAQUE ESPONJOSO IC 359 DE 5X1.5</t>
  </si>
  <si>
    <t>DILATACION F.ACERO FM TIPO 120 (FORSA)</t>
  </si>
  <si>
    <t>COMPLEMENTO PARA DINTEL (FORSA)</t>
  </si>
  <si>
    <t>CABEZAL FIJO PARA TENSOR MURO (FORSA)</t>
  </si>
  <si>
    <t>ANGULO ALINEADOR 2-1/2" X 1/4" X 6MTS</t>
  </si>
  <si>
    <t>ANCLAJE WEDGE BOLT 3/8" X 3"</t>
  </si>
  <si>
    <t>ACCESORIO</t>
  </si>
  <si>
    <t>A</t>
  </si>
  <si>
    <t>Peso Empaque</t>
  </si>
  <si>
    <t>Cant Empaque</t>
  </si>
  <si>
    <t>Peso Unitario</t>
  </si>
  <si>
    <t>Precio Pleno Ext</t>
  </si>
  <si>
    <t>Precio Pleno Nal</t>
  </si>
  <si>
    <t>Codigo</t>
  </si>
  <si>
    <t>Accesorio</t>
  </si>
  <si>
    <t>Grupo</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</si>
</sst>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
    <numFmt numFmtId="165" formatCode="_ * #,##0_ ;_ * \-#,##0_ ;_ * &quot;-&quot;_ ;_ @_ "/>
    <numFmt numFmtId="166" formatCode="&quot;$&quot;\ #,##0.0"/>
    <numFmt numFmtId="167" formatCode="&quot;$&quot;\ #,##0"/>
    <numFmt numFmtId="168" formatCode="&quot;$&quot;\ #,##0.00"/>
    <numFmt numFmtId="169" formatCode="[$-10409]#,##0.00;\(#,##0.00\)"/>
    <numFmt numFmtId="170" formatCode="[$-10409]#,##0;\(#,##0\)"/>
    <numFmt numFmtId="171" formatCode="dd/mmm/yyyy"/>
  </numFmts>
  <fonts count="68" x14ac:knownFonts="1">
    <font>
      <sz val="11"/>
      <color theme="1"/>
      <name val="Calibri"/>
      <family val="2"/>
      <scheme val="minor"/>
    </font>
    <font>
      <sz val="10"/>
      <name val="Arial"/>
      <family val="2"/>
    </font>
    <font>
      <sz val="8"/>
      <name val="Arial"/>
      <family val="2"/>
    </font>
    <font>
      <b/>
      <sz val="8"/>
      <name val="Arial"/>
      <family val="2"/>
    </font>
    <font>
      <sz val="8"/>
      <name val="Arial"/>
      <family val="2"/>
    </font>
    <font>
      <b/>
      <sz val="12"/>
      <name val="Arial"/>
      <family val="2"/>
    </font>
    <font>
      <sz val="12"/>
      <name val="Arial"/>
      <family val="2"/>
    </font>
    <font>
      <sz val="10"/>
      <color indexed="12"/>
      <name val="Arial"/>
      <family val="2"/>
    </font>
    <font>
      <sz val="10"/>
      <color indexed="10"/>
      <name val="Arial"/>
      <family val="2"/>
    </font>
    <font>
      <b/>
      <sz val="8"/>
      <name val="Arial"/>
      <family val="2"/>
    </font>
    <font>
      <b/>
      <sz val="14"/>
      <name val="Arial"/>
      <family val="2"/>
    </font>
    <font>
      <b/>
      <sz val="14"/>
      <color indexed="9"/>
      <name val="Arial"/>
      <family val="2"/>
    </font>
    <font>
      <sz val="10"/>
      <color indexed="9"/>
      <name val="Arial"/>
      <family val="2"/>
    </font>
    <font>
      <sz val="10"/>
      <color indexed="9"/>
      <name val="Arial"/>
      <family val="2"/>
    </font>
    <font>
      <sz val="8"/>
      <color indexed="10"/>
      <name val="Arial"/>
      <family val="2"/>
    </font>
    <font>
      <sz val="10"/>
      <color indexed="10"/>
      <name val="Arial"/>
      <family val="2"/>
    </font>
    <font>
      <u/>
      <sz val="10"/>
      <name val="Arial"/>
      <family val="2"/>
    </font>
    <font>
      <b/>
      <sz val="12"/>
      <color indexed="10"/>
      <name val="Arial"/>
      <family val="2"/>
    </font>
    <font>
      <b/>
      <sz val="8"/>
      <color indexed="22"/>
      <name val="Arial"/>
      <family val="2"/>
    </font>
    <font>
      <b/>
      <sz val="10"/>
      <name val="Arial"/>
      <family val="2"/>
    </font>
    <font>
      <b/>
      <sz val="10"/>
      <color indexed="12"/>
      <name val="Arial"/>
      <family val="2"/>
    </font>
    <font>
      <b/>
      <sz val="10"/>
      <color indexed="10"/>
      <name val="Arial"/>
      <family val="2"/>
    </font>
    <font>
      <sz val="10"/>
      <name val="Arial"/>
      <family val="2"/>
    </font>
    <font>
      <b/>
      <sz val="10"/>
      <color indexed="9"/>
      <name val="Arial"/>
      <family val="2"/>
    </font>
    <font>
      <sz val="9"/>
      <name val="Arial"/>
      <family val="2"/>
    </font>
    <font>
      <b/>
      <sz val="18"/>
      <color indexed="9"/>
      <name val="Arial"/>
      <family val="2"/>
    </font>
    <font>
      <b/>
      <sz val="16"/>
      <name val="Arial"/>
      <family val="2"/>
    </font>
    <font>
      <b/>
      <sz val="8"/>
      <color indexed="81"/>
      <name val="Tahoma"/>
      <family val="2"/>
    </font>
    <font>
      <b/>
      <sz val="8"/>
      <color indexed="10"/>
      <name val="Tahoma"/>
      <family val="2"/>
    </font>
    <font>
      <sz val="8"/>
      <color indexed="81"/>
      <name val="Tahoma"/>
      <family val="2"/>
    </font>
    <font>
      <b/>
      <sz val="8"/>
      <color indexed="17"/>
      <name val="Tahoma"/>
      <family val="2"/>
    </font>
    <font>
      <b/>
      <sz val="8"/>
      <color indexed="57"/>
      <name val="Tahoma"/>
      <family val="2"/>
    </font>
    <font>
      <b/>
      <sz val="11"/>
      <color theme="1"/>
      <name val="Calibri"/>
      <family val="2"/>
    </font>
    <font>
      <b/>
      <u/>
      <sz val="11"/>
      <color rgb="FF0070C0"/>
      <name val="Calibri"/>
      <family val="2"/>
    </font>
    <font>
      <b/>
      <sz val="11"/>
      <color rgb="FF0070C0"/>
      <name val="Calibri"/>
      <family val="2"/>
    </font>
    <font>
      <sz val="11"/>
      <color theme="1"/>
      <name val="Calibri"/>
      <family val="2"/>
    </font>
    <font>
      <b/>
      <sz val="14"/>
      <color theme="1"/>
      <name val="Calibri"/>
      <family val="2"/>
      <scheme val="minor"/>
    </font>
    <font>
      <b/>
      <sz val="12"/>
      <color rgb="FFFF0000"/>
      <name val="Calibri"/>
      <family val="2"/>
    </font>
    <font>
      <sz val="12"/>
      <color theme="1"/>
      <name val="Calibri"/>
      <family val="2"/>
    </font>
    <font>
      <b/>
      <sz val="11"/>
      <color theme="0"/>
      <name val="Calibri"/>
      <family val="2"/>
      <scheme val="minor"/>
    </font>
    <font>
      <b/>
      <sz val="11"/>
      <color theme="1"/>
      <name val="Calibri"/>
      <family val="2"/>
      <scheme val="minor"/>
    </font>
    <font>
      <sz val="11"/>
      <color theme="0"/>
      <name val="Calibri"/>
      <family val="2"/>
      <scheme val="minor"/>
    </font>
    <font>
      <b/>
      <u/>
      <sz val="11"/>
      <color rgb="FF000000"/>
      <name val="Calibri"/>
      <family val="2"/>
      <scheme val="minor"/>
    </font>
    <font>
      <sz val="11"/>
      <color rgb="FF000000"/>
      <name val="Calibri"/>
      <family val="2"/>
      <scheme val="minor"/>
    </font>
    <font>
      <sz val="11"/>
      <color rgb="FF000000"/>
      <name val="Calibri"/>
      <family val="2"/>
    </font>
    <font>
      <b/>
      <u/>
      <sz val="11"/>
      <color rgb="FF000000"/>
      <name val="Calibri"/>
      <family val="2"/>
    </font>
    <font>
      <b/>
      <sz val="10"/>
      <color rgb="FF000000"/>
      <name val="Calibri"/>
      <family val="2"/>
      <scheme val="minor"/>
    </font>
    <font>
      <b/>
      <vertAlign val="superscript"/>
      <sz val="10"/>
      <color rgb="FF000000"/>
      <name val="Calibri"/>
      <family val="2"/>
      <scheme val="minor"/>
    </font>
    <font>
      <b/>
      <sz val="11"/>
      <name val="Calibri"/>
      <family val="2"/>
      <scheme val="minor"/>
    </font>
    <font>
      <b/>
      <u/>
      <sz val="11"/>
      <color theme="1"/>
      <name val="Calibri"/>
      <family val="2"/>
      <scheme val="minor"/>
    </font>
    <font>
      <sz val="11"/>
      <color rgb="FFFF0000"/>
      <name val="Calibri"/>
      <family val="2"/>
      <scheme val="minor"/>
    </font>
    <font>
      <sz val="9.5"/>
      <color theme="1"/>
      <name val="Calibri"/>
      <family val="2"/>
      <scheme val="minor"/>
    </font>
    <font>
      <sz val="11"/>
      <name val="Calibri"/>
      <family val="2"/>
      <scheme val="minor"/>
    </font>
    <font>
      <sz val="11"/>
      <color theme="1"/>
      <name val="Calibri"/>
      <family val="2"/>
      <scheme val="minor"/>
    </font>
    <font>
      <sz val="8"/>
      <color rgb="FF000000"/>
      <name val="Arial"/>
      <family val="2"/>
    </font>
    <font>
      <sz val="6"/>
      <color theme="1"/>
      <name val="Calibri"/>
      <family val="2"/>
      <scheme val="minor"/>
    </font>
    <font>
      <sz val="8"/>
      <color theme="1"/>
      <name val="Calibri"/>
      <family val="2"/>
      <scheme val="minor"/>
    </font>
    <font>
      <sz val="12"/>
      <color theme="1"/>
      <name val="Calibri"/>
      <family val="2"/>
      <scheme val="minor"/>
    </font>
    <font>
      <sz val="10"/>
      <color rgb="FF000000"/>
      <name val="Calibri"/>
      <family val="2"/>
    </font>
    <font>
      <b/>
      <sz val="10"/>
      <color rgb="FF000000"/>
      <name val="Calibri"/>
      <family val="2"/>
    </font>
    <font>
      <u/>
      <sz val="10"/>
      <color rgb="FF0070C0"/>
      <name val="Calibri"/>
      <family val="2"/>
    </font>
    <font>
      <sz val="5"/>
      <color theme="1"/>
      <name val="Calibri"/>
      <family val="2"/>
      <scheme val="minor"/>
    </font>
    <font>
      <sz val="10"/>
      <color rgb="FF0070C0"/>
      <name val="Calibri"/>
      <family val="2"/>
    </font>
    <font>
      <sz val="8"/>
      <color rgb="FFFFFFFF"/>
      <name val="Calibri"/>
      <family val="2"/>
    </font>
    <font>
      <sz val="10"/>
      <color rgb="FF00B0F0"/>
      <name val="Calibri"/>
      <family val="2"/>
    </font>
    <font>
      <sz val="10"/>
      <color rgb="FFFFFFFF"/>
      <name val="Calibri"/>
      <family val="2"/>
    </font>
    <font>
      <sz val="11"/>
      <name val="Calibri"/>
      <family val="2"/>
    </font>
    <font>
      <b/>
      <sz val="8"/>
      <color rgb="FFFFFFFF"/>
      <name val="Arial"/>
      <family val="2"/>
    </font>
  </fonts>
  <fills count="2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0"/>
        <bgColor indexed="64"/>
      </patternFill>
    </fill>
    <fill>
      <patternFill patternType="solid">
        <fgColor indexed="51"/>
        <bgColor indexed="64"/>
      </patternFill>
    </fill>
    <fill>
      <patternFill patternType="solid">
        <fgColor indexed="41"/>
        <bgColor indexed="64"/>
      </patternFill>
    </fill>
    <fill>
      <patternFill patternType="solid">
        <fgColor indexed="47"/>
        <bgColor indexed="64"/>
      </patternFill>
    </fill>
    <fill>
      <patternFill patternType="solid">
        <fgColor indexed="12"/>
        <bgColor indexed="64"/>
      </patternFill>
    </fill>
    <fill>
      <patternFill patternType="solid">
        <fgColor indexed="44"/>
        <bgColor indexed="64"/>
      </patternFill>
    </fill>
    <fill>
      <patternFill patternType="solid">
        <fgColor indexed="15"/>
        <bgColor indexed="64"/>
      </patternFill>
    </fill>
    <fill>
      <patternFill patternType="solid">
        <fgColor indexed="48"/>
        <bgColor indexed="64"/>
      </patternFill>
    </fill>
    <fill>
      <patternFill patternType="solid">
        <fgColor rgb="FF3333FF"/>
        <bgColor indexed="64"/>
      </patternFill>
    </fill>
    <fill>
      <patternFill patternType="solid">
        <fgColor rgb="FF33CC3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3B5998"/>
        <bgColor indexed="64"/>
      </patternFill>
    </fill>
    <fill>
      <patternFill patternType="solid">
        <fgColor rgb="FF1C5AB6"/>
        <bgColor rgb="FF1C5AB6"/>
      </patternFill>
    </fill>
  </fills>
  <borders count="4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right/>
      <top style="thin">
        <color indexed="64"/>
      </top>
      <bottom/>
      <diagonal/>
    </border>
    <border>
      <left style="thin">
        <color rgb="FFD3D3D3"/>
      </left>
      <right style="thin">
        <color rgb="FFD3D3D3"/>
      </right>
      <top style="thin">
        <color rgb="FFD3D3D3"/>
      </top>
      <bottom style="thin">
        <color rgb="FFD3D3D3"/>
      </bottom>
      <diagonal/>
    </border>
    <border>
      <left style="thin">
        <color rgb="FFD3D3D3"/>
      </left>
      <right style="thin">
        <color rgb="FFD3D3D3"/>
      </right>
      <top/>
      <bottom style="thin">
        <color rgb="FFD3D3D3"/>
      </bottom>
      <diagonal/>
    </border>
    <border>
      <left style="thin">
        <color rgb="FFD3D3D3"/>
      </left>
      <right style="thin">
        <color rgb="FFD3D3D3"/>
      </right>
      <top/>
      <bottom/>
      <diagonal/>
    </border>
  </borders>
  <cellStyleXfs count="4">
    <xf numFmtId="0" fontId="0" fillId="0" borderId="0"/>
    <xf numFmtId="0" fontId="1" fillId="0" borderId="0"/>
    <xf numFmtId="165" fontId="1" fillId="0" borderId="0" applyFont="0" applyFill="0" applyBorder="0" applyAlignment="0" applyProtection="0"/>
    <xf numFmtId="43" fontId="53" fillId="0" borderId="0" applyFont="0" applyFill="0" applyBorder="0" applyAlignment="0" applyProtection="0"/>
  </cellStyleXfs>
  <cellXfs count="340">
    <xf numFmtId="0" fontId="0" fillId="0" borderId="0" xfId="0"/>
    <xf numFmtId="0" fontId="0" fillId="0" borderId="0" xfId="0" applyAlignment="1">
      <alignment horizontal="center"/>
    </xf>
    <xf numFmtId="164" fontId="0" fillId="0" borderId="0" xfId="0" applyNumberFormat="1" applyAlignment="1">
      <alignment horizontal="center"/>
    </xf>
    <xf numFmtId="0" fontId="1" fillId="2" borderId="0" xfId="1" applyFill="1" applyBorder="1"/>
    <xf numFmtId="0" fontId="1" fillId="2" borderId="0" xfId="1" applyFill="1"/>
    <xf numFmtId="0" fontId="1" fillId="3" borderId="0" xfId="1" applyFill="1"/>
    <xf numFmtId="0" fontId="1" fillId="0" borderId="0" xfId="1"/>
    <xf numFmtId="0" fontId="2" fillId="0" borderId="0" xfId="1" applyFont="1"/>
    <xf numFmtId="0" fontId="2" fillId="0" borderId="0" xfId="1" applyFont="1" applyFill="1"/>
    <xf numFmtId="0" fontId="2" fillId="3" borderId="0" xfId="1" applyFont="1" applyFill="1" applyAlignment="1">
      <alignment horizontal="center"/>
    </xf>
    <xf numFmtId="0" fontId="1" fillId="0" borderId="0" xfId="1" applyFill="1"/>
    <xf numFmtId="0" fontId="2" fillId="2" borderId="0" xfId="1" applyFont="1" applyFill="1"/>
    <xf numFmtId="0" fontId="1" fillId="2" borderId="1" xfId="1" applyFill="1" applyBorder="1"/>
    <xf numFmtId="0" fontId="1" fillId="2" borderId="2" xfId="1" applyFill="1" applyBorder="1"/>
    <xf numFmtId="0" fontId="1" fillId="2" borderId="3" xfId="1" applyFill="1" applyBorder="1"/>
    <xf numFmtId="0" fontId="1" fillId="0" borderId="0" xfId="1" applyFill="1" applyBorder="1"/>
    <xf numFmtId="0" fontId="2" fillId="0" borderId="0" xfId="1" applyFont="1" applyFill="1" applyBorder="1"/>
    <xf numFmtId="0" fontId="1" fillId="3" borderId="0" xfId="1" applyFill="1" applyAlignment="1">
      <alignment horizontal="center"/>
    </xf>
    <xf numFmtId="0" fontId="2" fillId="4" borderId="4" xfId="1" applyFont="1" applyFill="1" applyBorder="1"/>
    <xf numFmtId="0" fontId="1" fillId="3" borderId="4" xfId="1" applyFill="1" applyBorder="1"/>
    <xf numFmtId="0" fontId="2" fillId="4" borderId="0" xfId="1" applyFont="1" applyFill="1" applyBorder="1"/>
    <xf numFmtId="0" fontId="1" fillId="2" borderId="5" xfId="1" applyFill="1" applyBorder="1"/>
    <xf numFmtId="0" fontId="1" fillId="2" borderId="6" xfId="1" applyFill="1" applyBorder="1"/>
    <xf numFmtId="0" fontId="3" fillId="0" borderId="0" xfId="1" applyFont="1" applyFill="1" applyBorder="1"/>
    <xf numFmtId="0" fontId="2" fillId="4" borderId="7" xfId="1" applyFont="1" applyFill="1" applyBorder="1"/>
    <xf numFmtId="0" fontId="4" fillId="4" borderId="4" xfId="1" applyFont="1" applyFill="1" applyBorder="1"/>
    <xf numFmtId="0" fontId="1" fillId="3" borderId="8" xfId="1" applyFill="1" applyBorder="1"/>
    <xf numFmtId="164" fontId="2" fillId="4" borderId="4" xfId="1" applyNumberFormat="1" applyFont="1" applyFill="1" applyBorder="1" applyAlignment="1">
      <alignment horizontal="right"/>
    </xf>
    <xf numFmtId="0" fontId="1" fillId="4" borderId="4" xfId="1" applyFill="1" applyBorder="1"/>
    <xf numFmtId="0" fontId="4" fillId="2" borderId="0" xfId="1" applyFont="1" applyFill="1" applyBorder="1"/>
    <xf numFmtId="0" fontId="2" fillId="0" borderId="0" xfId="1" applyFont="1" applyFill="1" applyBorder="1" applyAlignment="1">
      <alignment horizontal="center"/>
    </xf>
    <xf numFmtId="0" fontId="3" fillId="0" borderId="0" xfId="1" applyFont="1" applyFill="1" applyBorder="1" applyAlignment="1">
      <alignment horizontal="center"/>
    </xf>
    <xf numFmtId="0" fontId="2" fillId="0" borderId="0" xfId="1" applyFont="1" applyFill="1" applyBorder="1" applyAlignment="1">
      <alignment horizontal="left"/>
    </xf>
    <xf numFmtId="164" fontId="2" fillId="0" borderId="0" xfId="1" applyNumberFormat="1" applyFont="1" applyFill="1" applyBorder="1" applyAlignment="1">
      <alignment horizontal="center"/>
    </xf>
    <xf numFmtId="0" fontId="1" fillId="5" borderId="4" xfId="1" applyFill="1" applyBorder="1"/>
    <xf numFmtId="164" fontId="1" fillId="5" borderId="4" xfId="1" applyNumberFormat="1" applyFill="1" applyBorder="1" applyAlignment="1">
      <alignment horizontal="right"/>
    </xf>
    <xf numFmtId="0" fontId="1" fillId="5" borderId="4" xfId="1" applyFill="1" applyBorder="1" applyAlignment="1">
      <alignment horizontal="center"/>
    </xf>
    <xf numFmtId="164" fontId="2" fillId="0" borderId="0" xfId="1" applyNumberFormat="1" applyFont="1" applyFill="1" applyBorder="1"/>
    <xf numFmtId="0" fontId="1" fillId="2" borderId="9" xfId="1" applyFill="1" applyBorder="1"/>
    <xf numFmtId="0" fontId="1" fillId="2" borderId="10" xfId="1" applyFill="1" applyBorder="1"/>
    <xf numFmtId="0" fontId="1" fillId="2" borderId="11" xfId="1" applyFill="1" applyBorder="1"/>
    <xf numFmtId="0" fontId="5" fillId="2" borderId="0" xfId="1" applyFont="1" applyFill="1" applyBorder="1"/>
    <xf numFmtId="0" fontId="1" fillId="6" borderId="4" xfId="1" applyFill="1" applyBorder="1"/>
    <xf numFmtId="164" fontId="1" fillId="6" borderId="4" xfId="1" applyNumberFormat="1" applyFill="1" applyBorder="1" applyAlignment="1">
      <alignment horizontal="right"/>
    </xf>
    <xf numFmtId="164" fontId="1" fillId="6" borderId="7" xfId="1" applyNumberFormat="1" applyFill="1" applyBorder="1" applyAlignment="1">
      <alignment horizontal="right"/>
    </xf>
    <xf numFmtId="0" fontId="3" fillId="6" borderId="4" xfId="1" applyFont="1" applyFill="1" applyBorder="1"/>
    <xf numFmtId="0" fontId="9" fillId="2" borderId="0" xfId="1" applyFont="1" applyFill="1" applyBorder="1"/>
    <xf numFmtId="0" fontId="2" fillId="6" borderId="4" xfId="1" applyFont="1" applyFill="1" applyBorder="1"/>
    <xf numFmtId="0" fontId="3" fillId="2" borderId="0" xfId="1" applyFont="1" applyFill="1" applyBorder="1"/>
    <xf numFmtId="0" fontId="1" fillId="7" borderId="4" xfId="1" applyFill="1" applyBorder="1"/>
    <xf numFmtId="0" fontId="1" fillId="0" borderId="4" xfId="1" applyFill="1" applyBorder="1"/>
    <xf numFmtId="0" fontId="3" fillId="0" borderId="0" xfId="1" applyFont="1" applyFill="1"/>
    <xf numFmtId="0" fontId="3" fillId="2" borderId="0" xfId="1" applyFont="1" applyFill="1"/>
    <xf numFmtId="0" fontId="10" fillId="2" borderId="0" xfId="1" applyFont="1" applyFill="1" applyBorder="1" applyAlignment="1"/>
    <xf numFmtId="0" fontId="11" fillId="8" borderId="0" xfId="1" applyFont="1" applyFill="1" applyBorder="1" applyAlignment="1">
      <alignment horizontal="left"/>
    </xf>
    <xf numFmtId="0" fontId="12" fillId="8" borderId="0" xfId="1" applyFont="1" applyFill="1" applyBorder="1"/>
    <xf numFmtId="0" fontId="1" fillId="2" borderId="0" xfId="1" applyFill="1" applyBorder="1" applyAlignment="1">
      <alignment horizontal="center"/>
    </xf>
    <xf numFmtId="0" fontId="10" fillId="2" borderId="6" xfId="1" applyFont="1" applyFill="1" applyBorder="1" applyAlignment="1"/>
    <xf numFmtId="0" fontId="2" fillId="2" borderId="0" xfId="1" applyFont="1" applyFill="1" applyBorder="1"/>
    <xf numFmtId="0" fontId="9" fillId="2" borderId="0" xfId="1" applyFont="1" applyFill="1" applyBorder="1" applyAlignment="1">
      <alignment horizontal="left"/>
    </xf>
    <xf numFmtId="0" fontId="2" fillId="3" borderId="12" xfId="1" applyFont="1" applyFill="1" applyBorder="1" applyAlignment="1" applyProtection="1">
      <alignment horizontal="center"/>
      <protection locked="0"/>
    </xf>
    <xf numFmtId="0" fontId="9" fillId="2" borderId="0" xfId="1" applyFont="1" applyFill="1" applyBorder="1" applyAlignment="1">
      <alignment horizontal="right"/>
    </xf>
    <xf numFmtId="0" fontId="2" fillId="2" borderId="0" xfId="1" applyFont="1" applyFill="1" applyBorder="1" applyAlignment="1">
      <alignment horizontal="center"/>
    </xf>
    <xf numFmtId="0" fontId="3" fillId="3" borderId="12" xfId="1" applyFont="1" applyFill="1" applyBorder="1" applyAlignment="1">
      <alignment horizontal="right"/>
    </xf>
    <xf numFmtId="0" fontId="3" fillId="3" borderId="12" xfId="1" applyFont="1" applyFill="1" applyBorder="1" applyAlignment="1">
      <alignment horizontal="center"/>
    </xf>
    <xf numFmtId="0" fontId="2" fillId="0" borderId="4" xfId="1" applyFont="1" applyFill="1" applyBorder="1"/>
    <xf numFmtId="0" fontId="2" fillId="0" borderId="13" xfId="1" applyFont="1" applyFill="1" applyBorder="1"/>
    <xf numFmtId="0" fontId="2" fillId="0" borderId="13" xfId="1" applyFont="1" applyFill="1" applyBorder="1" applyProtection="1">
      <protection locked="0"/>
    </xf>
    <xf numFmtId="0" fontId="2" fillId="0" borderId="13" xfId="1" applyFont="1" applyFill="1" applyBorder="1" applyAlignment="1" applyProtection="1">
      <alignment horizontal="center"/>
      <protection locked="0"/>
    </xf>
    <xf numFmtId="0" fontId="13" fillId="2" borderId="0" xfId="1" applyFont="1" applyFill="1" applyBorder="1"/>
    <xf numFmtId="0" fontId="2" fillId="0" borderId="4" xfId="1" applyFont="1" applyFill="1" applyBorder="1" applyAlignment="1" applyProtection="1">
      <alignment horizontal="center"/>
      <protection locked="0"/>
    </xf>
    <xf numFmtId="0" fontId="14" fillId="2" borderId="0" xfId="1" applyFont="1" applyFill="1" applyBorder="1"/>
    <xf numFmtId="0" fontId="15" fillId="2" borderId="0" xfId="1" applyFont="1" applyFill="1" applyBorder="1"/>
    <xf numFmtId="0" fontId="14" fillId="2" borderId="0" xfId="1" applyFont="1" applyFill="1" applyBorder="1" applyAlignment="1">
      <alignment horizontal="center"/>
    </xf>
    <xf numFmtId="0" fontId="15" fillId="0" borderId="0" xfId="1" applyFont="1" applyFill="1" applyBorder="1"/>
    <xf numFmtId="0" fontId="1" fillId="3" borderId="0" xfId="1" applyFill="1" applyBorder="1"/>
    <xf numFmtId="0" fontId="2" fillId="3" borderId="4" xfId="1" applyFont="1" applyFill="1" applyBorder="1" applyAlignment="1">
      <alignment horizontal="center"/>
    </xf>
    <xf numFmtId="0" fontId="1" fillId="3" borderId="7" xfId="1" applyFill="1" applyBorder="1"/>
    <xf numFmtId="0" fontId="16" fillId="2" borderId="6" xfId="1" applyFont="1" applyFill="1" applyBorder="1"/>
    <xf numFmtId="0" fontId="17" fillId="2" borderId="0" xfId="1" applyFont="1" applyFill="1" applyBorder="1" applyAlignment="1">
      <alignment horizontal="center"/>
    </xf>
    <xf numFmtId="0" fontId="17" fillId="2" borderId="0" xfId="1" applyFont="1" applyFill="1" applyBorder="1"/>
    <xf numFmtId="0" fontId="17" fillId="2" borderId="0" xfId="1" applyFont="1" applyFill="1" applyBorder="1" applyAlignment="1">
      <alignment horizontal="right"/>
    </xf>
    <xf numFmtId="0" fontId="6" fillId="2" borderId="0" xfId="1" applyFont="1" applyFill="1" applyBorder="1"/>
    <xf numFmtId="0" fontId="9" fillId="2" borderId="0" xfId="1" applyFont="1" applyFill="1" applyBorder="1" applyAlignment="1">
      <alignment horizontal="center"/>
    </xf>
    <xf numFmtId="0" fontId="18" fillId="2" borderId="0" xfId="1" applyFont="1" applyFill="1" applyBorder="1" applyAlignment="1">
      <alignment horizontal="left"/>
    </xf>
    <xf numFmtId="0" fontId="19" fillId="2" borderId="0" xfId="1" applyFont="1" applyFill="1" applyBorder="1"/>
    <xf numFmtId="0" fontId="20" fillId="2" borderId="1" xfId="1" applyFont="1" applyFill="1" applyBorder="1"/>
    <xf numFmtId="0" fontId="19" fillId="2" borderId="2" xfId="1" applyFont="1" applyFill="1" applyBorder="1"/>
    <xf numFmtId="0" fontId="20" fillId="2" borderId="0" xfId="1" applyFont="1" applyFill="1" applyBorder="1"/>
    <xf numFmtId="0" fontId="19" fillId="2" borderId="5" xfId="1" applyFont="1" applyFill="1" applyBorder="1"/>
    <xf numFmtId="0" fontId="19" fillId="2" borderId="14" xfId="1" applyFont="1" applyFill="1" applyBorder="1"/>
    <xf numFmtId="0" fontId="1" fillId="2" borderId="4" xfId="1" applyFill="1" applyBorder="1"/>
    <xf numFmtId="0" fontId="21" fillId="2" borderId="0" xfId="1" applyFont="1" applyFill="1"/>
    <xf numFmtId="0" fontId="9" fillId="2" borderId="7" xfId="1" applyFont="1" applyFill="1" applyBorder="1"/>
    <xf numFmtId="0" fontId="4" fillId="2" borderId="15" xfId="1" applyFont="1" applyFill="1" applyBorder="1"/>
    <xf numFmtId="0" fontId="4" fillId="2" borderId="8" xfId="1" applyFont="1" applyFill="1" applyBorder="1"/>
    <xf numFmtId="0" fontId="1" fillId="2" borderId="14" xfId="1" applyFill="1" applyBorder="1"/>
    <xf numFmtId="0" fontId="4" fillId="2" borderId="4" xfId="1" applyFont="1" applyFill="1" applyBorder="1"/>
    <xf numFmtId="0" fontId="22" fillId="2" borderId="0" xfId="1" applyFont="1" applyFill="1" applyBorder="1"/>
    <xf numFmtId="0" fontId="1" fillId="2" borderId="4" xfId="1" applyFill="1" applyBorder="1" applyAlignment="1"/>
    <xf numFmtId="0" fontId="1" fillId="2" borderId="4" xfId="1" applyFill="1" applyBorder="1" applyAlignment="1">
      <alignment horizontal="center"/>
    </xf>
    <xf numFmtId="0" fontId="1" fillId="0" borderId="16" xfId="1" applyFill="1" applyBorder="1"/>
    <xf numFmtId="0" fontId="22" fillId="0" borderId="4" xfId="1" applyFont="1" applyFill="1" applyBorder="1"/>
    <xf numFmtId="0" fontId="22" fillId="0" borderId="0" xfId="1" applyFont="1" applyFill="1" applyBorder="1"/>
    <xf numFmtId="0" fontId="1" fillId="0" borderId="6" xfId="1" applyFill="1" applyBorder="1"/>
    <xf numFmtId="0" fontId="1" fillId="0" borderId="5" xfId="1" applyFill="1" applyBorder="1"/>
    <xf numFmtId="0" fontId="1" fillId="0" borderId="4" xfId="1" applyBorder="1" applyAlignment="1"/>
    <xf numFmtId="0" fontId="1" fillId="0" borderId="4" xfId="1" applyBorder="1" applyAlignment="1">
      <alignment horizontal="center"/>
    </xf>
    <xf numFmtId="0" fontId="19" fillId="0" borderId="5" xfId="1" applyFont="1" applyFill="1" applyBorder="1"/>
    <xf numFmtId="0" fontId="3" fillId="4" borderId="4" xfId="1" applyFont="1" applyFill="1" applyBorder="1"/>
    <xf numFmtId="0" fontId="22" fillId="0" borderId="16" xfId="1" applyFont="1" applyFill="1" applyBorder="1"/>
    <xf numFmtId="0" fontId="19" fillId="0" borderId="0" xfId="1" applyFont="1" applyFill="1" applyBorder="1"/>
    <xf numFmtId="0" fontId="1" fillId="0" borderId="4" xfId="1" applyBorder="1"/>
    <xf numFmtId="0" fontId="19" fillId="0" borderId="4" xfId="1" applyFont="1" applyFill="1" applyBorder="1"/>
    <xf numFmtId="0" fontId="1" fillId="0" borderId="17" xfId="1" applyFill="1" applyBorder="1"/>
    <xf numFmtId="0" fontId="1" fillId="7" borderId="7" xfId="1" applyFill="1" applyBorder="1"/>
    <xf numFmtId="0" fontId="1" fillId="9" borderId="4" xfId="1" applyFill="1" applyBorder="1"/>
    <xf numFmtId="0" fontId="1" fillId="9" borderId="7" xfId="1" applyFill="1" applyBorder="1"/>
    <xf numFmtId="165" fontId="19" fillId="0" borderId="16" xfId="2" applyFont="1" applyFill="1" applyBorder="1"/>
    <xf numFmtId="0" fontId="19" fillId="0" borderId="16" xfId="1" applyFont="1" applyFill="1" applyBorder="1"/>
    <xf numFmtId="0" fontId="1" fillId="2" borderId="1" xfId="1" applyFill="1" applyBorder="1" applyAlignment="1">
      <alignment horizontal="right"/>
    </xf>
    <xf numFmtId="0" fontId="1" fillId="2" borderId="2" xfId="1" applyFill="1" applyBorder="1" applyAlignment="1">
      <alignment horizontal="right"/>
    </xf>
    <xf numFmtId="0" fontId="1" fillId="2" borderId="5" xfId="1" applyFill="1" applyBorder="1" applyAlignment="1">
      <alignment horizontal="right"/>
    </xf>
    <xf numFmtId="0" fontId="1" fillId="8" borderId="0" xfId="1" applyFill="1" applyBorder="1" applyAlignment="1">
      <alignment horizontal="right"/>
    </xf>
    <xf numFmtId="0" fontId="23" fillId="8" borderId="0" xfId="1" applyFont="1" applyFill="1" applyBorder="1" applyAlignment="1">
      <alignment horizontal="left"/>
    </xf>
    <xf numFmtId="0" fontId="1" fillId="8" borderId="0" xfId="1" applyFill="1" applyBorder="1"/>
    <xf numFmtId="0" fontId="1" fillId="2" borderId="0" xfId="1" applyFill="1" applyBorder="1" applyAlignment="1">
      <alignment horizontal="right"/>
    </xf>
    <xf numFmtId="0" fontId="20" fillId="2" borderId="6" xfId="1" applyFont="1" applyFill="1" applyBorder="1"/>
    <xf numFmtId="0" fontId="19" fillId="0" borderId="4" xfId="1" applyFont="1" applyBorder="1"/>
    <xf numFmtId="0" fontId="1" fillId="0" borderId="7" xfId="1" applyBorder="1"/>
    <xf numFmtId="0" fontId="21" fillId="3" borderId="12" xfId="1" applyFont="1" applyFill="1" applyBorder="1" applyAlignment="1" applyProtection="1">
      <alignment horizontal="center"/>
      <protection locked="0"/>
    </xf>
    <xf numFmtId="165" fontId="19" fillId="2" borderId="13" xfId="2" applyFont="1" applyFill="1" applyBorder="1" applyAlignment="1">
      <alignment horizontal="center"/>
    </xf>
    <xf numFmtId="0" fontId="19" fillId="2" borderId="18" xfId="1" applyFont="1" applyFill="1" applyBorder="1"/>
    <xf numFmtId="0" fontId="19" fillId="2" borderId="19" xfId="1" applyFont="1" applyFill="1" applyBorder="1"/>
    <xf numFmtId="0" fontId="19" fillId="3" borderId="20" xfId="1" applyFont="1" applyFill="1" applyBorder="1" applyAlignment="1" applyProtection="1">
      <alignment horizontal="center"/>
      <protection locked="0"/>
    </xf>
    <xf numFmtId="165" fontId="19" fillId="2" borderId="4" xfId="2" applyFont="1" applyFill="1" applyBorder="1" applyAlignment="1"/>
    <xf numFmtId="0" fontId="19" fillId="2" borderId="7" xfId="1" applyFont="1" applyFill="1" applyBorder="1"/>
    <xf numFmtId="0" fontId="19" fillId="2" borderId="15" xfId="1" applyFont="1" applyFill="1" applyBorder="1"/>
    <xf numFmtId="0" fontId="19" fillId="3" borderId="12" xfId="1" applyFont="1" applyFill="1" applyBorder="1" applyAlignment="1" applyProtection="1">
      <alignment horizontal="center"/>
      <protection locked="0"/>
    </xf>
    <xf numFmtId="0" fontId="1" fillId="0" borderId="9" xfId="1" applyFill="1" applyBorder="1"/>
    <xf numFmtId="0" fontId="1" fillId="0" borderId="10" xfId="1" applyFill="1" applyBorder="1"/>
    <xf numFmtId="0" fontId="1" fillId="0" borderId="11" xfId="1" applyFill="1" applyBorder="1"/>
    <xf numFmtId="165" fontId="19" fillId="2" borderId="0" xfId="2" applyFont="1" applyFill="1" applyBorder="1" applyAlignment="1">
      <alignment horizontal="right"/>
    </xf>
    <xf numFmtId="0" fontId="1" fillId="2" borderId="0" xfId="1" applyFont="1" applyFill="1" applyBorder="1"/>
    <xf numFmtId="165" fontId="19" fillId="2" borderId="0" xfId="2" applyFont="1" applyFill="1" applyBorder="1"/>
    <xf numFmtId="0" fontId="21" fillId="2" borderId="0" xfId="1" applyFont="1" applyFill="1" applyBorder="1"/>
    <xf numFmtId="0" fontId="9" fillId="0" borderId="0" xfId="1" applyFont="1" applyFill="1"/>
    <xf numFmtId="0" fontId="1" fillId="0" borderId="0" xfId="1" applyBorder="1"/>
    <xf numFmtId="0" fontId="2" fillId="0" borderId="0" xfId="1" applyFont="1" applyFill="1" applyAlignment="1">
      <alignment horizontal="right"/>
    </xf>
    <xf numFmtId="0" fontId="1" fillId="0" borderId="0" xfId="1" applyFill="1" applyAlignment="1">
      <alignment horizontal="center"/>
    </xf>
    <xf numFmtId="0" fontId="4" fillId="0" borderId="0" xfId="1" applyFont="1" applyFill="1" applyAlignment="1">
      <alignment horizontal="right"/>
    </xf>
    <xf numFmtId="0" fontId="1" fillId="0" borderId="0" xfId="1" applyFill="1" applyAlignment="1">
      <alignment horizontal="right"/>
    </xf>
    <xf numFmtId="0" fontId="19" fillId="2" borderId="0" xfId="1" applyFont="1" applyFill="1" applyBorder="1" applyAlignment="1">
      <alignment horizontal="center"/>
    </xf>
    <xf numFmtId="0" fontId="1" fillId="0" borderId="0" xfId="1" applyAlignment="1">
      <alignment horizontal="right"/>
    </xf>
    <xf numFmtId="0" fontId="1" fillId="3" borderId="12" xfId="1" applyFill="1" applyBorder="1" applyAlignment="1">
      <alignment horizontal="right"/>
    </xf>
    <xf numFmtId="0" fontId="9" fillId="3" borderId="12" xfId="1" applyFont="1" applyFill="1" applyBorder="1" applyAlignment="1">
      <alignment horizontal="center"/>
    </xf>
    <xf numFmtId="0" fontId="9" fillId="3" borderId="12" xfId="1" applyFont="1" applyFill="1" applyBorder="1"/>
    <xf numFmtId="0" fontId="1" fillId="0" borderId="13" xfId="1" applyFill="1" applyBorder="1"/>
    <xf numFmtId="0" fontId="1" fillId="0" borderId="13" xfId="1" applyFill="1" applyBorder="1" applyAlignment="1" applyProtection="1">
      <alignment horizontal="center"/>
      <protection locked="0"/>
    </xf>
    <xf numFmtId="0" fontId="24" fillId="0" borderId="13" xfId="1" applyFont="1" applyFill="1" applyBorder="1" applyAlignment="1" applyProtection="1">
      <alignment horizontal="center"/>
      <protection locked="0"/>
    </xf>
    <xf numFmtId="0" fontId="1" fillId="0" borderId="4" xfId="1" applyFill="1" applyBorder="1" applyAlignment="1" applyProtection="1">
      <alignment horizontal="center"/>
      <protection locked="0"/>
    </xf>
    <xf numFmtId="0" fontId="22" fillId="0" borderId="4" xfId="1" applyFont="1" applyFill="1" applyBorder="1" applyAlignment="1" applyProtection="1">
      <alignment horizontal="center"/>
      <protection locked="0"/>
    </xf>
    <xf numFmtId="0" fontId="9" fillId="0" borderId="4" xfId="1" applyFont="1" applyFill="1" applyBorder="1" applyAlignment="1">
      <alignment horizontal="center"/>
    </xf>
    <xf numFmtId="0" fontId="2" fillId="0" borderId="4" xfId="1" applyFont="1" applyBorder="1"/>
    <xf numFmtId="0" fontId="3" fillId="0" borderId="4" xfId="1" applyFont="1" applyBorder="1" applyAlignment="1">
      <alignment horizontal="center"/>
    </xf>
    <xf numFmtId="0" fontId="9" fillId="0" borderId="4" xfId="1" applyFont="1" applyBorder="1" applyAlignment="1">
      <alignment horizontal="center"/>
    </xf>
    <xf numFmtId="0" fontId="9" fillId="0" borderId="0" xfId="1" applyFont="1" applyAlignment="1">
      <alignment horizontal="center"/>
    </xf>
    <xf numFmtId="0" fontId="9" fillId="0" borderId="0" xfId="1" applyFont="1" applyBorder="1" applyAlignment="1">
      <alignment horizontal="center"/>
    </xf>
    <xf numFmtId="0" fontId="2" fillId="0" borderId="4" xfId="1" applyFont="1" applyBorder="1" applyAlignment="1">
      <alignment horizontal="center"/>
    </xf>
    <xf numFmtId="0" fontId="2" fillId="0" borderId="4" xfId="1" applyFont="1" applyFill="1" applyBorder="1" applyAlignment="1">
      <alignment horizontal="center"/>
    </xf>
    <xf numFmtId="0" fontId="2" fillId="0" borderId="0" xfId="1" applyFont="1" applyBorder="1" applyAlignment="1">
      <alignment horizontal="center"/>
    </xf>
    <xf numFmtId="0" fontId="2" fillId="2" borderId="4" xfId="1" applyFont="1" applyFill="1" applyBorder="1" applyAlignment="1">
      <alignment horizontal="center"/>
    </xf>
    <xf numFmtId="0" fontId="1" fillId="0" borderId="0" xfId="1" applyFill="1" applyBorder="1" applyAlignment="1">
      <alignment horizontal="right"/>
    </xf>
    <xf numFmtId="0" fontId="13" fillId="8" borderId="0" xfId="1" applyFont="1" applyFill="1" applyBorder="1"/>
    <xf numFmtId="0" fontId="25" fillId="8" borderId="0" xfId="1" applyFont="1" applyFill="1" applyBorder="1" applyAlignment="1">
      <alignment horizontal="center"/>
    </xf>
    <xf numFmtId="0" fontId="26" fillId="2" borderId="0" xfId="1" applyFont="1" applyFill="1" applyBorder="1"/>
    <xf numFmtId="0" fontId="1" fillId="3" borderId="12" xfId="1" applyFill="1" applyBorder="1" applyAlignment="1" applyProtection="1">
      <alignment horizontal="center"/>
      <protection locked="0"/>
    </xf>
    <xf numFmtId="0" fontId="2" fillId="0" borderId="13" xfId="1" applyFont="1" applyBorder="1"/>
    <xf numFmtId="0" fontId="2" fillId="0" borderId="13" xfId="1" applyFont="1" applyBorder="1" applyAlignment="1" applyProtection="1">
      <alignment horizontal="center"/>
      <protection locked="0"/>
    </xf>
    <xf numFmtId="0" fontId="2" fillId="2" borderId="6" xfId="1" applyFont="1" applyFill="1" applyBorder="1"/>
    <xf numFmtId="0" fontId="2" fillId="0" borderId="4" xfId="1" applyFont="1" applyBorder="1" applyAlignment="1" applyProtection="1">
      <alignment horizontal="center"/>
      <protection locked="0"/>
    </xf>
    <xf numFmtId="0" fontId="1" fillId="10" borderId="4" xfId="1" applyFill="1" applyBorder="1"/>
    <xf numFmtId="0" fontId="1" fillId="11" borderId="4" xfId="1" applyFill="1" applyBorder="1"/>
    <xf numFmtId="0" fontId="0" fillId="0" borderId="0" xfId="0" applyAlignment="1">
      <alignment horizontal="right"/>
    </xf>
    <xf numFmtId="0" fontId="32" fillId="0" borderId="0" xfId="0" applyFont="1" applyAlignment="1">
      <alignment horizontal="right" vertical="center"/>
    </xf>
    <xf numFmtId="0" fontId="32" fillId="0" borderId="0" xfId="0" applyFont="1" applyAlignment="1">
      <alignment horizontal="justify" vertical="center"/>
    </xf>
    <xf numFmtId="0" fontId="36" fillId="0" borderId="0" xfId="0" applyFont="1" applyAlignment="1">
      <alignment horizontal="center"/>
    </xf>
    <xf numFmtId="0" fontId="0" fillId="0" borderId="4" xfId="0" applyBorder="1" applyAlignment="1">
      <alignment horizontal="center"/>
    </xf>
    <xf numFmtId="0" fontId="41" fillId="12" borderId="4" xfId="0" applyFont="1" applyFill="1" applyBorder="1" applyAlignment="1">
      <alignment horizontal="center"/>
    </xf>
    <xf numFmtId="0" fontId="0" fillId="13" borderId="4" xfId="0" applyFill="1" applyBorder="1"/>
    <xf numFmtId="0" fontId="0" fillId="0" borderId="4" xfId="0" applyBorder="1"/>
    <xf numFmtId="0" fontId="40" fillId="0" borderId="4" xfId="0" applyFont="1" applyBorder="1" applyAlignment="1">
      <alignment horizontal="center"/>
    </xf>
    <xf numFmtId="0" fontId="46" fillId="0" borderId="4" xfId="0" applyFont="1" applyBorder="1" applyAlignment="1">
      <alignment horizontal="center"/>
    </xf>
    <xf numFmtId="0" fontId="0" fillId="0" borderId="17" xfId="0" applyBorder="1" applyAlignment="1">
      <alignment horizontal="center"/>
    </xf>
    <xf numFmtId="0" fontId="0" fillId="0" borderId="17" xfId="0" applyBorder="1"/>
    <xf numFmtId="0" fontId="0" fillId="0" borderId="24" xfId="0" applyBorder="1"/>
    <xf numFmtId="0" fontId="0" fillId="0" borderId="26" xfId="0" applyBorder="1" applyAlignment="1">
      <alignment horizontal="center"/>
    </xf>
    <xf numFmtId="0" fontId="0" fillId="0" borderId="24" xfId="0" applyBorder="1" applyAlignment="1">
      <alignment horizontal="center"/>
    </xf>
    <xf numFmtId="0" fontId="0" fillId="16" borderId="7" xfId="0" applyFill="1" applyBorder="1" applyAlignment="1">
      <alignment horizontal="right"/>
    </xf>
    <xf numFmtId="0" fontId="0" fillId="16" borderId="7" xfId="0" applyFill="1" applyBorder="1"/>
    <xf numFmtId="0" fontId="0" fillId="16" borderId="27" xfId="0" applyFill="1" applyBorder="1" applyAlignment="1">
      <alignment horizontal="right"/>
    </xf>
    <xf numFmtId="164" fontId="0" fillId="16" borderId="28" xfId="0" applyNumberFormat="1" applyFill="1" applyBorder="1" applyAlignment="1">
      <alignment horizontal="center"/>
    </xf>
    <xf numFmtId="164" fontId="0" fillId="16" borderId="29" xfId="0" applyNumberFormat="1" applyFill="1" applyBorder="1" applyAlignment="1">
      <alignment horizontal="left"/>
    </xf>
    <xf numFmtId="0" fontId="0" fillId="16" borderId="30" xfId="0" applyFill="1" applyBorder="1"/>
    <xf numFmtId="164" fontId="0" fillId="16" borderId="31" xfId="0" applyNumberFormat="1" applyFill="1" applyBorder="1" applyAlignment="1">
      <alignment horizontal="left"/>
    </xf>
    <xf numFmtId="0" fontId="0" fillId="16" borderId="27" xfId="0" applyFill="1" applyBorder="1"/>
    <xf numFmtId="0" fontId="41" fillId="12" borderId="16" xfId="0" applyFont="1" applyFill="1" applyBorder="1" applyAlignment="1">
      <alignment horizontal="center"/>
    </xf>
    <xf numFmtId="0" fontId="41" fillId="12" borderId="16" xfId="0" applyFont="1" applyFill="1" applyBorder="1"/>
    <xf numFmtId="0" fontId="41" fillId="12" borderId="23" xfId="0" applyFont="1" applyFill="1" applyBorder="1"/>
    <xf numFmtId="0" fontId="41" fillId="12" borderId="21" xfId="0" applyFont="1" applyFill="1" applyBorder="1"/>
    <xf numFmtId="0" fontId="48" fillId="13" borderId="21" xfId="0" applyFont="1" applyFill="1" applyBorder="1"/>
    <xf numFmtId="0" fontId="48" fillId="13" borderId="16" xfId="0" applyFont="1" applyFill="1" applyBorder="1"/>
    <xf numFmtId="0" fontId="48" fillId="13" borderId="23" xfId="0" applyFont="1" applyFill="1" applyBorder="1"/>
    <xf numFmtId="164" fontId="48" fillId="14" borderId="27" xfId="0" applyNumberFormat="1" applyFont="1" applyFill="1" applyBorder="1"/>
    <xf numFmtId="0" fontId="39" fillId="14" borderId="28" xfId="0" applyFont="1" applyFill="1" applyBorder="1"/>
    <xf numFmtId="0" fontId="48" fillId="14" borderId="7" xfId="0" applyFont="1" applyFill="1" applyBorder="1"/>
    <xf numFmtId="0" fontId="39" fillId="14" borderId="29" xfId="0" applyFont="1" applyFill="1" applyBorder="1"/>
    <xf numFmtId="166" fontId="48" fillId="14" borderId="7" xfId="0" applyNumberFormat="1" applyFont="1" applyFill="1" applyBorder="1"/>
    <xf numFmtId="0" fontId="39" fillId="14" borderId="31" xfId="0" applyFont="1" applyFill="1" applyBorder="1"/>
    <xf numFmtId="166" fontId="48" fillId="14" borderId="30" xfId="0" applyNumberFormat="1" applyFont="1" applyFill="1" applyBorder="1"/>
    <xf numFmtId="0" fontId="0" fillId="0" borderId="32" xfId="0" applyBorder="1"/>
    <xf numFmtId="0" fontId="0" fillId="0" borderId="33" xfId="0" applyBorder="1"/>
    <xf numFmtId="0" fontId="0" fillId="0" borderId="34" xfId="0" applyBorder="1"/>
    <xf numFmtId="0" fontId="0" fillId="16" borderId="29" xfId="0" applyFill="1" applyBorder="1" applyAlignment="1"/>
    <xf numFmtId="0" fontId="0" fillId="16" borderId="31" xfId="0" applyFill="1" applyBorder="1" applyAlignment="1"/>
    <xf numFmtId="0" fontId="0" fillId="16" borderId="30" xfId="0" applyFill="1" applyBorder="1" applyAlignment="1">
      <alignment horizontal="right"/>
    </xf>
    <xf numFmtId="0" fontId="41" fillId="12" borderId="4" xfId="0" applyFont="1" applyFill="1" applyBorder="1" applyAlignment="1">
      <alignment horizontal="center" wrapText="1"/>
    </xf>
    <xf numFmtId="0" fontId="41" fillId="12" borderId="4" xfId="0" applyFont="1" applyFill="1" applyBorder="1" applyAlignment="1">
      <alignment horizontal="center" vertical="center"/>
    </xf>
    <xf numFmtId="0" fontId="0" fillId="0" borderId="4" xfId="0" applyBorder="1" applyAlignment="1">
      <alignment horizontal="center"/>
    </xf>
    <xf numFmtId="0" fontId="0" fillId="0" borderId="35" xfId="0" applyBorder="1"/>
    <xf numFmtId="0" fontId="0" fillId="0" borderId="0" xfId="0" applyBorder="1"/>
    <xf numFmtId="0" fontId="41" fillId="12" borderId="17" xfId="0" applyFont="1" applyFill="1" applyBorder="1" applyAlignment="1">
      <alignment horizontal="center" wrapText="1"/>
    </xf>
    <xf numFmtId="0" fontId="41" fillId="12" borderId="16" xfId="0" applyFont="1" applyFill="1" applyBorder="1" applyAlignment="1">
      <alignment vertical="center"/>
    </xf>
    <xf numFmtId="0" fontId="41" fillId="12" borderId="16" xfId="0" applyFont="1" applyFill="1" applyBorder="1" applyAlignment="1">
      <alignment horizontal="center" vertical="center"/>
    </xf>
    <xf numFmtId="0" fontId="41" fillId="12" borderId="17" xfId="0" applyFont="1" applyFill="1" applyBorder="1" applyAlignment="1">
      <alignment horizontal="center" vertical="center"/>
    </xf>
    <xf numFmtId="0" fontId="0" fillId="0" borderId="0" xfId="0" applyAlignment="1">
      <alignment vertical="center"/>
    </xf>
    <xf numFmtId="0" fontId="0" fillId="0" borderId="0" xfId="0" applyAlignment="1">
      <alignment wrapText="1"/>
    </xf>
    <xf numFmtId="0" fontId="0" fillId="0" borderId="0" xfId="0" applyAlignment="1">
      <alignment horizontal="center"/>
    </xf>
    <xf numFmtId="0" fontId="41" fillId="12" borderId="4" xfId="0" applyFont="1" applyFill="1" applyBorder="1" applyAlignment="1">
      <alignment horizontal="center" wrapText="1"/>
    </xf>
    <xf numFmtId="0" fontId="41" fillId="12" borderId="4" xfId="0" applyFont="1" applyFill="1" applyBorder="1" applyAlignment="1">
      <alignment horizontal="center" vertical="center"/>
    </xf>
    <xf numFmtId="0" fontId="0" fillId="0" borderId="4" xfId="0" applyBorder="1" applyAlignment="1">
      <alignment horizontal="center"/>
    </xf>
    <xf numFmtId="0" fontId="0" fillId="0" borderId="4" xfId="0" applyBorder="1" applyAlignment="1">
      <alignment horizontal="center"/>
    </xf>
    <xf numFmtId="0" fontId="41" fillId="12" borderId="4" xfId="0" applyFont="1" applyFill="1" applyBorder="1" applyAlignment="1">
      <alignment horizontal="center" vertical="center"/>
    </xf>
    <xf numFmtId="0" fontId="41" fillId="12" borderId="4" xfId="0" applyFont="1" applyFill="1" applyBorder="1" applyAlignment="1">
      <alignment horizontal="center" wrapText="1"/>
    </xf>
    <xf numFmtId="0" fontId="0" fillId="0" borderId="0" xfId="0" applyAlignment="1">
      <alignment horizontal="center"/>
    </xf>
    <xf numFmtId="0" fontId="0" fillId="16" borderId="7" xfId="0" applyNumberFormat="1" applyFill="1" applyBorder="1" applyAlignment="1">
      <alignment horizontal="right"/>
    </xf>
    <xf numFmtId="0" fontId="50" fillId="16" borderId="29" xfId="0" applyFont="1" applyFill="1" applyBorder="1"/>
    <xf numFmtId="0" fontId="40" fillId="0" borderId="0" xfId="0" applyFont="1" applyAlignment="1">
      <alignment vertical="top" wrapText="1"/>
    </xf>
    <xf numFmtId="0" fontId="0" fillId="0" borderId="0" xfId="0" applyFill="1" applyAlignment="1">
      <alignment wrapText="1"/>
    </xf>
    <xf numFmtId="0" fontId="0" fillId="0" borderId="4" xfId="0" applyBorder="1" applyAlignment="1">
      <alignment horizontal="center"/>
    </xf>
    <xf numFmtId="167" fontId="0" fillId="16" borderId="7" xfId="0" applyNumberFormat="1" applyFill="1" applyBorder="1"/>
    <xf numFmtId="164" fontId="48" fillId="14" borderId="7" xfId="0" applyNumberFormat="1" applyFont="1" applyFill="1" applyBorder="1"/>
    <xf numFmtId="0" fontId="0" fillId="0" borderId="36" xfId="0" applyBorder="1" applyAlignment="1">
      <alignment horizontal="center"/>
    </xf>
    <xf numFmtId="0" fontId="0" fillId="0" borderId="35" xfId="0" applyBorder="1" applyAlignment="1">
      <alignment horizontal="center"/>
    </xf>
    <xf numFmtId="0" fontId="39" fillId="12" borderId="4" xfId="0" applyFont="1" applyFill="1" applyBorder="1" applyAlignment="1">
      <alignment horizontal="center" vertical="center"/>
    </xf>
    <xf numFmtId="0" fontId="39" fillId="12" borderId="4" xfId="0" applyFont="1" applyFill="1" applyBorder="1" applyAlignment="1">
      <alignment horizontal="center" vertical="center" wrapText="1"/>
    </xf>
    <xf numFmtId="0" fontId="0" fillId="0" borderId="4" xfId="0" applyBorder="1" applyAlignment="1"/>
    <xf numFmtId="0" fontId="54" fillId="0" borderId="4" xfId="0" applyNumberFormat="1" applyFont="1" applyFill="1" applyBorder="1" applyAlignment="1">
      <alignment horizontal="center" vertical="center" wrapText="1" readingOrder="1"/>
    </xf>
    <xf numFmtId="0" fontId="54" fillId="0" borderId="13" xfId="0" applyNumberFormat="1" applyFont="1" applyFill="1" applyBorder="1" applyAlignment="1">
      <alignment horizontal="center" vertical="center" wrapText="1" readingOrder="1"/>
    </xf>
    <xf numFmtId="0" fontId="55" fillId="0" borderId="4" xfId="0" applyFont="1" applyBorder="1"/>
    <xf numFmtId="0" fontId="56" fillId="0" borderId="4" xfId="0" applyFont="1" applyBorder="1"/>
    <xf numFmtId="0" fontId="54" fillId="19" borderId="13" xfId="0" applyNumberFormat="1" applyFont="1" applyFill="1" applyBorder="1" applyAlignment="1">
      <alignment horizontal="center" vertical="center" wrapText="1" readingOrder="1"/>
    </xf>
    <xf numFmtId="0" fontId="54" fillId="19" borderId="4" xfId="0" applyNumberFormat="1" applyFont="1" applyFill="1" applyBorder="1" applyAlignment="1">
      <alignment horizontal="center" vertical="center" wrapText="1" readingOrder="1"/>
    </xf>
    <xf numFmtId="0" fontId="55" fillId="19" borderId="4" xfId="0" applyFont="1" applyFill="1" applyBorder="1"/>
    <xf numFmtId="0" fontId="56" fillId="19" borderId="4" xfId="0" applyFont="1" applyFill="1" applyBorder="1"/>
    <xf numFmtId="0" fontId="54" fillId="0" borderId="18" xfId="0" applyNumberFormat="1" applyFont="1" applyFill="1" applyBorder="1" applyAlignment="1">
      <alignment horizontal="center" vertical="center" wrapText="1" readingOrder="1"/>
    </xf>
    <xf numFmtId="0" fontId="54" fillId="0" borderId="7" xfId="0" applyNumberFormat="1" applyFont="1" applyFill="1" applyBorder="1" applyAlignment="1">
      <alignment horizontal="center" vertical="center" wrapText="1" readingOrder="1"/>
    </xf>
    <xf numFmtId="168" fontId="58" fillId="0" borderId="4" xfId="0" applyNumberFormat="1" applyFont="1" applyBorder="1" applyAlignment="1">
      <alignment horizontal="center" vertical="center" wrapText="1"/>
    </xf>
    <xf numFmtId="0" fontId="59" fillId="0" borderId="4" xfId="0" applyFont="1" applyBorder="1" applyAlignment="1" applyProtection="1">
      <alignment horizontal="left" vertical="center" wrapText="1"/>
      <protection locked="0"/>
    </xf>
    <xf numFmtId="43" fontId="0" fillId="0" borderId="4" xfId="3" applyFont="1" applyBorder="1" applyAlignment="1"/>
    <xf numFmtId="0" fontId="54" fillId="19" borderId="0" xfId="0" applyNumberFormat="1" applyFont="1" applyFill="1" applyBorder="1" applyAlignment="1">
      <alignment horizontal="center" vertical="center" wrapText="1" readingOrder="1"/>
    </xf>
    <xf numFmtId="0" fontId="54" fillId="19" borderId="18" xfId="0" applyNumberFormat="1" applyFont="1" applyFill="1" applyBorder="1" applyAlignment="1">
      <alignment horizontal="center" vertical="center" wrapText="1" readingOrder="1"/>
    </xf>
    <xf numFmtId="0" fontId="54" fillId="19" borderId="7" xfId="0" applyNumberFormat="1" applyFont="1" applyFill="1" applyBorder="1" applyAlignment="1">
      <alignment horizontal="center" vertical="center" wrapText="1" readingOrder="1"/>
    </xf>
    <xf numFmtId="0" fontId="59" fillId="0" borderId="4" xfId="0" applyFont="1" applyBorder="1" applyAlignment="1" applyProtection="1">
      <alignment horizontal="justify" vertical="center" wrapText="1"/>
      <protection locked="0"/>
    </xf>
    <xf numFmtId="0" fontId="0" fillId="18" borderId="0" xfId="0" applyFill="1"/>
    <xf numFmtId="0" fontId="0" fillId="18" borderId="4" xfId="0" applyFill="1" applyBorder="1" applyAlignment="1">
      <alignment horizontal="center"/>
    </xf>
    <xf numFmtId="0" fontId="63" fillId="18" borderId="4" xfId="0" applyFont="1" applyFill="1" applyBorder="1" applyAlignment="1">
      <alignment horizontal="center" vertical="center" wrapText="1"/>
    </xf>
    <xf numFmtId="0" fontId="63" fillId="20" borderId="0" xfId="0" applyFont="1" applyFill="1" applyBorder="1" applyAlignment="1">
      <alignment horizontal="center" vertical="center" wrapText="1"/>
    </xf>
    <xf numFmtId="0" fontId="65" fillId="20" borderId="4" xfId="0" applyFont="1" applyFill="1" applyBorder="1" applyAlignment="1">
      <alignment horizontal="center" vertical="center" wrapText="1"/>
    </xf>
    <xf numFmtId="0" fontId="66" fillId="0" borderId="0" xfId="0" applyFont="1" applyFill="1" applyBorder="1"/>
    <xf numFmtId="169" fontId="54" fillId="0" borderId="39" xfId="0" applyNumberFormat="1" applyFont="1" applyFill="1" applyBorder="1" applyAlignment="1">
      <alignment vertical="top" wrapText="1" readingOrder="1"/>
    </xf>
    <xf numFmtId="170" fontId="54" fillId="0" borderId="39" xfId="0" applyNumberFormat="1" applyFont="1" applyFill="1" applyBorder="1" applyAlignment="1">
      <alignment vertical="top" wrapText="1" readingOrder="1"/>
    </xf>
    <xf numFmtId="0" fontId="54" fillId="0" borderId="39" xfId="0" applyNumberFormat="1" applyFont="1" applyFill="1" applyBorder="1" applyAlignment="1">
      <alignment vertical="top" wrapText="1" readingOrder="1"/>
    </xf>
    <xf numFmtId="0" fontId="67" fillId="21" borderId="39" xfId="0" applyNumberFormat="1" applyFont="1" applyFill="1" applyBorder="1" applyAlignment="1">
      <alignment horizontal="center" vertical="top" wrapText="1" readingOrder="1"/>
    </xf>
    <xf numFmtId="164" fontId="1" fillId="2" borderId="0" xfId="1" applyNumberFormat="1" applyFill="1"/>
    <xf numFmtId="171" fontId="0" fillId="0" borderId="0" xfId="0" applyNumberFormat="1"/>
    <xf numFmtId="0" fontId="0" fillId="0" borderId="4" xfId="0" applyBorder="1" applyAlignment="1"/>
    <xf numFmtId="0" fontId="41" fillId="12" borderId="4" xfId="0" applyFont="1" applyFill="1" applyBorder="1" applyAlignment="1">
      <alignment horizontal="center"/>
    </xf>
    <xf numFmtId="0" fontId="0" fillId="0" borderId="4" xfId="0" applyBorder="1" applyAlignment="1">
      <alignment wrapText="1"/>
    </xf>
    <xf numFmtId="0" fontId="0" fillId="0" borderId="4" xfId="0" applyBorder="1" applyAlignment="1">
      <alignment horizontal="left"/>
    </xf>
    <xf numFmtId="0" fontId="0" fillId="0" borderId="4" xfId="0" applyBorder="1" applyAlignment="1">
      <alignment horizontal="center"/>
    </xf>
    <xf numFmtId="166" fontId="0" fillId="0" borderId="4" xfId="0" applyNumberFormat="1" applyBorder="1" applyAlignment="1"/>
    <xf numFmtId="0" fontId="32" fillId="0" borderId="0" xfId="0" applyFont="1" applyAlignment="1">
      <alignment horizontal="left" vertical="center"/>
    </xf>
    <xf numFmtId="0" fontId="0" fillId="0" borderId="0" xfId="0" applyAlignment="1">
      <alignment horizontal="left" vertical="top"/>
    </xf>
    <xf numFmtId="0" fontId="37" fillId="0" borderId="0" xfId="0" applyFont="1" applyAlignment="1">
      <alignment horizontal="left" vertical="center"/>
    </xf>
    <xf numFmtId="0" fontId="38" fillId="0" borderId="0" xfId="0" applyFont="1" applyAlignment="1">
      <alignment horizontal="left" vertical="center"/>
    </xf>
    <xf numFmtId="0" fontId="42" fillId="0" borderId="0" xfId="0" applyFont="1" applyAlignment="1">
      <alignment horizontal="left" vertical="top" wrapText="1"/>
    </xf>
    <xf numFmtId="0" fontId="39" fillId="12" borderId="0" xfId="0" applyFont="1" applyFill="1" applyAlignment="1">
      <alignment horizontal="center"/>
    </xf>
    <xf numFmtId="0" fontId="32" fillId="0" borderId="0" xfId="0" applyFont="1" applyAlignment="1">
      <alignment horizontal="center" vertical="center"/>
    </xf>
    <xf numFmtId="0" fontId="41" fillId="12" borderId="4" xfId="0" applyFont="1" applyFill="1" applyBorder="1" applyAlignment="1">
      <alignment horizontal="center" vertical="center"/>
    </xf>
    <xf numFmtId="0" fontId="0" fillId="0" borderId="0" xfId="0" applyAlignment="1">
      <alignment horizontal="center"/>
    </xf>
    <xf numFmtId="0" fontId="35" fillId="0" borderId="0" xfId="0" applyFont="1" applyAlignment="1">
      <alignment horizontal="left" vertical="top"/>
    </xf>
    <xf numFmtId="0" fontId="0" fillId="0" borderId="0" xfId="0" applyAlignment="1">
      <alignment horizontal="left" vertical="top" wrapText="1"/>
    </xf>
    <xf numFmtId="166" fontId="0" fillId="13" borderId="4" xfId="0" applyNumberFormat="1" applyFill="1" applyBorder="1" applyAlignment="1"/>
    <xf numFmtId="0" fontId="0" fillId="13" borderId="4" xfId="0" applyFill="1" applyBorder="1" applyAlignment="1"/>
    <xf numFmtId="0" fontId="40" fillId="0" borderId="4" xfId="0" applyFont="1" applyBorder="1" applyAlignment="1">
      <alignment horizontal="right"/>
    </xf>
    <xf numFmtId="0" fontId="40" fillId="13" borderId="4" xfId="0" applyFont="1" applyFill="1" applyBorder="1" applyAlignment="1">
      <alignment horizontal="right"/>
    </xf>
    <xf numFmtId="0" fontId="39" fillId="15" borderId="4" xfId="0" applyFont="1" applyFill="1" applyBorder="1" applyAlignment="1">
      <alignment horizontal="right"/>
    </xf>
    <xf numFmtId="0" fontId="51" fillId="0" borderId="0" xfId="0" applyFont="1" applyAlignment="1">
      <alignment horizontal="justify" vertical="top" wrapText="1"/>
    </xf>
    <xf numFmtId="0" fontId="41" fillId="12" borderId="4" xfId="0" applyFont="1" applyFill="1" applyBorder="1" applyAlignment="1">
      <alignment horizontal="center" wrapText="1"/>
    </xf>
    <xf numFmtId="0" fontId="44" fillId="0" borderId="0" xfId="0" applyFont="1" applyAlignment="1">
      <alignment horizontal="left" vertical="top" wrapText="1"/>
    </xf>
    <xf numFmtId="0" fontId="45" fillId="0" borderId="0" xfId="0" applyFont="1" applyAlignment="1">
      <alignment horizontal="left" vertical="center" wrapText="1"/>
    </xf>
    <xf numFmtId="166" fontId="40" fillId="0" borderId="4" xfId="0" applyNumberFormat="1" applyFont="1" applyBorder="1" applyAlignment="1"/>
    <xf numFmtId="0" fontId="41" fillId="12" borderId="16" xfId="0" applyFont="1" applyFill="1" applyBorder="1" applyAlignment="1">
      <alignment horizontal="right"/>
    </xf>
    <xf numFmtId="0" fontId="41" fillId="12" borderId="4" xfId="0" applyFont="1" applyFill="1" applyBorder="1" applyAlignment="1">
      <alignment horizontal="right"/>
    </xf>
    <xf numFmtId="0" fontId="41" fillId="12" borderId="23" xfId="0" applyFont="1" applyFill="1" applyBorder="1" applyAlignment="1">
      <alignment horizontal="right"/>
    </xf>
    <xf numFmtId="0" fontId="41" fillId="12" borderId="26" xfId="0" applyFont="1" applyFill="1" applyBorder="1" applyAlignment="1">
      <alignment horizontal="right"/>
    </xf>
    <xf numFmtId="0" fontId="41" fillId="12" borderId="21" xfId="0" applyFont="1" applyFill="1" applyBorder="1" applyAlignment="1">
      <alignment horizontal="center"/>
    </xf>
    <xf numFmtId="0" fontId="41" fillId="12" borderId="22" xfId="0" applyFont="1" applyFill="1" applyBorder="1" applyAlignment="1">
      <alignment horizontal="center"/>
    </xf>
    <xf numFmtId="0" fontId="41" fillId="12" borderId="25" xfId="0" applyFont="1" applyFill="1" applyBorder="1" applyAlignment="1">
      <alignment horizontal="center"/>
    </xf>
    <xf numFmtId="0" fontId="41" fillId="12" borderId="21" xfId="0" applyFont="1" applyFill="1" applyBorder="1" applyAlignment="1">
      <alignment horizontal="right"/>
    </xf>
    <xf numFmtId="0" fontId="41" fillId="12" borderId="25" xfId="0" applyFont="1" applyFill="1" applyBorder="1" applyAlignment="1">
      <alignment horizontal="right"/>
    </xf>
    <xf numFmtId="0" fontId="39" fillId="12" borderId="36" xfId="0" applyFont="1" applyFill="1" applyBorder="1" applyAlignment="1">
      <alignment horizontal="center"/>
    </xf>
    <xf numFmtId="0" fontId="39" fillId="12" borderId="4" xfId="0" applyFont="1" applyFill="1" applyBorder="1" applyAlignment="1">
      <alignment horizontal="right"/>
    </xf>
    <xf numFmtId="0" fontId="39" fillId="12" borderId="4" xfId="0" applyFont="1" applyFill="1" applyBorder="1" applyAlignment="1">
      <alignment horizontal="center" vertical="center"/>
    </xf>
    <xf numFmtId="0" fontId="54" fillId="0" borderId="39" xfId="0" applyNumberFormat="1" applyFont="1" applyFill="1" applyBorder="1" applyAlignment="1">
      <alignment vertical="top" wrapText="1" readingOrder="1"/>
    </xf>
    <xf numFmtId="0" fontId="66" fillId="0" borderId="41" xfId="0" applyNumberFormat="1" applyFont="1" applyFill="1" applyBorder="1" applyAlignment="1">
      <alignment vertical="top" wrapText="1"/>
    </xf>
    <xf numFmtId="0" fontId="66" fillId="0" borderId="40" xfId="0" applyNumberFormat="1" applyFont="1" applyFill="1" applyBorder="1" applyAlignment="1">
      <alignment vertical="top" wrapText="1"/>
    </xf>
    <xf numFmtId="0" fontId="41" fillId="17" borderId="1" xfId="0" applyFont="1" applyFill="1" applyBorder="1" applyAlignment="1">
      <alignment horizontal="center"/>
    </xf>
    <xf numFmtId="0" fontId="41" fillId="17" borderId="2" xfId="0" applyFont="1" applyFill="1" applyBorder="1" applyAlignment="1">
      <alignment horizontal="center"/>
    </xf>
    <xf numFmtId="0" fontId="41" fillId="17" borderId="3" xfId="0" applyFont="1" applyFill="1" applyBorder="1" applyAlignment="1">
      <alignment horizontal="center"/>
    </xf>
    <xf numFmtId="0" fontId="63" fillId="17" borderId="38" xfId="0" applyFont="1" applyFill="1" applyBorder="1" applyAlignment="1">
      <alignment horizontal="center" vertical="center" wrapText="1"/>
    </xf>
    <xf numFmtId="0" fontId="63" fillId="17" borderId="10" xfId="0" applyFont="1" applyFill="1" applyBorder="1" applyAlignment="1">
      <alignment horizontal="center" vertical="center" wrapText="1"/>
    </xf>
    <xf numFmtId="0" fontId="57" fillId="18" borderId="37" xfId="0" applyFont="1" applyFill="1" applyBorder="1" applyAlignment="1">
      <alignment horizontal="center" vertical="center" wrapText="1"/>
    </xf>
    <xf numFmtId="0" fontId="57" fillId="18" borderId="20" xfId="0" applyFont="1" applyFill="1" applyBorder="1" applyAlignment="1">
      <alignment horizontal="center" vertical="center" wrapText="1"/>
    </xf>
    <xf numFmtId="0" fontId="57" fillId="18" borderId="1" xfId="0" applyFont="1" applyFill="1" applyBorder="1" applyAlignment="1">
      <alignment horizontal="center" vertical="center" wrapText="1"/>
    </xf>
    <xf numFmtId="0" fontId="61" fillId="19" borderId="37" xfId="0" applyFont="1" applyFill="1" applyBorder="1" applyAlignment="1">
      <alignment horizontal="center" vertical="center" wrapText="1"/>
    </xf>
    <xf numFmtId="0" fontId="61" fillId="19" borderId="20" xfId="0" applyFont="1" applyFill="1" applyBorder="1" applyAlignment="1">
      <alignment horizontal="center" vertical="center" wrapText="1"/>
    </xf>
    <xf numFmtId="0" fontId="61" fillId="19" borderId="1" xfId="0" applyFont="1" applyFill="1" applyBorder="1" applyAlignment="1">
      <alignment horizontal="center" vertical="center" wrapText="1"/>
    </xf>
    <xf numFmtId="0" fontId="61" fillId="19" borderId="9" xfId="0" applyFont="1" applyFill="1" applyBorder="1" applyAlignment="1">
      <alignment horizontal="center" vertical="center" wrapText="1"/>
    </xf>
  </cellXfs>
  <cellStyles count="4">
    <cellStyle name="Millares" xfId="3" builtinId="3"/>
    <cellStyle name="Millares [0] 2" xfId="2"/>
    <cellStyle name="Normal" xfId="0" builtinId="0"/>
    <cellStyle name="Normal 2" xfId="1"/>
  </cellStyles>
  <dxfs count="0"/>
  <tableStyles count="0" defaultTableStyle="TableStyleMedium2" defaultPivotStyle="PivotStyleLight16"/>
  <colors>
    <mruColors>
      <color rgb="FF3333FF"/>
      <color rgb="FF003399"/>
      <color rgb="FF33CC33"/>
      <color rgb="FF009900"/>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hyperlink" Target="#'DETALLES ARQUITECTONICOS'!A349:O409"/><Relationship Id="rId13" Type="http://schemas.openxmlformats.org/officeDocument/2006/relationships/image" Target="../media/image15.jpe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9.png"/><Relationship Id="rId21" Type="http://schemas.openxmlformats.org/officeDocument/2006/relationships/image" Target="../media/image22.png"/><Relationship Id="rId7" Type="http://schemas.openxmlformats.org/officeDocument/2006/relationships/image" Target="../media/image11.png"/><Relationship Id="rId12" Type="http://schemas.openxmlformats.org/officeDocument/2006/relationships/image" Target="../media/image14.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hyperlink" Target="#'DETALLES ARQUITECTONICOS'!A74:O140"/><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8.png"/><Relationship Id="rId6" Type="http://schemas.openxmlformats.org/officeDocument/2006/relationships/hyperlink" Target="#'DETALLES ARQUITECTONICOS'!A215:O280"/><Relationship Id="rId11" Type="http://schemas.openxmlformats.org/officeDocument/2006/relationships/image" Target="../media/image13.png"/><Relationship Id="rId24" Type="http://schemas.openxmlformats.org/officeDocument/2006/relationships/image" Target="../media/image25.png"/><Relationship Id="rId5" Type="http://schemas.openxmlformats.org/officeDocument/2006/relationships/image" Target="../media/image10.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10" Type="http://schemas.openxmlformats.org/officeDocument/2006/relationships/hyperlink" Target="#'DETALLES ARQUITECTONICOS'!A285:O350"/><Relationship Id="rId19" Type="http://schemas.openxmlformats.org/officeDocument/2006/relationships/image" Target="../media/image20.png"/><Relationship Id="rId4" Type="http://schemas.openxmlformats.org/officeDocument/2006/relationships/hyperlink" Target="#'DETALLES ARQUITECTONICOS'!A140:O200"/><Relationship Id="rId9" Type="http://schemas.openxmlformats.org/officeDocument/2006/relationships/image" Target="../media/image12.png"/><Relationship Id="rId14" Type="http://schemas.openxmlformats.org/officeDocument/2006/relationships/hyperlink" Target="#'DETALLES ARQUITECTONICOS'!A1:O40"/><Relationship Id="rId22" Type="http://schemas.openxmlformats.org/officeDocument/2006/relationships/image" Target="../media/image23.png"/><Relationship Id="rId27" Type="http://schemas.openxmlformats.org/officeDocument/2006/relationships/image" Target="../media/image28.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73</xdr:row>
      <xdr:rowOff>220979</xdr:rowOff>
    </xdr:from>
    <xdr:to>
      <xdr:col>3</xdr:col>
      <xdr:colOff>410229</xdr:colOff>
      <xdr:row>89</xdr:row>
      <xdr:rowOff>55230</xdr:rowOff>
    </xdr:to>
    <xdr:pic>
      <xdr:nvPicPr>
        <xdr:cNvPr id="3" name="Imagen 2"/>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7576"/>
        <a:stretch/>
      </xdr:blipFill>
      <xdr:spPr bwMode="auto">
        <a:xfrm>
          <a:off x="0" y="13563599"/>
          <a:ext cx="2901969" cy="2806051"/>
        </a:xfrm>
        <a:prstGeom prst="rect">
          <a:avLst/>
        </a:prstGeom>
        <a:noFill/>
        <a:ln>
          <a:noFill/>
        </a:ln>
        <a:extLst>
          <a:ext uri="{53640926-AAD7-44D8-BBD7-CCE9431645EC}">
            <a14:shadowObscured xmlns:a14="http://schemas.microsoft.com/office/drawing/2010/main"/>
          </a:ext>
        </a:extLst>
      </xdr:spPr>
    </xdr:pic>
    <xdr:clientData fLocksWithSheet="0"/>
  </xdr:twoCellAnchor>
  <xdr:twoCellAnchor editAs="oneCell">
    <xdr:from>
      <xdr:col>3</xdr:col>
      <xdr:colOff>766803</xdr:colOff>
      <xdr:row>73</xdr:row>
      <xdr:rowOff>205739</xdr:rowOff>
    </xdr:from>
    <xdr:to>
      <xdr:col>7</xdr:col>
      <xdr:colOff>528266</xdr:colOff>
      <xdr:row>89</xdr:row>
      <xdr:rowOff>57864</xdr:rowOff>
    </xdr:to>
    <xdr:pic>
      <xdr:nvPicPr>
        <xdr:cNvPr id="4" name="Imagen 3"/>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7576"/>
        <a:stretch/>
      </xdr:blipFill>
      <xdr:spPr bwMode="auto">
        <a:xfrm>
          <a:off x="3258543" y="13548359"/>
          <a:ext cx="2908523" cy="2823925"/>
        </a:xfrm>
        <a:prstGeom prst="rect">
          <a:avLst/>
        </a:prstGeom>
        <a:noFill/>
        <a:ln>
          <a:noFill/>
        </a:ln>
        <a:extLst>
          <a:ext uri="{53640926-AAD7-44D8-BBD7-CCE9431645EC}">
            <a14:shadowObscured xmlns:a14="http://schemas.microsoft.com/office/drawing/2010/main"/>
          </a:ext>
        </a:extLst>
      </xdr:spPr>
    </xdr:pic>
    <xdr:clientData fLocksWithSheet="0"/>
  </xdr:twoCellAnchor>
  <xdr:twoCellAnchor editAs="oneCell">
    <xdr:from>
      <xdr:col>0</xdr:col>
      <xdr:colOff>632460</xdr:colOff>
      <xdr:row>185</xdr:row>
      <xdr:rowOff>152400</xdr:rowOff>
    </xdr:from>
    <xdr:to>
      <xdr:col>7</xdr:col>
      <xdr:colOff>160020</xdr:colOff>
      <xdr:row>194</xdr:row>
      <xdr:rowOff>76200</xdr:rowOff>
    </xdr:to>
    <xdr:pic>
      <xdr:nvPicPr>
        <xdr:cNvPr id="2" name="Imagen 1"/>
        <xdr:cNvPicPr>
          <a:picLocks noChangeAspect="1"/>
        </xdr:cNvPicPr>
      </xdr:nvPicPr>
      <xdr:blipFill rotWithShape="1">
        <a:blip xmlns:r="http://schemas.openxmlformats.org/officeDocument/2006/relationships" r:embed="rId3"/>
        <a:srcRect l="10586" t="29823" r="11861" b="28286"/>
        <a:stretch/>
      </xdr:blipFill>
      <xdr:spPr>
        <a:xfrm>
          <a:off x="632460" y="34061400"/>
          <a:ext cx="5166360" cy="15697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68580</xdr:colOff>
      <xdr:row>63</xdr:row>
      <xdr:rowOff>176164</xdr:rowOff>
    </xdr:from>
    <xdr:to>
      <xdr:col>18</xdr:col>
      <xdr:colOff>38100</xdr:colOff>
      <xdr:row>79</xdr:row>
      <xdr:rowOff>99059</xdr:rowOff>
    </xdr:to>
    <xdr:pic>
      <xdr:nvPicPr>
        <xdr:cNvPr id="2" name="Imagen 1"/>
        <xdr:cNvPicPr>
          <a:picLocks noChangeAspect="1"/>
        </xdr:cNvPicPr>
      </xdr:nvPicPr>
      <xdr:blipFill rotWithShape="1">
        <a:blip xmlns:r="http://schemas.openxmlformats.org/officeDocument/2006/relationships" r:embed="rId1"/>
        <a:srcRect l="6751" t="51191" r="31158" b="14952"/>
        <a:stretch/>
      </xdr:blipFill>
      <xdr:spPr>
        <a:xfrm>
          <a:off x="68580" y="8306704"/>
          <a:ext cx="9288780" cy="2848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106680</xdr:colOff>
      <xdr:row>292</xdr:row>
      <xdr:rowOff>76200</xdr:rowOff>
    </xdr:from>
    <xdr:to>
      <xdr:col>3</xdr:col>
      <xdr:colOff>815340</xdr:colOff>
      <xdr:row>308</xdr:row>
      <xdr:rowOff>76200</xdr:rowOff>
    </xdr:to>
    <xdr:pic>
      <xdr:nvPicPr>
        <xdr:cNvPr id="2" name="Picture 62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49438560"/>
          <a:ext cx="1661160" cy="2697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312420</xdr:colOff>
      <xdr:row>14</xdr:row>
      <xdr:rowOff>7620</xdr:rowOff>
    </xdr:from>
    <xdr:to>
      <xdr:col>4</xdr:col>
      <xdr:colOff>701040</xdr:colOff>
      <xdr:row>16</xdr:row>
      <xdr:rowOff>60960</xdr:rowOff>
    </xdr:to>
    <xdr:pic>
      <xdr:nvPicPr>
        <xdr:cNvPr id="3" name="Picture 10">
          <a:hlinkClick xmlns:r="http://schemas.openxmlformats.org/officeDocument/2006/relationships" r:id="rId2"/>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82040" y="2362200"/>
          <a:ext cx="2026920" cy="388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99060</xdr:colOff>
      <xdr:row>14</xdr:row>
      <xdr:rowOff>22860</xdr:rowOff>
    </xdr:from>
    <xdr:to>
      <xdr:col>7</xdr:col>
      <xdr:colOff>510540</xdr:colOff>
      <xdr:row>16</xdr:row>
      <xdr:rowOff>60960</xdr:rowOff>
    </xdr:to>
    <xdr:pic>
      <xdr:nvPicPr>
        <xdr:cNvPr id="4" name="Picture 11">
          <a:hlinkClick xmlns:r="http://schemas.openxmlformats.org/officeDocument/2006/relationships" r:id="rId4"/>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9460" y="2377440"/>
          <a:ext cx="1996440" cy="373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7620</xdr:colOff>
      <xdr:row>14</xdr:row>
      <xdr:rowOff>22860</xdr:rowOff>
    </xdr:from>
    <xdr:to>
      <xdr:col>10</xdr:col>
      <xdr:colOff>350520</xdr:colOff>
      <xdr:row>16</xdr:row>
      <xdr:rowOff>60960</xdr:rowOff>
    </xdr:to>
    <xdr:pic>
      <xdr:nvPicPr>
        <xdr:cNvPr id="5" name="Picture 12">
          <a:hlinkClick xmlns:r="http://schemas.openxmlformats.org/officeDocument/2006/relationships" r:id="rId6"/>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585460" y="2377440"/>
          <a:ext cx="1927860" cy="373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137160</xdr:colOff>
      <xdr:row>17</xdr:row>
      <xdr:rowOff>99060</xdr:rowOff>
    </xdr:from>
    <xdr:to>
      <xdr:col>7</xdr:col>
      <xdr:colOff>510540</xdr:colOff>
      <xdr:row>19</xdr:row>
      <xdr:rowOff>129540</xdr:rowOff>
    </xdr:to>
    <xdr:pic>
      <xdr:nvPicPr>
        <xdr:cNvPr id="6" name="Picture 13">
          <a:hlinkClick xmlns:r="http://schemas.openxmlformats.org/officeDocument/2006/relationships" r:id="rId8"/>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337560" y="2956560"/>
          <a:ext cx="1958340" cy="365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320040</xdr:colOff>
      <xdr:row>17</xdr:row>
      <xdr:rowOff>121920</xdr:rowOff>
    </xdr:from>
    <xdr:to>
      <xdr:col>4</xdr:col>
      <xdr:colOff>662940</xdr:colOff>
      <xdr:row>19</xdr:row>
      <xdr:rowOff>129540</xdr:rowOff>
    </xdr:to>
    <xdr:pic>
      <xdr:nvPicPr>
        <xdr:cNvPr id="7" name="Picture 14">
          <a:hlinkClick xmlns:r="http://schemas.openxmlformats.org/officeDocument/2006/relationships" r:id="rId10"/>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089660" y="2979420"/>
          <a:ext cx="19812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7620</xdr:colOff>
      <xdr:row>17</xdr:row>
      <xdr:rowOff>91440</xdr:rowOff>
    </xdr:from>
    <xdr:to>
      <xdr:col>10</xdr:col>
      <xdr:colOff>388620</xdr:colOff>
      <xdr:row>19</xdr:row>
      <xdr:rowOff>91440</xdr:rowOff>
    </xdr:to>
    <xdr:pic>
      <xdr:nvPicPr>
        <xdr:cNvPr id="8" name="Picture 15">
          <a:hlinkClick xmlns:r="http://schemas.openxmlformats.org/officeDocument/2006/relationships" r:id="rId8"/>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85460" y="2948940"/>
          <a:ext cx="1965960" cy="335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388620</xdr:colOff>
      <xdr:row>4</xdr:row>
      <xdr:rowOff>38100</xdr:rowOff>
    </xdr:from>
    <xdr:to>
      <xdr:col>5</xdr:col>
      <xdr:colOff>68580</xdr:colOff>
      <xdr:row>10</xdr:row>
      <xdr:rowOff>76200</xdr:rowOff>
    </xdr:to>
    <xdr:pic>
      <xdr:nvPicPr>
        <xdr:cNvPr id="9" name="Picture 18" descr="logo_actual"/>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158240" y="716280"/>
          <a:ext cx="2110740" cy="1043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22860</xdr:colOff>
      <xdr:row>75</xdr:row>
      <xdr:rowOff>30480</xdr:rowOff>
    </xdr:from>
    <xdr:to>
      <xdr:col>0</xdr:col>
      <xdr:colOff>518160</xdr:colOff>
      <xdr:row>99</xdr:row>
      <xdr:rowOff>45720</xdr:rowOff>
    </xdr:to>
    <xdr:pic>
      <xdr:nvPicPr>
        <xdr:cNvPr id="10" name="Picture 606">
          <a:hlinkClick xmlns:r="http://schemas.openxmlformats.org/officeDocument/2006/relationships" r:id="rId14"/>
        </xdr:cNvPr>
        <xdr:cNvPicPr>
          <a:picLocks noChangeAspect="1" noChangeArrowheads="1"/>
        </xdr:cNvPicPr>
      </xdr:nvPicPr>
      <xdr:blipFill>
        <a:blip xmlns:r="http://schemas.openxmlformats.org/officeDocument/2006/relationships" r:embed="rId1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860" y="12710160"/>
          <a:ext cx="495300" cy="4183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563880</xdr:colOff>
      <xdr:row>351</xdr:row>
      <xdr:rowOff>60960</xdr:rowOff>
    </xdr:from>
    <xdr:to>
      <xdr:col>4</xdr:col>
      <xdr:colOff>457200</xdr:colOff>
      <xdr:row>356</xdr:row>
      <xdr:rowOff>7620</xdr:rowOff>
    </xdr:to>
    <xdr:pic>
      <xdr:nvPicPr>
        <xdr:cNvPr id="11" name="Picture 626"/>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333500" y="59466480"/>
          <a:ext cx="1531620"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426720</xdr:colOff>
      <xdr:row>350</xdr:row>
      <xdr:rowOff>160020</xdr:rowOff>
    </xdr:from>
    <xdr:to>
      <xdr:col>6</xdr:col>
      <xdr:colOff>312420</xdr:colOff>
      <xdr:row>355</xdr:row>
      <xdr:rowOff>198120</xdr:rowOff>
    </xdr:to>
    <xdr:pic>
      <xdr:nvPicPr>
        <xdr:cNvPr id="12" name="Picture 628"/>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834640" y="59397900"/>
          <a:ext cx="1470660"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304800</xdr:colOff>
      <xdr:row>350</xdr:row>
      <xdr:rowOff>22860</xdr:rowOff>
    </xdr:from>
    <xdr:to>
      <xdr:col>8</xdr:col>
      <xdr:colOff>342900</xdr:colOff>
      <xdr:row>355</xdr:row>
      <xdr:rowOff>236220</xdr:rowOff>
    </xdr:to>
    <xdr:pic>
      <xdr:nvPicPr>
        <xdr:cNvPr id="13" name="Picture 630"/>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297680" y="59260740"/>
          <a:ext cx="1623060" cy="1051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7620</xdr:colOff>
      <xdr:row>154</xdr:row>
      <xdr:rowOff>99060</xdr:rowOff>
    </xdr:from>
    <xdr:to>
      <xdr:col>4</xdr:col>
      <xdr:colOff>548640</xdr:colOff>
      <xdr:row>169</xdr:row>
      <xdr:rowOff>106680</xdr:rowOff>
    </xdr:to>
    <xdr:pic>
      <xdr:nvPicPr>
        <xdr:cNvPr id="14" name="Picture 642"/>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777240" y="26281380"/>
          <a:ext cx="2179320" cy="2522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7620</xdr:colOff>
      <xdr:row>155</xdr:row>
      <xdr:rowOff>0</xdr:rowOff>
    </xdr:from>
    <xdr:to>
      <xdr:col>10</xdr:col>
      <xdr:colOff>381000</xdr:colOff>
      <xdr:row>170</xdr:row>
      <xdr:rowOff>0</xdr:rowOff>
    </xdr:to>
    <xdr:pic>
      <xdr:nvPicPr>
        <xdr:cNvPr id="15" name="Picture 647"/>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5585460" y="26349960"/>
          <a:ext cx="1958340" cy="2514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731520</xdr:colOff>
      <xdr:row>154</xdr:row>
      <xdr:rowOff>99060</xdr:rowOff>
    </xdr:from>
    <xdr:to>
      <xdr:col>7</xdr:col>
      <xdr:colOff>449580</xdr:colOff>
      <xdr:row>169</xdr:row>
      <xdr:rowOff>60960</xdr:rowOff>
    </xdr:to>
    <xdr:pic>
      <xdr:nvPicPr>
        <xdr:cNvPr id="16" name="Picture 644"/>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139440" y="26281380"/>
          <a:ext cx="2095500" cy="2476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632460</xdr:colOff>
      <xdr:row>154</xdr:row>
      <xdr:rowOff>121920</xdr:rowOff>
    </xdr:from>
    <xdr:to>
      <xdr:col>13</xdr:col>
      <xdr:colOff>304800</xdr:colOff>
      <xdr:row>169</xdr:row>
      <xdr:rowOff>144780</xdr:rowOff>
    </xdr:to>
    <xdr:pic>
      <xdr:nvPicPr>
        <xdr:cNvPr id="17" name="Picture 649"/>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795260" y="26304240"/>
          <a:ext cx="2019300" cy="2537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30480</xdr:colOff>
      <xdr:row>144</xdr:row>
      <xdr:rowOff>0</xdr:rowOff>
    </xdr:from>
    <xdr:to>
      <xdr:col>0</xdr:col>
      <xdr:colOff>510540</xdr:colOff>
      <xdr:row>168</xdr:row>
      <xdr:rowOff>68580</xdr:rowOff>
    </xdr:to>
    <xdr:pic>
      <xdr:nvPicPr>
        <xdr:cNvPr id="18" name="Picture 660">
          <a:hlinkClick xmlns:r="http://schemas.openxmlformats.org/officeDocument/2006/relationships" r:id="rId14"/>
        </xdr:cNvPr>
        <xdr:cNvPicPr>
          <a:picLocks noChangeAspect="1" noChangeArrowheads="1"/>
        </xdr:cNvPicPr>
      </xdr:nvPicPr>
      <xdr:blipFill>
        <a:blip xmlns:r="http://schemas.openxmlformats.org/officeDocument/2006/relationships" r:embed="rId2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0480" y="24444960"/>
          <a:ext cx="480060" cy="415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216</xdr:row>
      <xdr:rowOff>7620</xdr:rowOff>
    </xdr:from>
    <xdr:to>
      <xdr:col>0</xdr:col>
      <xdr:colOff>472440</xdr:colOff>
      <xdr:row>241</xdr:row>
      <xdr:rowOff>7620</xdr:rowOff>
    </xdr:to>
    <xdr:pic>
      <xdr:nvPicPr>
        <xdr:cNvPr id="19" name="Picture 661">
          <a:hlinkClick xmlns:r="http://schemas.openxmlformats.org/officeDocument/2006/relationships" r:id="rId14"/>
        </xdr:cNvPr>
        <xdr:cNvPicPr>
          <a:picLocks noChangeAspect="1" noChangeArrowheads="1"/>
        </xdr:cNvPicPr>
      </xdr:nvPicPr>
      <xdr:blipFill>
        <a:blip xmlns:r="http://schemas.openxmlformats.org/officeDocument/2006/relationships" r:embed="rId2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36598860"/>
          <a:ext cx="472440" cy="4206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289</xdr:row>
      <xdr:rowOff>106680</xdr:rowOff>
    </xdr:from>
    <xdr:to>
      <xdr:col>0</xdr:col>
      <xdr:colOff>472440</xdr:colOff>
      <xdr:row>314</xdr:row>
      <xdr:rowOff>129540</xdr:rowOff>
    </xdr:to>
    <xdr:pic>
      <xdr:nvPicPr>
        <xdr:cNvPr id="20" name="Picture 662">
          <a:hlinkClick xmlns:r="http://schemas.openxmlformats.org/officeDocument/2006/relationships" r:id="rId14"/>
        </xdr:cNvPr>
        <xdr:cNvPicPr>
          <a:picLocks noChangeAspect="1" noChangeArrowheads="1"/>
        </xdr:cNvPicPr>
      </xdr:nvPicPr>
      <xdr:blipFill>
        <a:blip xmlns:r="http://schemas.openxmlformats.org/officeDocument/2006/relationships" r:embed="rId2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48966120"/>
          <a:ext cx="472440" cy="422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350</xdr:row>
      <xdr:rowOff>0</xdr:rowOff>
    </xdr:from>
    <xdr:to>
      <xdr:col>0</xdr:col>
      <xdr:colOff>502920</xdr:colOff>
      <xdr:row>374</xdr:row>
      <xdr:rowOff>68580</xdr:rowOff>
    </xdr:to>
    <xdr:pic>
      <xdr:nvPicPr>
        <xdr:cNvPr id="21" name="Picture 663">
          <a:hlinkClick xmlns:r="http://schemas.openxmlformats.org/officeDocument/2006/relationships" r:id="rId14"/>
        </xdr:cNvPr>
        <xdr:cNvPicPr>
          <a:picLocks noChangeAspect="1" noChangeArrowheads="1"/>
        </xdr:cNvPicPr>
      </xdr:nvPicPr>
      <xdr:blipFill>
        <a:blip xmlns:r="http://schemas.openxmlformats.org/officeDocument/2006/relationships" r:embed="rId2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860" y="59237880"/>
          <a:ext cx="480060" cy="422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45720</xdr:colOff>
      <xdr:row>233</xdr:row>
      <xdr:rowOff>30480</xdr:rowOff>
    </xdr:from>
    <xdr:to>
      <xdr:col>7</xdr:col>
      <xdr:colOff>266700</xdr:colOff>
      <xdr:row>244</xdr:row>
      <xdr:rowOff>144780</xdr:rowOff>
    </xdr:to>
    <xdr:pic>
      <xdr:nvPicPr>
        <xdr:cNvPr id="22" name="Picture 677"/>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b="17084"/>
        <a:stretch>
          <a:fillRect/>
        </a:stretch>
      </xdr:blipFill>
      <xdr:spPr bwMode="auto">
        <a:xfrm>
          <a:off x="2453640" y="39486840"/>
          <a:ext cx="2598420" cy="1958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693420</xdr:colOff>
      <xdr:row>10</xdr:row>
      <xdr:rowOff>7620</xdr:rowOff>
    </xdr:from>
    <xdr:to>
      <xdr:col>10</xdr:col>
      <xdr:colOff>342900</xdr:colOff>
      <xdr:row>12</xdr:row>
      <xdr:rowOff>45720</xdr:rowOff>
    </xdr:to>
    <xdr:pic>
      <xdr:nvPicPr>
        <xdr:cNvPr id="23" name="Picture 697"/>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5478780" y="1691640"/>
          <a:ext cx="2026920" cy="373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114300</xdr:colOff>
      <xdr:row>10</xdr:row>
      <xdr:rowOff>30480</xdr:rowOff>
    </xdr:from>
    <xdr:to>
      <xdr:col>7</xdr:col>
      <xdr:colOff>518160</xdr:colOff>
      <xdr:row>12</xdr:row>
      <xdr:rowOff>22860</xdr:rowOff>
    </xdr:to>
    <xdr:pic>
      <xdr:nvPicPr>
        <xdr:cNvPr id="24" name="Picture 699"/>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3314700" y="1714500"/>
          <a:ext cx="1988820" cy="327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205740</xdr:colOff>
      <xdr:row>4</xdr:row>
      <xdr:rowOff>68580</xdr:rowOff>
    </xdr:from>
    <xdr:to>
      <xdr:col>10</xdr:col>
      <xdr:colOff>335280</xdr:colOff>
      <xdr:row>8</xdr:row>
      <xdr:rowOff>22860</xdr:rowOff>
    </xdr:to>
    <xdr:pic>
      <xdr:nvPicPr>
        <xdr:cNvPr id="25" name="Picture 703"/>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406140" y="746760"/>
          <a:ext cx="4091940" cy="624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137160</xdr:colOff>
      <xdr:row>93</xdr:row>
      <xdr:rowOff>137160</xdr:rowOff>
    </xdr:from>
    <xdr:to>
      <xdr:col>11</xdr:col>
      <xdr:colOff>457200</xdr:colOff>
      <xdr:row>111</xdr:row>
      <xdr:rowOff>60960</xdr:rowOff>
    </xdr:to>
    <xdr:pic>
      <xdr:nvPicPr>
        <xdr:cNvPr id="26" name="Picture 705"/>
        <xdr:cNvPicPr>
          <a:picLocks noChangeAspect="1" noChangeArrowheads="1"/>
        </xdr:cNvPicPr>
      </xdr:nvPicPr>
      <xdr:blipFill>
        <a:blip xmlns:r="http://schemas.openxmlformats.org/officeDocument/2006/relationships" r:embed="rId28">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78180" y="15979140"/>
          <a:ext cx="7703820" cy="2979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8.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6"/>
  <sheetViews>
    <sheetView topLeftCell="A16" workbookViewId="0">
      <selection activeCell="B7" sqref="B7"/>
    </sheetView>
  </sheetViews>
  <sheetFormatPr baseColWidth="10" defaultRowHeight="14.4" x14ac:dyDescent="0.3"/>
  <cols>
    <col min="1" max="1" width="114.44140625" customWidth="1"/>
  </cols>
  <sheetData>
    <row r="2" spans="1:1" ht="18" x14ac:dyDescent="0.35">
      <c r="A2" s="186" t="s">
        <v>302</v>
      </c>
    </row>
    <row r="4" spans="1:1" ht="57.6" x14ac:dyDescent="0.3">
      <c r="A4" s="247" t="s">
        <v>303</v>
      </c>
    </row>
    <row r="6" spans="1:1" ht="28.8" x14ac:dyDescent="0.3">
      <c r="A6" s="236" t="s">
        <v>304</v>
      </c>
    </row>
    <row r="8" spans="1:1" ht="28.8" x14ac:dyDescent="0.3">
      <c r="A8" s="236" t="s">
        <v>305</v>
      </c>
    </row>
    <row r="10" spans="1:1" x14ac:dyDescent="0.3">
      <c r="A10" s="236" t="s">
        <v>306</v>
      </c>
    </row>
    <row r="12" spans="1:1" x14ac:dyDescent="0.3">
      <c r="A12" t="s">
        <v>307</v>
      </c>
    </row>
    <row r="14" spans="1:1" x14ac:dyDescent="0.3">
      <c r="A14" s="236" t="s">
        <v>308</v>
      </c>
    </row>
    <row r="16" spans="1:1" x14ac:dyDescent="0.3">
      <c r="A16" s="236" t="s">
        <v>309</v>
      </c>
    </row>
    <row r="18" spans="1:1" x14ac:dyDescent="0.3">
      <c r="A18" t="s">
        <v>310</v>
      </c>
    </row>
    <row r="20" spans="1:1" ht="28.8" x14ac:dyDescent="0.3">
      <c r="A20" s="248" t="s">
        <v>320</v>
      </c>
    </row>
    <row r="22" spans="1:1" ht="28.8" x14ac:dyDescent="0.3">
      <c r="A22" s="236" t="s">
        <v>321</v>
      </c>
    </row>
    <row r="24" spans="1:1" ht="28.8" x14ac:dyDescent="0.3">
      <c r="A24" s="236" t="s">
        <v>322</v>
      </c>
    </row>
    <row r="26" spans="1:1" ht="28.8" x14ac:dyDescent="0.3">
      <c r="A26" s="236" t="s">
        <v>323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B3:R13"/>
  <sheetViews>
    <sheetView showGridLines="0" zoomScale="90" zoomScaleNormal="90" workbookViewId="0">
      <selection activeCell="S7" sqref="S6:S7"/>
    </sheetView>
  </sheetViews>
  <sheetFormatPr baseColWidth="10" defaultRowHeight="14.4" outlineLevelCol="1" x14ac:dyDescent="0.3"/>
  <cols>
    <col min="2" max="2" width="33.5546875" customWidth="1"/>
    <col min="3" max="3" width="13.5546875" bestFit="1" customWidth="1"/>
    <col min="4" max="5" width="13.6640625" customWidth="1"/>
    <col min="6" max="6" width="9" hidden="1" customWidth="1" outlineLevel="1"/>
    <col min="7" max="7" width="16.44140625" hidden="1" customWidth="1" outlineLevel="1"/>
    <col min="8" max="8" width="13.6640625" hidden="1" customWidth="1" outlineLevel="1"/>
    <col min="9" max="10" width="14.109375" hidden="1" customWidth="1" outlineLevel="1"/>
    <col min="11" max="13" width="11.5546875" hidden="1" customWidth="1" outlineLevel="1"/>
    <col min="14" max="14" width="13" hidden="1" customWidth="1" outlineLevel="1"/>
    <col min="15" max="15" width="11.5546875" hidden="1" customWidth="1" outlineLevel="1"/>
    <col min="16" max="16" width="9.109375" hidden="1" customWidth="1" outlineLevel="1"/>
    <col min="17" max="17" width="11.5546875" hidden="1" customWidth="1" outlineLevel="1"/>
    <col min="18" max="18" width="11.5546875" collapsed="1"/>
  </cols>
  <sheetData>
    <row r="3" spans="2:17" ht="26.25" customHeight="1" x14ac:dyDescent="0.3">
      <c r="B3" s="278" t="s">
        <v>269</v>
      </c>
      <c r="C3" s="278" t="s">
        <v>369</v>
      </c>
      <c r="D3" s="278" t="s">
        <v>368</v>
      </c>
      <c r="F3" s="277" t="s">
        <v>367</v>
      </c>
      <c r="G3" s="276" t="s">
        <v>366</v>
      </c>
      <c r="H3" s="276" t="s">
        <v>104</v>
      </c>
      <c r="I3" s="276" t="s">
        <v>365</v>
      </c>
      <c r="J3" s="276" t="s">
        <v>364</v>
      </c>
      <c r="K3" s="276" t="s">
        <v>363</v>
      </c>
      <c r="L3" s="276" t="s">
        <v>362</v>
      </c>
      <c r="M3" s="331" t="s">
        <v>361</v>
      </c>
      <c r="N3" s="331"/>
      <c r="O3" s="331"/>
      <c r="P3" s="275" t="s">
        <v>274</v>
      </c>
      <c r="Q3" s="274" t="s">
        <v>275</v>
      </c>
    </row>
    <row r="4" spans="2:17" ht="15" thickBot="1" x14ac:dyDescent="0.35">
      <c r="B4" s="273" t="s">
        <v>360</v>
      </c>
      <c r="C4" s="267">
        <f>M7</f>
        <v>161254</v>
      </c>
      <c r="D4" s="267">
        <f>M10</f>
        <v>82.7</v>
      </c>
      <c r="F4" s="260">
        <v>2610</v>
      </c>
      <c r="G4" s="259" t="s">
        <v>359</v>
      </c>
      <c r="H4" s="260">
        <v>1</v>
      </c>
      <c r="I4" s="266">
        <f>VLOOKUP(F4,Datos!D1:F886,2,FALSE)</f>
        <v>126500</v>
      </c>
      <c r="J4" s="266">
        <f>VLOOKUP(F4,Datos!D1:F886,3,FALSE)</f>
        <v>64.900000000000006</v>
      </c>
      <c r="K4" s="258">
        <f>VLOOKUP(F4,Datos!D1:I886,4,FALSE)</f>
        <v>15.6</v>
      </c>
      <c r="L4" s="258">
        <f>VLOOKUP(F4,Datos!D1:I886,6,FALSE)</f>
        <v>14.7</v>
      </c>
      <c r="M4" s="332"/>
      <c r="N4" s="332"/>
      <c r="O4" s="332"/>
      <c r="P4" s="269">
        <f>(H4*K4)+(H6*K6)+(H7*K7)+(H8*K8)+(H9*K9)+(H10*K10)</f>
        <v>19.355999999999998</v>
      </c>
      <c r="Q4" s="190">
        <v>0.25</v>
      </c>
    </row>
    <row r="5" spans="2:17" x14ac:dyDescent="0.3">
      <c r="B5" s="268" t="s">
        <v>358</v>
      </c>
      <c r="C5" s="267">
        <f>N7</f>
        <v>232666.66666666669</v>
      </c>
      <c r="D5" s="267">
        <f>N10</f>
        <v>119.3</v>
      </c>
      <c r="F5" s="264"/>
      <c r="G5" s="263" t="s">
        <v>357</v>
      </c>
      <c r="H5" s="190"/>
      <c r="I5" s="272" t="e">
        <f>VLOOKUP(F5,Datos!D2:F887,3,FALSE)</f>
        <v>#N/A</v>
      </c>
      <c r="J5" s="271" t="e">
        <f>VLOOKUP(F5,Datos!D2:F887,3,FALSE)</f>
        <v>#N/A</v>
      </c>
      <c r="K5" s="258" t="e">
        <f>VLOOKUP(F5,Datos!D2:I887,4,FALSE)</f>
        <v>#N/A</v>
      </c>
      <c r="L5" s="270"/>
      <c r="M5" s="336" t="s">
        <v>356</v>
      </c>
      <c r="N5" s="336" t="s">
        <v>355</v>
      </c>
      <c r="O5" s="338" t="s">
        <v>346</v>
      </c>
      <c r="P5" s="269">
        <f>(K11/6*10)+(K13*2)</f>
        <v>23.333333333333336</v>
      </c>
      <c r="Q5" s="190">
        <v>0.15</v>
      </c>
    </row>
    <row r="6" spans="2:17" ht="15" thickBot="1" x14ac:dyDescent="0.35">
      <c r="B6" s="268" t="s">
        <v>354</v>
      </c>
      <c r="C6" s="267">
        <f>O7</f>
        <v>168211</v>
      </c>
      <c r="D6" s="267">
        <f>O10</f>
        <v>84.71</v>
      </c>
      <c r="F6" s="260">
        <v>3783</v>
      </c>
      <c r="G6" s="259" t="s">
        <v>353</v>
      </c>
      <c r="H6" s="190">
        <v>4</v>
      </c>
      <c r="I6" s="266">
        <f>VLOOKUP(F6,Datos!D3:F888,2,FALSE)</f>
        <v>2900</v>
      </c>
      <c r="J6" s="265">
        <f>VLOOKUP(F6,Datos!D3:F888,3,FALSE)</f>
        <v>1.5</v>
      </c>
      <c r="K6" s="258">
        <f>VLOOKUP(F6,Datos!D3:I888,4,FALSE)</f>
        <v>7.8E-2</v>
      </c>
      <c r="L6" s="257">
        <f>VLOOKUP(F6,Datos!D3:I888,6,FALSE)</f>
        <v>15.4</v>
      </c>
      <c r="M6" s="337"/>
      <c r="N6" s="337"/>
      <c r="O6" s="339"/>
      <c r="P6" s="256">
        <f>K12+K13*2</f>
        <v>14.7</v>
      </c>
      <c r="Q6" s="190">
        <v>0.15</v>
      </c>
    </row>
    <row r="7" spans="2:17" x14ac:dyDescent="0.3">
      <c r="B7" s="268" t="s">
        <v>352</v>
      </c>
      <c r="C7" s="267">
        <f>O7</f>
        <v>168211</v>
      </c>
      <c r="D7" s="267">
        <f>O10</f>
        <v>84.71</v>
      </c>
      <c r="F7" s="260">
        <v>922</v>
      </c>
      <c r="G7" s="259" t="s">
        <v>351</v>
      </c>
      <c r="H7" s="190">
        <v>2</v>
      </c>
      <c r="I7" s="266">
        <f>VLOOKUP(F7,Datos!D4:F889,2,FALSE)</f>
        <v>5992</v>
      </c>
      <c r="J7" s="265">
        <f>VLOOKUP(F7,Datos!D4:F889,3,FALSE)</f>
        <v>3</v>
      </c>
      <c r="K7" s="258">
        <f>VLOOKUP(F7,Datos!D4:I889,4,FALSE)</f>
        <v>0.38400000000000001</v>
      </c>
      <c r="L7" s="257">
        <f>VLOOKUP(F7,Datos!D4:I889,6,FALSE)</f>
        <v>19.350000000000001</v>
      </c>
      <c r="M7" s="333">
        <f>(H4*I4)+(H6*I6)+(H7*I7)+(H8*I8)+(H9*I9)+(H10*I10)</f>
        <v>161254</v>
      </c>
      <c r="N7" s="333">
        <f>(I11/6*10)+(I13*2)</f>
        <v>232666.66666666669</v>
      </c>
      <c r="O7" s="335">
        <f>I12+I13*2</f>
        <v>168211</v>
      </c>
      <c r="P7" s="256">
        <f>K12+K13*2</f>
        <v>14.7</v>
      </c>
      <c r="Q7" s="190">
        <v>0.15</v>
      </c>
    </row>
    <row r="8" spans="2:17" ht="15" customHeight="1" thickBot="1" x14ac:dyDescent="0.35">
      <c r="F8" s="260">
        <v>6253</v>
      </c>
      <c r="G8" s="259" t="s">
        <v>350</v>
      </c>
      <c r="H8" s="190">
        <v>4</v>
      </c>
      <c r="I8" s="266">
        <f>VLOOKUP(F8,Datos!D5:F890,2,FALSE)</f>
        <v>690</v>
      </c>
      <c r="J8" s="265">
        <f>VLOOKUP(F8,Datos!D5:F890,3,FALSE)</f>
        <v>0.4</v>
      </c>
      <c r="K8" s="258">
        <f>VLOOKUP(F8,Datos!D5:I890,4,FALSE)</f>
        <v>7.8299999999999995E-2</v>
      </c>
      <c r="L8" s="257">
        <f>VLOOKUP(F8,Datos!D5:I890,6,FALSE)</f>
        <v>23.65</v>
      </c>
      <c r="M8" s="334"/>
      <c r="N8" s="334"/>
      <c r="O8" s="334"/>
    </row>
    <row r="9" spans="2:17" ht="15" customHeight="1" thickBot="1" x14ac:dyDescent="0.35">
      <c r="F9" s="260">
        <v>17477</v>
      </c>
      <c r="G9" s="259" t="s">
        <v>349</v>
      </c>
      <c r="H9" s="190">
        <v>2</v>
      </c>
      <c r="I9" s="266">
        <f>VLOOKUP(F9,Datos!D6:F891,2,FALSE)</f>
        <v>2225</v>
      </c>
      <c r="J9" s="265">
        <f>VLOOKUP(F9,Datos!D6:F891,3,FALSE)</f>
        <v>1.1000000000000001</v>
      </c>
      <c r="K9" s="258">
        <f>VLOOKUP(F9,Datos!D6:I891,4,FALSE)</f>
        <v>1</v>
      </c>
      <c r="L9" s="257">
        <f>VLOOKUP(F9,Datos!D6:I891,6,FALSE)</f>
        <v>0</v>
      </c>
      <c r="M9" s="328">
        <f>+M7+N7+O7</f>
        <v>562131.66666666674</v>
      </c>
      <c r="N9" s="329"/>
      <c r="O9" s="330"/>
    </row>
    <row r="10" spans="2:17" ht="15.75" customHeight="1" x14ac:dyDescent="0.3">
      <c r="F10" s="264">
        <v>1154</v>
      </c>
      <c r="G10" s="263" t="s">
        <v>348</v>
      </c>
      <c r="H10" s="190">
        <v>2</v>
      </c>
      <c r="I10" s="262">
        <f>VLOOKUP(F10,Datos!D7:F892,2,FALSE)</f>
        <v>1980</v>
      </c>
      <c r="J10" s="261">
        <f>VLOOKUP(F10,Datos!D7:F892,3,FALSE)</f>
        <v>1</v>
      </c>
      <c r="K10" s="258">
        <f>VLOOKUP(F10,Datos!D7:I892,4,FALSE)</f>
        <v>0.18140000000000001</v>
      </c>
      <c r="L10" s="257">
        <f>VLOOKUP(F10,Datos!D7:I892,6,FALSE)</f>
        <v>0</v>
      </c>
      <c r="M10" s="333">
        <f>(H4*J4)+(H6*J6)+(H7*J7)+(H8*J8)+(H9*J9)+(H10*J10)</f>
        <v>82.7</v>
      </c>
      <c r="N10" s="333">
        <f>(J11/6*10)+(J13*2)</f>
        <v>119.3</v>
      </c>
      <c r="O10" s="335">
        <f>J12+J13*2</f>
        <v>84.71</v>
      </c>
    </row>
    <row r="11" spans="2:17" ht="15" thickBot="1" x14ac:dyDescent="0.35">
      <c r="F11" s="260">
        <v>18294</v>
      </c>
      <c r="G11" s="259" t="s">
        <v>347</v>
      </c>
      <c r="H11" s="190"/>
      <c r="I11" s="257">
        <f>VLOOKUP(F11,Datos!D8:F893,2,FALSE)</f>
        <v>106960</v>
      </c>
      <c r="J11" s="258">
        <f>VLOOKUP(F11,Datos!D8:F893,3,FALSE)</f>
        <v>54.9</v>
      </c>
      <c r="K11" s="258">
        <f>VLOOKUP(F11,Datos!D8:I893,4,FALSE)</f>
        <v>14</v>
      </c>
      <c r="L11" s="257">
        <f>VLOOKUP(F11,Datos!D8:I893,6,FALSE)</f>
        <v>14</v>
      </c>
      <c r="M11" s="334"/>
      <c r="N11" s="334"/>
      <c r="O11" s="334"/>
    </row>
    <row r="12" spans="2:17" x14ac:dyDescent="0.3">
      <c r="F12" s="260">
        <v>6653</v>
      </c>
      <c r="G12" s="259" t="s">
        <v>346</v>
      </c>
      <c r="H12" s="190"/>
      <c r="I12" s="257">
        <f>VLOOKUP(F12,Datos!D9:F894,2,FALSE)</f>
        <v>113811</v>
      </c>
      <c r="J12" s="258">
        <f>VLOOKUP(F12,Datos!D9:F894,3,FALSE)</f>
        <v>56.91</v>
      </c>
      <c r="K12" s="258">
        <f>VLOOKUP(F12,Datos!D9:I894,4,FALSE)</f>
        <v>14.7</v>
      </c>
      <c r="L12" s="257">
        <f>VLOOKUP(F12,Datos!D9:I894,6,FALSE)</f>
        <v>0</v>
      </c>
      <c r="M12" s="328">
        <f>+M10+N10+O10</f>
        <v>286.70999999999998</v>
      </c>
      <c r="N12" s="329"/>
      <c r="O12" s="330"/>
    </row>
    <row r="13" spans="2:17" x14ac:dyDescent="0.3">
      <c r="F13" s="260">
        <v>25258</v>
      </c>
      <c r="G13" s="259" t="s">
        <v>345</v>
      </c>
      <c r="H13" s="190"/>
      <c r="I13" s="257">
        <f>VLOOKUP(F13,Datos!D10:F895,2,FALSE)</f>
        <v>27200</v>
      </c>
      <c r="J13" s="258">
        <f>VLOOKUP(F13,Datos!D10:F895,3,FALSE)</f>
        <v>13.9</v>
      </c>
      <c r="K13" s="258">
        <f>VLOOKUP(F13,Datos!D10:I895,4,FALSE)</f>
        <v>0</v>
      </c>
      <c r="L13" s="257">
        <f>VLOOKUP(F13,Datos!D10:I895,6,FALSE)</f>
        <v>0</v>
      </c>
    </row>
  </sheetData>
  <mergeCells count="12">
    <mergeCell ref="M12:O12"/>
    <mergeCell ref="M3:O4"/>
    <mergeCell ref="M9:O9"/>
    <mergeCell ref="N7:N8"/>
    <mergeCell ref="M7:M8"/>
    <mergeCell ref="O7:O8"/>
    <mergeCell ref="M5:M6"/>
    <mergeCell ref="N5:N6"/>
    <mergeCell ref="O5:O6"/>
    <mergeCell ref="M10:M11"/>
    <mergeCell ref="N10:N11"/>
    <mergeCell ref="O10:O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H249"/>
  <sheetViews>
    <sheetView view="pageLayout" zoomScaleNormal="100" workbookViewId="0">
      <selection activeCell="D3" sqref="D3"/>
    </sheetView>
  </sheetViews>
  <sheetFormatPr baseColWidth="10" defaultRowHeight="14.4" x14ac:dyDescent="0.3"/>
  <cols>
    <col min="7" max="7" width="9.109375" customWidth="1"/>
  </cols>
  <sheetData>
    <row r="6" spans="1:8" x14ac:dyDescent="0.3">
      <c r="H6" s="184" t="s">
        <v>227</v>
      </c>
    </row>
    <row r="7" spans="1:8" x14ac:dyDescent="0.3">
      <c r="H7" s="183" t="s">
        <v>228</v>
      </c>
    </row>
    <row r="8" spans="1:8" x14ac:dyDescent="0.3">
      <c r="A8" s="292" t="s">
        <v>229</v>
      </c>
      <c r="B8" s="292"/>
      <c r="C8" s="292"/>
      <c r="D8" s="292"/>
      <c r="E8" s="292"/>
    </row>
    <row r="9" spans="1:8" x14ac:dyDescent="0.3">
      <c r="A9" s="292" t="s">
        <v>230</v>
      </c>
      <c r="B9" s="292"/>
      <c r="C9" s="292"/>
      <c r="D9" s="292"/>
      <c r="E9" s="292"/>
    </row>
    <row r="10" spans="1:8" x14ac:dyDescent="0.3">
      <c r="A10" s="292" t="s">
        <v>231</v>
      </c>
      <c r="B10" s="292"/>
      <c r="C10" s="292"/>
      <c r="D10" s="292"/>
      <c r="E10" s="292"/>
    </row>
    <row r="11" spans="1:8" x14ac:dyDescent="0.3">
      <c r="A11" s="292" t="s">
        <v>232</v>
      </c>
      <c r="B11" s="292"/>
      <c r="C11" s="292"/>
      <c r="D11" s="292"/>
      <c r="E11" s="292"/>
    </row>
    <row r="12" spans="1:8" x14ac:dyDescent="0.3">
      <c r="A12" s="292" t="s">
        <v>233</v>
      </c>
      <c r="B12" s="292"/>
      <c r="C12" s="292"/>
      <c r="D12" s="292"/>
      <c r="E12" s="292"/>
    </row>
    <row r="14" spans="1:8" x14ac:dyDescent="0.3">
      <c r="A14" s="292" t="s">
        <v>234</v>
      </c>
      <c r="B14" s="292"/>
      <c r="C14" s="292"/>
      <c r="D14" s="292"/>
      <c r="E14" s="292"/>
    </row>
    <row r="16" spans="1:8" ht="14.4" customHeight="1" x14ac:dyDescent="0.3">
      <c r="A16" s="308" t="s">
        <v>235</v>
      </c>
      <c r="B16" s="308"/>
      <c r="C16" s="308"/>
      <c r="D16" s="308"/>
      <c r="E16" s="308"/>
      <c r="F16" s="308"/>
      <c r="G16" s="308"/>
      <c r="H16" s="308"/>
    </row>
    <row r="17" spans="1:8" x14ac:dyDescent="0.3">
      <c r="A17" s="308"/>
      <c r="B17" s="308"/>
      <c r="C17" s="308"/>
      <c r="D17" s="308"/>
      <c r="E17" s="308"/>
      <c r="F17" s="308"/>
      <c r="G17" s="308"/>
      <c r="H17" s="308"/>
    </row>
    <row r="18" spans="1:8" x14ac:dyDescent="0.3">
      <c r="A18" s="308"/>
      <c r="B18" s="308"/>
      <c r="C18" s="308"/>
      <c r="D18" s="308"/>
      <c r="E18" s="308"/>
      <c r="F18" s="308"/>
      <c r="G18" s="308"/>
      <c r="H18" s="308"/>
    </row>
    <row r="19" spans="1:8" x14ac:dyDescent="0.3">
      <c r="A19" s="308"/>
      <c r="B19" s="308"/>
      <c r="C19" s="308"/>
      <c r="D19" s="308"/>
      <c r="E19" s="308"/>
      <c r="F19" s="308"/>
      <c r="G19" s="308"/>
      <c r="H19" s="308"/>
    </row>
    <row r="20" spans="1:8" x14ac:dyDescent="0.3">
      <c r="A20" s="308"/>
      <c r="B20" s="308"/>
      <c r="C20" s="308"/>
      <c r="D20" s="308"/>
      <c r="E20" s="308"/>
      <c r="F20" s="308"/>
      <c r="G20" s="308"/>
      <c r="H20" s="308"/>
    </row>
    <row r="21" spans="1:8" x14ac:dyDescent="0.3">
      <c r="A21" s="308"/>
      <c r="B21" s="308"/>
      <c r="C21" s="308"/>
      <c r="D21" s="308"/>
      <c r="E21" s="308"/>
      <c r="F21" s="308"/>
      <c r="G21" s="308"/>
      <c r="H21" s="308"/>
    </row>
    <row r="22" spans="1:8" x14ac:dyDescent="0.3">
      <c r="A22" s="308"/>
      <c r="B22" s="308"/>
      <c r="C22" s="308"/>
      <c r="D22" s="308"/>
      <c r="E22" s="308"/>
      <c r="F22" s="308"/>
      <c r="G22" s="308"/>
      <c r="H22" s="308"/>
    </row>
    <row r="23" spans="1:8" x14ac:dyDescent="0.3">
      <c r="A23" s="308"/>
      <c r="B23" s="308"/>
      <c r="C23" s="308"/>
      <c r="D23" s="308"/>
      <c r="E23" s="308"/>
      <c r="F23" s="308"/>
      <c r="G23" s="308"/>
      <c r="H23" s="308"/>
    </row>
    <row r="24" spans="1:8" x14ac:dyDescent="0.3">
      <c r="A24" s="308"/>
      <c r="B24" s="308"/>
      <c r="C24" s="308"/>
      <c r="D24" s="308"/>
      <c r="E24" s="308"/>
      <c r="F24" s="308"/>
      <c r="G24" s="308"/>
      <c r="H24" s="308"/>
    </row>
    <row r="25" spans="1:8" x14ac:dyDescent="0.3">
      <c r="A25" s="308"/>
      <c r="B25" s="308"/>
      <c r="C25" s="308"/>
      <c r="D25" s="308"/>
      <c r="E25" s="308"/>
      <c r="F25" s="308"/>
      <c r="G25" s="308"/>
      <c r="H25" s="308"/>
    </row>
    <row r="26" spans="1:8" x14ac:dyDescent="0.3">
      <c r="A26" s="308"/>
      <c r="B26" s="308"/>
      <c r="C26" s="308"/>
      <c r="D26" s="308"/>
      <c r="E26" s="308"/>
      <c r="F26" s="308"/>
      <c r="G26" s="308"/>
      <c r="H26" s="308"/>
    </row>
    <row r="27" spans="1:8" x14ac:dyDescent="0.3">
      <c r="A27" s="308"/>
      <c r="B27" s="308"/>
      <c r="C27" s="308"/>
      <c r="D27" s="308"/>
      <c r="E27" s="308"/>
      <c r="F27" s="308"/>
      <c r="G27" s="308"/>
      <c r="H27" s="308"/>
    </row>
    <row r="28" spans="1:8" x14ac:dyDescent="0.3">
      <c r="A28" s="308"/>
      <c r="B28" s="308"/>
      <c r="C28" s="308"/>
      <c r="D28" s="308"/>
      <c r="E28" s="308"/>
      <c r="F28" s="308"/>
      <c r="G28" s="308"/>
      <c r="H28" s="308"/>
    </row>
    <row r="29" spans="1:8" x14ac:dyDescent="0.3">
      <c r="A29" s="308"/>
      <c r="B29" s="308"/>
      <c r="C29" s="308"/>
      <c r="D29" s="308"/>
      <c r="E29" s="308"/>
      <c r="F29" s="308"/>
      <c r="G29" s="308"/>
      <c r="H29" s="308"/>
    </row>
    <row r="30" spans="1:8" x14ac:dyDescent="0.3">
      <c r="A30" s="308"/>
      <c r="B30" s="308"/>
      <c r="C30" s="308"/>
      <c r="D30" s="308"/>
      <c r="E30" s="308"/>
      <c r="F30" s="308"/>
      <c r="G30" s="308"/>
      <c r="H30" s="308"/>
    </row>
    <row r="31" spans="1:8" x14ac:dyDescent="0.3">
      <c r="A31" s="308"/>
      <c r="B31" s="308"/>
      <c r="C31" s="308"/>
      <c r="D31" s="308"/>
      <c r="E31" s="308"/>
      <c r="F31" s="308"/>
      <c r="G31" s="308"/>
      <c r="H31" s="308"/>
    </row>
    <row r="32" spans="1:8" x14ac:dyDescent="0.3">
      <c r="A32" s="308"/>
      <c r="B32" s="308"/>
      <c r="C32" s="308"/>
      <c r="D32" s="308"/>
      <c r="E32" s="308"/>
      <c r="F32" s="308"/>
      <c r="G32" s="308"/>
      <c r="H32" s="308"/>
    </row>
    <row r="33" spans="1:8" x14ac:dyDescent="0.3">
      <c r="A33" s="308"/>
      <c r="B33" s="308"/>
      <c r="C33" s="308"/>
      <c r="D33" s="308"/>
      <c r="E33" s="308"/>
      <c r="F33" s="308"/>
      <c r="G33" s="308"/>
      <c r="H33" s="308"/>
    </row>
    <row r="34" spans="1:8" x14ac:dyDescent="0.3">
      <c r="A34" s="308"/>
      <c r="B34" s="308"/>
      <c r="C34" s="308"/>
      <c r="D34" s="308"/>
      <c r="E34" s="308"/>
      <c r="F34" s="308"/>
      <c r="G34" s="308"/>
      <c r="H34" s="308"/>
    </row>
    <row r="35" spans="1:8" x14ac:dyDescent="0.3">
      <c r="A35" s="308"/>
      <c r="B35" s="308"/>
      <c r="C35" s="308"/>
      <c r="D35" s="308"/>
      <c r="E35" s="308"/>
      <c r="F35" s="308"/>
      <c r="G35" s="308"/>
      <c r="H35" s="308"/>
    </row>
    <row r="36" spans="1:8" x14ac:dyDescent="0.3">
      <c r="A36" s="308"/>
      <c r="B36" s="308"/>
      <c r="C36" s="308"/>
      <c r="D36" s="308"/>
      <c r="E36" s="308"/>
      <c r="F36" s="308"/>
      <c r="G36" s="308"/>
      <c r="H36" s="308"/>
    </row>
    <row r="37" spans="1:8" x14ac:dyDescent="0.3">
      <c r="A37" s="308"/>
      <c r="B37" s="308"/>
      <c r="C37" s="308"/>
      <c r="D37" s="308"/>
      <c r="E37" s="308"/>
      <c r="F37" s="308"/>
      <c r="G37" s="308"/>
      <c r="H37" s="308"/>
    </row>
    <row r="38" spans="1:8" x14ac:dyDescent="0.3">
      <c r="A38" s="308"/>
      <c r="B38" s="308"/>
      <c r="C38" s="308"/>
      <c r="D38" s="308"/>
      <c r="E38" s="308"/>
      <c r="F38" s="308"/>
      <c r="G38" s="308"/>
      <c r="H38" s="308"/>
    </row>
    <row r="39" spans="1:8" x14ac:dyDescent="0.3">
      <c r="A39" s="308"/>
      <c r="B39" s="308"/>
      <c r="C39" s="308"/>
      <c r="D39" s="308"/>
      <c r="E39" s="308"/>
      <c r="F39" s="308"/>
      <c r="G39" s="308"/>
      <c r="H39" s="308"/>
    </row>
    <row r="40" spans="1:8" x14ac:dyDescent="0.3">
      <c r="A40" s="308"/>
      <c r="B40" s="308"/>
      <c r="C40" s="308"/>
      <c r="D40" s="308"/>
      <c r="E40" s="308"/>
      <c r="F40" s="308"/>
      <c r="G40" s="308"/>
      <c r="H40" s="308"/>
    </row>
    <row r="41" spans="1:8" x14ac:dyDescent="0.3">
      <c r="A41" s="300" t="s">
        <v>241</v>
      </c>
      <c r="B41" s="300"/>
      <c r="C41" s="300"/>
      <c r="D41" s="300"/>
      <c r="E41" s="300"/>
      <c r="F41" s="300"/>
      <c r="G41" s="300"/>
      <c r="H41" s="300"/>
    </row>
    <row r="44" spans="1:8" x14ac:dyDescent="0.3">
      <c r="A44" s="298" t="s">
        <v>240</v>
      </c>
      <c r="B44" s="298"/>
      <c r="C44" s="298"/>
      <c r="D44" s="298"/>
      <c r="E44" s="298"/>
      <c r="F44" s="298"/>
      <c r="G44" s="298"/>
      <c r="H44" s="298"/>
    </row>
    <row r="45" spans="1:8" x14ac:dyDescent="0.3">
      <c r="A45" s="298" t="s">
        <v>239</v>
      </c>
      <c r="B45" s="298"/>
      <c r="C45" s="298"/>
      <c r="D45" s="298"/>
      <c r="E45" s="298"/>
      <c r="F45" s="298"/>
      <c r="G45" s="298"/>
      <c r="H45" s="298"/>
    </row>
    <row r="46" spans="1:8" x14ac:dyDescent="0.3">
      <c r="A46" s="298" t="s">
        <v>238</v>
      </c>
      <c r="B46" s="298"/>
      <c r="C46" s="298"/>
      <c r="D46" s="298"/>
      <c r="E46" s="298"/>
      <c r="F46" s="298"/>
      <c r="G46" s="298"/>
      <c r="H46" s="298"/>
    </row>
    <row r="47" spans="1:8" x14ac:dyDescent="0.3">
      <c r="A47" s="298" t="s">
        <v>237</v>
      </c>
      <c r="B47" s="298"/>
      <c r="C47" s="298"/>
      <c r="D47" s="298"/>
      <c r="E47" s="298"/>
      <c r="F47" s="298"/>
      <c r="G47" s="298"/>
      <c r="H47" s="298"/>
    </row>
    <row r="48" spans="1:8" ht="13.95" customHeight="1" x14ac:dyDescent="0.3">
      <c r="A48" s="298" t="s">
        <v>236</v>
      </c>
      <c r="B48" s="298"/>
      <c r="C48" s="298"/>
      <c r="D48" s="298"/>
      <c r="E48" s="298"/>
      <c r="F48" s="298"/>
      <c r="G48" s="298"/>
      <c r="H48" s="298"/>
    </row>
    <row r="57" spans="1:7" x14ac:dyDescent="0.3">
      <c r="A57" s="292" t="s">
        <v>242</v>
      </c>
      <c r="B57" s="292"/>
      <c r="C57" s="292"/>
    </row>
    <row r="59" spans="1:7" x14ac:dyDescent="0.3">
      <c r="A59" s="185" t="s">
        <v>243</v>
      </c>
    </row>
    <row r="60" spans="1:7" x14ac:dyDescent="0.3">
      <c r="A60" s="301" t="s">
        <v>244</v>
      </c>
      <c r="B60" s="301"/>
      <c r="C60" s="301"/>
      <c r="D60" s="301"/>
      <c r="E60" s="301"/>
      <c r="F60" s="301"/>
      <c r="G60" s="301"/>
    </row>
    <row r="61" spans="1:7" x14ac:dyDescent="0.3">
      <c r="A61" s="301"/>
      <c r="B61" s="301"/>
      <c r="C61" s="301"/>
      <c r="D61" s="301"/>
      <c r="E61" s="301"/>
      <c r="F61" s="301"/>
      <c r="G61" s="301"/>
    </row>
    <row r="62" spans="1:7" x14ac:dyDescent="0.3">
      <c r="A62" s="185" t="s">
        <v>245</v>
      </c>
    </row>
    <row r="63" spans="1:7" x14ac:dyDescent="0.3">
      <c r="A63" s="301" t="s">
        <v>246</v>
      </c>
      <c r="B63" s="301"/>
      <c r="C63" s="301"/>
      <c r="D63" s="301"/>
      <c r="E63" s="301"/>
      <c r="F63" s="301"/>
      <c r="G63" s="301"/>
    </row>
    <row r="64" spans="1:7" x14ac:dyDescent="0.3">
      <c r="A64" s="301"/>
      <c r="B64" s="301"/>
      <c r="C64" s="301"/>
      <c r="D64" s="301"/>
      <c r="E64" s="301"/>
      <c r="F64" s="301"/>
      <c r="G64" s="301"/>
    </row>
    <row r="65" spans="1:7" x14ac:dyDescent="0.3">
      <c r="A65" s="292" t="s">
        <v>247</v>
      </c>
      <c r="B65" s="292"/>
      <c r="C65" s="292"/>
      <c r="D65" s="292"/>
      <c r="E65" s="292"/>
      <c r="F65" s="292"/>
      <c r="G65" s="292"/>
    </row>
    <row r="66" spans="1:7" x14ac:dyDescent="0.3">
      <c r="A66" s="301">
        <f>K82</f>
        <v>0</v>
      </c>
      <c r="B66" s="301"/>
      <c r="C66" s="301"/>
      <c r="D66" s="301"/>
      <c r="E66" s="301"/>
      <c r="F66" s="301"/>
      <c r="G66" s="301"/>
    </row>
    <row r="67" spans="1:7" x14ac:dyDescent="0.3">
      <c r="A67" s="301"/>
      <c r="B67" s="301"/>
      <c r="C67" s="301"/>
      <c r="D67" s="301"/>
      <c r="E67" s="301"/>
      <c r="F67" s="301"/>
      <c r="G67" s="301"/>
    </row>
    <row r="68" spans="1:7" x14ac:dyDescent="0.3">
      <c r="A68" s="292" t="s">
        <v>248</v>
      </c>
      <c r="B68" s="292"/>
      <c r="C68" s="292"/>
      <c r="D68" s="292"/>
      <c r="E68" s="292"/>
      <c r="F68" s="292"/>
      <c r="G68" s="292"/>
    </row>
    <row r="69" spans="1:7" x14ac:dyDescent="0.3">
      <c r="A69" s="293"/>
      <c r="B69" s="293"/>
      <c r="C69" s="293"/>
      <c r="D69" s="293"/>
      <c r="E69" s="293"/>
      <c r="F69" s="293"/>
      <c r="G69" s="293"/>
    </row>
    <row r="70" spans="1:7" x14ac:dyDescent="0.3">
      <c r="A70" s="293"/>
      <c r="B70" s="293"/>
      <c r="C70" s="293"/>
      <c r="D70" s="293"/>
      <c r="E70" s="293"/>
      <c r="F70" s="293"/>
      <c r="G70" s="293"/>
    </row>
    <row r="71" spans="1:7" x14ac:dyDescent="0.3">
      <c r="A71" s="292" t="s">
        <v>249</v>
      </c>
      <c r="B71" s="292"/>
      <c r="C71" s="292"/>
      <c r="D71" s="292"/>
      <c r="E71" s="292"/>
      <c r="F71" s="292"/>
      <c r="G71" s="292"/>
    </row>
    <row r="72" spans="1:7" x14ac:dyDescent="0.3">
      <c r="A72" s="293"/>
      <c r="B72" s="293"/>
      <c r="C72" s="293"/>
      <c r="D72" s="293"/>
      <c r="E72" s="293"/>
      <c r="F72" s="293"/>
      <c r="G72" s="293"/>
    </row>
    <row r="73" spans="1:7" x14ac:dyDescent="0.3">
      <c r="A73" s="293"/>
      <c r="B73" s="293"/>
      <c r="C73" s="293"/>
      <c r="D73" s="293"/>
      <c r="E73" s="293"/>
      <c r="F73" s="293"/>
      <c r="G73" s="293"/>
    </row>
    <row r="74" spans="1:7" ht="18" x14ac:dyDescent="0.35">
      <c r="D74" s="186" t="s">
        <v>250</v>
      </c>
    </row>
    <row r="91" spans="1:7" ht="15.6" x14ac:dyDescent="0.3">
      <c r="A91" s="295" t="s">
        <v>252</v>
      </c>
      <c r="B91" s="295"/>
      <c r="C91" s="295"/>
      <c r="D91" s="295"/>
      <c r="E91" s="295"/>
      <c r="F91" s="295"/>
      <c r="G91" s="295"/>
    </row>
    <row r="93" spans="1:7" ht="15.6" x14ac:dyDescent="0.3">
      <c r="A93" s="294" t="s">
        <v>251</v>
      </c>
      <c r="B93" s="294"/>
      <c r="C93" s="294"/>
      <c r="D93" s="294"/>
      <c r="E93" s="294"/>
      <c r="F93" s="294"/>
      <c r="G93" s="294"/>
    </row>
    <row r="105" spans="1:8" x14ac:dyDescent="0.3">
      <c r="A105" s="297" t="s">
        <v>253</v>
      </c>
      <c r="B105" s="297"/>
      <c r="C105" s="297"/>
      <c r="D105" s="297"/>
      <c r="E105" s="297"/>
      <c r="F105" s="297"/>
      <c r="G105" s="297"/>
      <c r="H105" s="297"/>
    </row>
    <row r="106" spans="1:8" ht="14.4" customHeight="1" x14ac:dyDescent="0.3">
      <c r="A106" s="296" t="s">
        <v>254</v>
      </c>
      <c r="B106" s="296"/>
      <c r="C106" s="296"/>
      <c r="D106" s="296"/>
      <c r="E106" s="296"/>
      <c r="F106" s="296"/>
      <c r="G106" s="296"/>
      <c r="H106" s="296"/>
    </row>
    <row r="107" spans="1:8" x14ac:dyDescent="0.3">
      <c r="A107" s="296"/>
      <c r="B107" s="296"/>
      <c r="C107" s="296"/>
      <c r="D107" s="296"/>
      <c r="E107" s="296"/>
      <c r="F107" s="296"/>
      <c r="G107" s="296"/>
      <c r="H107" s="296"/>
    </row>
    <row r="108" spans="1:8" ht="14.4" customHeight="1" x14ac:dyDescent="0.3">
      <c r="A108" s="310" t="s">
        <v>256</v>
      </c>
      <c r="B108" s="310"/>
      <c r="C108" s="310"/>
      <c r="D108" s="310"/>
      <c r="E108" s="310"/>
      <c r="F108" s="310"/>
      <c r="G108" s="310"/>
      <c r="H108" s="310"/>
    </row>
    <row r="109" spans="1:8" ht="14.4" customHeight="1" x14ac:dyDescent="0.3">
      <c r="A109" s="310"/>
      <c r="B109" s="310"/>
      <c r="C109" s="310"/>
      <c r="D109" s="310"/>
      <c r="E109" s="310"/>
      <c r="F109" s="310"/>
      <c r="G109" s="310"/>
      <c r="H109" s="310"/>
    </row>
    <row r="110" spans="1:8" ht="14.4" customHeight="1" x14ac:dyDescent="0.3">
      <c r="A110" s="310"/>
      <c r="B110" s="310"/>
      <c r="C110" s="310"/>
      <c r="D110" s="310"/>
      <c r="E110" s="310"/>
      <c r="F110" s="310"/>
      <c r="G110" s="310"/>
      <c r="H110" s="310"/>
    </row>
    <row r="111" spans="1:8" ht="14.4" customHeight="1" x14ac:dyDescent="0.3">
      <c r="A111" s="310"/>
      <c r="B111" s="310"/>
      <c r="C111" s="310"/>
      <c r="D111" s="310"/>
      <c r="E111" s="310"/>
      <c r="F111" s="310"/>
      <c r="G111" s="310"/>
      <c r="H111" s="310"/>
    </row>
    <row r="112" spans="1:8" ht="14.4" customHeight="1" x14ac:dyDescent="0.3">
      <c r="A112" s="310"/>
      <c r="B112" s="310"/>
      <c r="C112" s="310"/>
      <c r="D112" s="310"/>
      <c r="E112" s="310"/>
      <c r="F112" s="310"/>
      <c r="G112" s="310"/>
      <c r="H112" s="310"/>
    </row>
    <row r="113" spans="1:8" ht="14.4" customHeight="1" x14ac:dyDescent="0.3">
      <c r="A113" s="310"/>
      <c r="B113" s="310"/>
      <c r="C113" s="310"/>
      <c r="D113" s="310"/>
      <c r="E113" s="310"/>
      <c r="F113" s="310"/>
      <c r="G113" s="310"/>
      <c r="H113" s="310"/>
    </row>
    <row r="114" spans="1:8" ht="14.4" customHeight="1" x14ac:dyDescent="0.3">
      <c r="A114" s="310"/>
      <c r="B114" s="310"/>
      <c r="C114" s="310"/>
      <c r="D114" s="310"/>
      <c r="E114" s="310"/>
      <c r="F114" s="310"/>
      <c r="G114" s="310"/>
      <c r="H114" s="310"/>
    </row>
    <row r="115" spans="1:8" ht="14.4" customHeight="1" x14ac:dyDescent="0.3">
      <c r="A115" s="310"/>
      <c r="B115" s="310"/>
      <c r="C115" s="310"/>
      <c r="D115" s="310"/>
      <c r="E115" s="310"/>
      <c r="F115" s="310"/>
      <c r="G115" s="310"/>
      <c r="H115" s="310"/>
    </row>
    <row r="116" spans="1:8" ht="14.4" customHeight="1" x14ac:dyDescent="0.3">
      <c r="A116" s="310"/>
      <c r="B116" s="310"/>
      <c r="C116" s="310"/>
      <c r="D116" s="310"/>
      <c r="E116" s="310"/>
      <c r="F116" s="310"/>
      <c r="G116" s="310"/>
      <c r="H116" s="310"/>
    </row>
    <row r="117" spans="1:8" ht="14.4" customHeight="1" x14ac:dyDescent="0.3">
      <c r="A117" s="310"/>
      <c r="B117" s="310"/>
      <c r="C117" s="310"/>
      <c r="D117" s="310"/>
      <c r="E117" s="310"/>
      <c r="F117" s="310"/>
      <c r="G117" s="310"/>
      <c r="H117" s="310"/>
    </row>
    <row r="119" spans="1:8" x14ac:dyDescent="0.3">
      <c r="A119" s="311" t="s">
        <v>255</v>
      </c>
      <c r="B119" s="311"/>
      <c r="C119" s="311"/>
      <c r="D119" s="311"/>
      <c r="E119" s="311"/>
      <c r="F119" s="311"/>
      <c r="G119" s="311"/>
    </row>
    <row r="120" spans="1:8" ht="14.4" customHeight="1" x14ac:dyDescent="0.3">
      <c r="A120" s="310" t="s">
        <v>257</v>
      </c>
      <c r="B120" s="310"/>
      <c r="C120" s="310"/>
      <c r="D120" s="310"/>
      <c r="E120" s="310"/>
      <c r="F120" s="310"/>
      <c r="G120" s="310"/>
      <c r="H120" s="310"/>
    </row>
    <row r="121" spans="1:8" ht="14.4" customHeight="1" x14ac:dyDescent="0.3">
      <c r="A121" s="310"/>
      <c r="B121" s="310"/>
      <c r="C121" s="310"/>
      <c r="D121" s="310"/>
      <c r="E121" s="310"/>
      <c r="F121" s="310"/>
      <c r="G121" s="310"/>
      <c r="H121" s="310"/>
    </row>
    <row r="122" spans="1:8" ht="14.4" customHeight="1" x14ac:dyDescent="0.3">
      <c r="A122" s="310"/>
      <c r="B122" s="310"/>
      <c r="C122" s="310"/>
      <c r="D122" s="310"/>
      <c r="E122" s="310"/>
      <c r="F122" s="310"/>
      <c r="G122" s="310"/>
      <c r="H122" s="310"/>
    </row>
    <row r="123" spans="1:8" ht="14.4" customHeight="1" x14ac:dyDescent="0.3">
      <c r="A123" s="310"/>
      <c r="B123" s="310"/>
      <c r="C123" s="310"/>
      <c r="D123" s="310"/>
      <c r="E123" s="310"/>
      <c r="F123" s="310"/>
      <c r="G123" s="310"/>
      <c r="H123" s="310"/>
    </row>
    <row r="124" spans="1:8" ht="14.4" customHeight="1" x14ac:dyDescent="0.3">
      <c r="A124" s="310"/>
      <c r="B124" s="310"/>
      <c r="C124" s="310"/>
      <c r="D124" s="310"/>
      <c r="E124" s="310"/>
      <c r="F124" s="310"/>
      <c r="G124" s="310"/>
      <c r="H124" s="310"/>
    </row>
    <row r="125" spans="1:8" ht="14.4" customHeight="1" x14ac:dyDescent="0.3">
      <c r="A125" s="310"/>
      <c r="B125" s="310"/>
      <c r="C125" s="310"/>
      <c r="D125" s="310"/>
      <c r="E125" s="310"/>
      <c r="F125" s="310"/>
      <c r="G125" s="310"/>
      <c r="H125" s="310"/>
    </row>
    <row r="126" spans="1:8" ht="14.4" customHeight="1" x14ac:dyDescent="0.3">
      <c r="A126" s="310"/>
      <c r="B126" s="310"/>
      <c r="C126" s="310"/>
      <c r="D126" s="310"/>
      <c r="E126" s="310"/>
      <c r="F126" s="310"/>
      <c r="G126" s="310"/>
      <c r="H126" s="310"/>
    </row>
    <row r="127" spans="1:8" ht="14.4" customHeight="1" x14ac:dyDescent="0.3">
      <c r="A127" s="310"/>
      <c r="B127" s="310"/>
      <c r="C127" s="310"/>
      <c r="D127" s="310"/>
      <c r="E127" s="310"/>
      <c r="F127" s="310"/>
      <c r="G127" s="310"/>
      <c r="H127" s="310"/>
    </row>
    <row r="128" spans="1:8" ht="14.4" customHeight="1" x14ac:dyDescent="0.3">
      <c r="A128" s="310"/>
      <c r="B128" s="310"/>
      <c r="C128" s="310"/>
      <c r="D128" s="310"/>
      <c r="E128" s="310"/>
      <c r="F128" s="310"/>
      <c r="G128" s="310"/>
      <c r="H128" s="310"/>
    </row>
    <row r="129" spans="1:8" x14ac:dyDescent="0.3">
      <c r="A129" s="310"/>
      <c r="B129" s="310"/>
      <c r="C129" s="310"/>
      <c r="D129" s="310"/>
      <c r="E129" s="310"/>
      <c r="F129" s="310"/>
      <c r="G129" s="310"/>
      <c r="H129" s="310"/>
    </row>
    <row r="130" spans="1:8" x14ac:dyDescent="0.3">
      <c r="A130" s="310"/>
      <c r="B130" s="310"/>
      <c r="C130" s="310"/>
      <c r="D130" s="310"/>
      <c r="E130" s="310"/>
      <c r="F130" s="310"/>
      <c r="G130" s="310"/>
      <c r="H130" s="310"/>
    </row>
    <row r="131" spans="1:8" x14ac:dyDescent="0.3">
      <c r="A131" s="310"/>
      <c r="B131" s="310"/>
      <c r="C131" s="310"/>
      <c r="D131" s="310"/>
      <c r="E131" s="310"/>
      <c r="F131" s="310"/>
      <c r="G131" s="310"/>
      <c r="H131" s="310"/>
    </row>
    <row r="132" spans="1:8" x14ac:dyDescent="0.3">
      <c r="A132" s="310"/>
      <c r="B132" s="310"/>
      <c r="C132" s="310"/>
      <c r="D132" s="310"/>
      <c r="E132" s="310"/>
      <c r="F132" s="310"/>
      <c r="G132" s="310"/>
      <c r="H132" s="310"/>
    </row>
    <row r="156" spans="1:8" x14ac:dyDescent="0.3">
      <c r="A156" s="298" t="s">
        <v>258</v>
      </c>
      <c r="B156" s="298"/>
      <c r="C156" s="298"/>
      <c r="D156" s="298"/>
      <c r="E156" s="298"/>
      <c r="F156" s="298"/>
      <c r="G156" s="298"/>
      <c r="H156" s="298"/>
    </row>
    <row r="157" spans="1:8" x14ac:dyDescent="0.3">
      <c r="A157" s="287"/>
      <c r="B157" s="299" t="s">
        <v>259</v>
      </c>
      <c r="C157" s="299"/>
      <c r="D157" s="299"/>
      <c r="E157" s="309" t="s">
        <v>262</v>
      </c>
      <c r="F157" s="188" t="s">
        <v>260</v>
      </c>
      <c r="G157" s="299" t="s">
        <v>263</v>
      </c>
      <c r="H157" s="299"/>
    </row>
    <row r="158" spans="1:8" x14ac:dyDescent="0.3">
      <c r="A158" s="287"/>
      <c r="B158" s="299"/>
      <c r="C158" s="299"/>
      <c r="D158" s="299"/>
      <c r="E158" s="287"/>
      <c r="F158" s="188" t="s">
        <v>261</v>
      </c>
      <c r="G158" s="299"/>
      <c r="H158" s="299"/>
    </row>
    <row r="159" spans="1:8" x14ac:dyDescent="0.3">
      <c r="A159" s="187" t="s">
        <v>264</v>
      </c>
      <c r="B159" s="290" t="s">
        <v>265</v>
      </c>
      <c r="C159" s="290"/>
      <c r="D159" s="290"/>
      <c r="E159" s="187">
        <f>'EQUIPO BASE'!Q16</f>
        <v>0</v>
      </c>
      <c r="F159" s="187">
        <f>'EQUIPO BASE'!Q5</f>
        <v>0</v>
      </c>
      <c r="G159" s="291">
        <f>'EQUIPO BASE'!Q19</f>
        <v>0</v>
      </c>
      <c r="H159" s="291"/>
    </row>
    <row r="160" spans="1:8" x14ac:dyDescent="0.3">
      <c r="A160" s="240" t="s">
        <v>266</v>
      </c>
      <c r="B160" s="290" t="s">
        <v>319</v>
      </c>
      <c r="C160" s="290"/>
      <c r="D160" s="290"/>
      <c r="E160" s="240" t="e">
        <f>#REF!</f>
        <v>#REF!</v>
      </c>
      <c r="F160" s="240">
        <f>'EQUIPO BASE'!Q5</f>
        <v>0</v>
      </c>
      <c r="G160" s="291" t="e">
        <f>E160*F160</f>
        <v>#REF!</v>
      </c>
      <c r="H160" s="291"/>
    </row>
    <row r="161" spans="1:8" x14ac:dyDescent="0.3">
      <c r="A161" s="240" t="s">
        <v>268</v>
      </c>
      <c r="B161" s="290" t="s">
        <v>283</v>
      </c>
      <c r="C161" s="290"/>
      <c r="D161" s="290"/>
      <c r="E161" s="187">
        <f>'EQUIPO BASE'!Q17</f>
        <v>0</v>
      </c>
      <c r="F161" s="187">
        <f>'EQUIPO BASE'!Q5</f>
        <v>0</v>
      </c>
      <c r="G161" s="291">
        <f>'EQUIPO BASE'!Q20</f>
        <v>0</v>
      </c>
      <c r="H161" s="291"/>
    </row>
    <row r="162" spans="1:8" x14ac:dyDescent="0.3">
      <c r="A162" s="240" t="s">
        <v>270</v>
      </c>
      <c r="B162" s="290" t="s">
        <v>267</v>
      </c>
      <c r="C162" s="290"/>
      <c r="D162" s="290"/>
      <c r="E162" s="187" t="e">
        <f>ROUNDUP('EQUIPO BASE'!Q22/'EQUIPO BASE'!Q5,1)</f>
        <v>#DIV/0!</v>
      </c>
      <c r="F162" s="187">
        <f>'EQUIPO BASE'!Q5</f>
        <v>0</v>
      </c>
      <c r="G162" s="291">
        <f>'EQUIPO BASE'!Q22</f>
        <v>0</v>
      </c>
      <c r="H162" s="291"/>
    </row>
    <row r="163" spans="1:8" x14ac:dyDescent="0.3">
      <c r="A163" s="240" t="s">
        <v>282</v>
      </c>
      <c r="B163" s="290" t="s">
        <v>269</v>
      </c>
      <c r="C163" s="290"/>
      <c r="D163" s="290"/>
      <c r="E163" s="187"/>
      <c r="F163" s="187"/>
      <c r="G163" s="291">
        <f>'EQUIPO BASE'!Q23</f>
        <v>0</v>
      </c>
      <c r="H163" s="291"/>
    </row>
    <row r="164" spans="1:8" x14ac:dyDescent="0.3">
      <c r="A164" s="240" t="s">
        <v>318</v>
      </c>
      <c r="B164" s="290" t="s">
        <v>271</v>
      </c>
      <c r="C164" s="290"/>
      <c r="D164" s="290"/>
      <c r="E164" s="187"/>
      <c r="F164" s="187"/>
      <c r="G164" s="291">
        <f>'EQUIPO BASE'!Q21</f>
        <v>0</v>
      </c>
      <c r="H164" s="291"/>
    </row>
    <row r="165" spans="1:8" x14ac:dyDescent="0.3">
      <c r="A165" s="249"/>
      <c r="B165" s="290"/>
      <c r="C165" s="290"/>
      <c r="D165" s="290"/>
      <c r="E165" s="249"/>
      <c r="F165" s="249">
        <f>'EQUIPO BASE'!Q5</f>
        <v>0</v>
      </c>
      <c r="G165" s="291">
        <f>E165*F165</f>
        <v>0</v>
      </c>
      <c r="H165" s="291"/>
    </row>
    <row r="166" spans="1:8" x14ac:dyDescent="0.3">
      <c r="A166" s="249"/>
      <c r="B166" s="290"/>
      <c r="C166" s="290"/>
      <c r="D166" s="290"/>
      <c r="E166" s="249"/>
      <c r="F166" s="249">
        <f>'EQUIPO BASE'!Q5</f>
        <v>0</v>
      </c>
      <c r="G166" s="291">
        <f t="shared" ref="G166:G167" si="0">E166*F166</f>
        <v>0</v>
      </c>
      <c r="H166" s="291"/>
    </row>
    <row r="167" spans="1:8" x14ac:dyDescent="0.3">
      <c r="A167" s="249"/>
      <c r="B167" s="290"/>
      <c r="C167" s="290"/>
      <c r="D167" s="290"/>
      <c r="E167" s="249"/>
      <c r="F167" s="249">
        <f>'EQUIPO BASE'!Q5</f>
        <v>0</v>
      </c>
      <c r="G167" s="291">
        <f t="shared" si="0"/>
        <v>0</v>
      </c>
      <c r="H167" s="291"/>
    </row>
    <row r="168" spans="1:8" x14ac:dyDescent="0.3">
      <c r="A168" s="249"/>
      <c r="B168" s="290"/>
      <c r="C168" s="290"/>
      <c r="D168" s="290"/>
      <c r="E168" s="249"/>
      <c r="F168" s="249"/>
      <c r="G168" s="291"/>
      <c r="H168" s="291"/>
    </row>
    <row r="169" spans="1:8" x14ac:dyDescent="0.3">
      <c r="A169" s="249"/>
      <c r="B169" s="290"/>
      <c r="C169" s="290"/>
      <c r="D169" s="290"/>
      <c r="E169" s="249"/>
      <c r="F169" s="249"/>
      <c r="G169" s="291"/>
      <c r="H169" s="291"/>
    </row>
    <row r="170" spans="1:8" x14ac:dyDescent="0.3">
      <c r="A170" s="306" t="s">
        <v>273</v>
      </c>
      <c r="B170" s="306"/>
      <c r="C170" s="306"/>
      <c r="D170" s="306"/>
      <c r="E170" s="189">
        <v>0</v>
      </c>
      <c r="F170" s="189"/>
      <c r="G170" s="303" t="e">
        <f>SUM(G159:H169)</f>
        <v>#REF!</v>
      </c>
      <c r="H170" s="304"/>
    </row>
    <row r="171" spans="1:8" x14ac:dyDescent="0.3">
      <c r="A171" s="307" t="s">
        <v>274</v>
      </c>
      <c r="B171" s="307"/>
      <c r="C171" s="307"/>
      <c r="D171" s="307"/>
      <c r="E171" s="307"/>
      <c r="F171" s="191" t="s">
        <v>276</v>
      </c>
      <c r="G171" s="305" t="e">
        <f>ROUNDUP(SUM(E159:E162)*0.0023*10000+'EQUIPO BASE'!AF17+SUM('EQUIPO BASE'!V22:Z22)+'EQUIPO BASE'!W67,1)</f>
        <v>#REF!</v>
      </c>
      <c r="H171" s="305"/>
    </row>
    <row r="172" spans="1:8" ht="15" x14ac:dyDescent="0.3">
      <c r="A172" s="307" t="s">
        <v>275</v>
      </c>
      <c r="B172" s="307"/>
      <c r="C172" s="307"/>
      <c r="D172" s="307"/>
      <c r="E172" s="307"/>
      <c r="F172" s="192" t="s">
        <v>278</v>
      </c>
      <c r="G172" s="305" t="e">
        <f>ROUNDUP(SUM(E159:E162)*5.4/100,1)+ROUNDUP(SUM(E159:E162)*5.4/100*0.8,1)+ROUNDUP(SUM('EQUIPO BASE'!V63:Z63)+'EQUIPO BASE'!W68,1)</f>
        <v>#REF!</v>
      </c>
      <c r="H172" s="305"/>
    </row>
    <row r="173" spans="1:8" x14ac:dyDescent="0.3">
      <c r="A173" s="307" t="s">
        <v>326</v>
      </c>
      <c r="B173" s="307"/>
      <c r="C173" s="307"/>
      <c r="D173" s="307"/>
      <c r="E173" s="307"/>
      <c r="F173" s="307"/>
      <c r="G173" s="312" t="s">
        <v>335</v>
      </c>
      <c r="H173" s="312"/>
    </row>
    <row r="174" spans="1:8" x14ac:dyDescent="0.3">
      <c r="A174" s="307" t="s">
        <v>327</v>
      </c>
      <c r="B174" s="307"/>
      <c r="C174" s="307"/>
      <c r="D174" s="307"/>
      <c r="E174" s="307"/>
      <c r="F174" s="307"/>
      <c r="G174" s="312" t="e">
        <f>(G170+G173)*16%</f>
        <v>#REF!</v>
      </c>
      <c r="H174" s="312"/>
    </row>
    <row r="175" spans="1:8" x14ac:dyDescent="0.3">
      <c r="A175" s="307" t="s">
        <v>328</v>
      </c>
      <c r="B175" s="307"/>
      <c r="C175" s="307"/>
      <c r="D175" s="307"/>
      <c r="E175" s="307"/>
      <c r="F175" s="307"/>
      <c r="G175" s="312" t="e">
        <f>G170+G173+G174</f>
        <v>#REF!</v>
      </c>
      <c r="H175" s="312"/>
    </row>
    <row r="178" spans="1:8" x14ac:dyDescent="0.3">
      <c r="A178" s="287" t="s">
        <v>329</v>
      </c>
      <c r="B178" s="287"/>
      <c r="C178" s="287"/>
      <c r="D178" s="287"/>
      <c r="E178" s="287"/>
      <c r="F178" s="287"/>
      <c r="G178" s="287"/>
      <c r="H178" s="287"/>
    </row>
    <row r="179" spans="1:8" x14ac:dyDescent="0.3">
      <c r="A179" s="286" t="s">
        <v>330</v>
      </c>
      <c r="B179" s="286"/>
      <c r="C179" s="286"/>
      <c r="D179" s="286"/>
      <c r="E179" s="286"/>
      <c r="F179" s="286"/>
      <c r="G179" s="286"/>
      <c r="H179" s="286"/>
    </row>
    <row r="180" spans="1:8" x14ac:dyDescent="0.3">
      <c r="A180" s="288" t="s">
        <v>331</v>
      </c>
      <c r="B180" s="288"/>
      <c r="C180" s="288"/>
      <c r="D180" s="288"/>
      <c r="E180" s="288"/>
      <c r="F180" s="288"/>
      <c r="G180" s="288"/>
      <c r="H180" s="288"/>
    </row>
    <row r="181" spans="1:8" x14ac:dyDescent="0.3">
      <c r="A181" s="288"/>
      <c r="B181" s="288"/>
      <c r="C181" s="288"/>
      <c r="D181" s="288"/>
      <c r="E181" s="288"/>
      <c r="F181" s="288"/>
      <c r="G181" s="288"/>
      <c r="H181" s="288"/>
    </row>
    <row r="182" spans="1:8" x14ac:dyDescent="0.3">
      <c r="A182" s="289" t="s">
        <v>332</v>
      </c>
      <c r="B182" s="289"/>
      <c r="C182" s="289"/>
      <c r="D182" s="289"/>
      <c r="E182" s="289"/>
      <c r="F182" s="289"/>
      <c r="G182" s="289"/>
      <c r="H182" s="289"/>
    </row>
    <row r="183" spans="1:8" x14ac:dyDescent="0.3">
      <c r="A183" s="288" t="s">
        <v>333</v>
      </c>
      <c r="B183" s="288"/>
      <c r="C183" s="288"/>
      <c r="D183" s="288"/>
      <c r="E183" s="288"/>
      <c r="F183" s="288"/>
      <c r="G183" s="288"/>
      <c r="H183" s="288"/>
    </row>
    <row r="184" spans="1:8" x14ac:dyDescent="0.3">
      <c r="A184" s="288"/>
      <c r="B184" s="288"/>
      <c r="C184" s="288"/>
      <c r="D184" s="288"/>
      <c r="E184" s="288"/>
      <c r="F184" s="288"/>
      <c r="G184" s="288"/>
      <c r="H184" s="288"/>
    </row>
    <row r="185" spans="1:8" x14ac:dyDescent="0.3">
      <c r="A185" s="286" t="s">
        <v>334</v>
      </c>
      <c r="B185" s="286"/>
      <c r="C185" s="286"/>
      <c r="D185" s="286"/>
      <c r="E185" s="286"/>
      <c r="F185" s="286"/>
      <c r="G185" s="286"/>
      <c r="H185" s="286"/>
    </row>
    <row r="210" spans="1:8" x14ac:dyDescent="0.3">
      <c r="A210" s="302" t="s">
        <v>272</v>
      </c>
      <c r="B210" s="293"/>
      <c r="C210" s="293"/>
      <c r="D210" s="293"/>
      <c r="E210" s="293"/>
      <c r="F210" s="293"/>
      <c r="G210" s="293"/>
      <c r="H210" s="293"/>
    </row>
    <row r="211" spans="1:8" x14ac:dyDescent="0.3">
      <c r="A211" s="293"/>
      <c r="B211" s="293"/>
      <c r="C211" s="293"/>
      <c r="D211" s="293"/>
      <c r="E211" s="293"/>
      <c r="F211" s="293"/>
      <c r="G211" s="293"/>
      <c r="H211" s="293"/>
    </row>
    <row r="212" spans="1:8" x14ac:dyDescent="0.3">
      <c r="A212" s="293"/>
      <c r="B212" s="293"/>
      <c r="C212" s="293"/>
      <c r="D212" s="293"/>
      <c r="E212" s="293"/>
      <c r="F212" s="293"/>
      <c r="G212" s="293"/>
      <c r="H212" s="293"/>
    </row>
    <row r="213" spans="1:8" x14ac:dyDescent="0.3">
      <c r="A213" s="293"/>
      <c r="B213" s="293"/>
      <c r="C213" s="293"/>
      <c r="D213" s="293"/>
      <c r="E213" s="293"/>
      <c r="F213" s="293"/>
      <c r="G213" s="293"/>
      <c r="H213" s="293"/>
    </row>
    <row r="214" spans="1:8" x14ac:dyDescent="0.3">
      <c r="A214" s="293"/>
      <c r="B214" s="293"/>
      <c r="C214" s="293"/>
      <c r="D214" s="293"/>
      <c r="E214" s="293"/>
      <c r="F214" s="293"/>
      <c r="G214" s="293"/>
      <c r="H214" s="293"/>
    </row>
    <row r="215" spans="1:8" x14ac:dyDescent="0.3">
      <c r="A215" s="293"/>
      <c r="B215" s="293"/>
      <c r="C215" s="293"/>
      <c r="D215" s="293"/>
      <c r="E215" s="293"/>
      <c r="F215" s="293"/>
      <c r="G215" s="293"/>
      <c r="H215" s="293"/>
    </row>
    <row r="216" spans="1:8" x14ac:dyDescent="0.3">
      <c r="A216" s="293"/>
      <c r="B216" s="293"/>
      <c r="C216" s="293"/>
      <c r="D216" s="293"/>
      <c r="E216" s="293"/>
      <c r="F216" s="293"/>
      <c r="G216" s="293"/>
      <c r="H216" s="293"/>
    </row>
    <row r="217" spans="1:8" x14ac:dyDescent="0.3">
      <c r="A217" s="293"/>
      <c r="B217" s="293"/>
      <c r="C217" s="293"/>
      <c r="D217" s="293"/>
      <c r="E217" s="293"/>
      <c r="F217" s="293"/>
      <c r="G217" s="293"/>
      <c r="H217" s="293"/>
    </row>
    <row r="218" spans="1:8" x14ac:dyDescent="0.3">
      <c r="A218" s="293"/>
      <c r="B218" s="293"/>
      <c r="C218" s="293"/>
      <c r="D218" s="293"/>
      <c r="E218" s="293"/>
      <c r="F218" s="293"/>
      <c r="G218" s="293"/>
      <c r="H218" s="293"/>
    </row>
    <row r="219" spans="1:8" x14ac:dyDescent="0.3">
      <c r="A219" s="293"/>
      <c r="B219" s="293"/>
      <c r="C219" s="293"/>
      <c r="D219" s="293"/>
      <c r="E219" s="293"/>
      <c r="F219" s="293"/>
      <c r="G219" s="293"/>
      <c r="H219" s="293"/>
    </row>
    <row r="220" spans="1:8" x14ac:dyDescent="0.3">
      <c r="A220" s="293"/>
      <c r="B220" s="293"/>
      <c r="C220" s="293"/>
      <c r="D220" s="293"/>
      <c r="E220" s="293"/>
      <c r="F220" s="293"/>
      <c r="G220" s="293"/>
      <c r="H220" s="293"/>
    </row>
    <row r="221" spans="1:8" x14ac:dyDescent="0.3">
      <c r="A221" s="293"/>
      <c r="B221" s="293"/>
      <c r="C221" s="293"/>
      <c r="D221" s="293"/>
      <c r="E221" s="293"/>
      <c r="F221" s="293"/>
      <c r="G221" s="293"/>
      <c r="H221" s="293"/>
    </row>
    <row r="222" spans="1:8" x14ac:dyDescent="0.3">
      <c r="A222" s="293"/>
      <c r="B222" s="293"/>
      <c r="C222" s="293"/>
      <c r="D222" s="293"/>
      <c r="E222" s="293"/>
      <c r="F222" s="293"/>
      <c r="G222" s="293"/>
      <c r="H222" s="293"/>
    </row>
    <row r="223" spans="1:8" x14ac:dyDescent="0.3">
      <c r="A223" s="293"/>
      <c r="B223" s="293"/>
      <c r="C223" s="293"/>
      <c r="D223" s="293"/>
      <c r="E223" s="293"/>
      <c r="F223" s="293"/>
      <c r="G223" s="293"/>
      <c r="H223" s="293"/>
    </row>
    <row r="224" spans="1:8" x14ac:dyDescent="0.3">
      <c r="A224" s="293"/>
      <c r="B224" s="293"/>
      <c r="C224" s="293"/>
      <c r="D224" s="293"/>
      <c r="E224" s="293"/>
      <c r="F224" s="293"/>
      <c r="G224" s="293"/>
      <c r="H224" s="293"/>
    </row>
    <row r="225" spans="1:8" x14ac:dyDescent="0.3">
      <c r="A225" s="293"/>
      <c r="B225" s="293"/>
      <c r="C225" s="293"/>
      <c r="D225" s="293"/>
      <c r="E225" s="293"/>
      <c r="F225" s="293"/>
      <c r="G225" s="293"/>
      <c r="H225" s="293"/>
    </row>
    <row r="249" ht="14.4" customHeight="1" x14ac:dyDescent="0.3"/>
  </sheetData>
  <protectedRanges>
    <protectedRange sqref="A165:E169 F168:H169" name="Rango2"/>
    <protectedRange sqref="A44:H132 A41:H41 A6:H38" name="Rango1"/>
  </protectedRanges>
  <mergeCells count="75">
    <mergeCell ref="A173:F173"/>
    <mergeCell ref="G173:H173"/>
    <mergeCell ref="G174:H174"/>
    <mergeCell ref="G175:H175"/>
    <mergeCell ref="A174:F174"/>
    <mergeCell ref="A175:F175"/>
    <mergeCell ref="B168:D168"/>
    <mergeCell ref="G168:H168"/>
    <mergeCell ref="B169:D169"/>
    <mergeCell ref="G169:H169"/>
    <mergeCell ref="A16:H40"/>
    <mergeCell ref="G165:H165"/>
    <mergeCell ref="B166:D166"/>
    <mergeCell ref="G166:H166"/>
    <mergeCell ref="B167:D167"/>
    <mergeCell ref="G167:H167"/>
    <mergeCell ref="A60:G61"/>
    <mergeCell ref="E157:E158"/>
    <mergeCell ref="B157:D158"/>
    <mergeCell ref="A120:H132"/>
    <mergeCell ref="A119:G119"/>
    <mergeCell ref="A108:H117"/>
    <mergeCell ref="A210:H225"/>
    <mergeCell ref="G170:H170"/>
    <mergeCell ref="G171:H171"/>
    <mergeCell ref="G172:H172"/>
    <mergeCell ref="B161:D161"/>
    <mergeCell ref="G161:H161"/>
    <mergeCell ref="B162:D162"/>
    <mergeCell ref="G162:H162"/>
    <mergeCell ref="B163:D163"/>
    <mergeCell ref="G163:H163"/>
    <mergeCell ref="A170:D170"/>
    <mergeCell ref="A171:E171"/>
    <mergeCell ref="A172:E172"/>
    <mergeCell ref="B164:D164"/>
    <mergeCell ref="G164:H164"/>
    <mergeCell ref="B165:D165"/>
    <mergeCell ref="A63:G64"/>
    <mergeCell ref="A65:G65"/>
    <mergeCell ref="A66:G67"/>
    <mergeCell ref="A68:G68"/>
    <mergeCell ref="A69:G70"/>
    <mergeCell ref="A12:E12"/>
    <mergeCell ref="A14:E14"/>
    <mergeCell ref="A57:C57"/>
    <mergeCell ref="A8:E8"/>
    <mergeCell ref="A9:E9"/>
    <mergeCell ref="A10:E10"/>
    <mergeCell ref="A11:E11"/>
    <mergeCell ref="A41:H41"/>
    <mergeCell ref="A44:H44"/>
    <mergeCell ref="A45:H45"/>
    <mergeCell ref="A46:H46"/>
    <mergeCell ref="A47:H47"/>
    <mergeCell ref="A48:H48"/>
    <mergeCell ref="B160:D160"/>
    <mergeCell ref="G160:H160"/>
    <mergeCell ref="A71:G71"/>
    <mergeCell ref="A72:G73"/>
    <mergeCell ref="A93:G93"/>
    <mergeCell ref="A91:G91"/>
    <mergeCell ref="A106:H107"/>
    <mergeCell ref="B159:D159"/>
    <mergeCell ref="G159:H159"/>
    <mergeCell ref="A105:H105"/>
    <mergeCell ref="A156:H156"/>
    <mergeCell ref="A157:A158"/>
    <mergeCell ref="G157:H158"/>
    <mergeCell ref="A185:H185"/>
    <mergeCell ref="A178:H178"/>
    <mergeCell ref="A179:H179"/>
    <mergeCell ref="A180:H181"/>
    <mergeCell ref="A182:H182"/>
    <mergeCell ref="A183:H184"/>
  </mergeCells>
  <pageMargins left="0.7" right="0.7" top="0.35833333333333334" bottom="0.51666666666666672" header="0.3" footer="0.3"/>
  <pageSetup orientation="portrait" r:id="rId1"/>
  <headerFooter>
    <oddHeader>&amp;L&amp;G</oddHeader>
    <oddFooter>&amp;L&amp;G&amp;R&amp;G</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B1:AI136"/>
  <sheetViews>
    <sheetView tabSelected="1" view="pageBreakPreview" zoomScaleNormal="100" zoomScaleSheetLayoutView="100" workbookViewId="0">
      <selection activeCell="C4" sqref="C4"/>
    </sheetView>
  </sheetViews>
  <sheetFormatPr baseColWidth="10" defaultRowHeight="14.4" x14ac:dyDescent="0.3"/>
  <cols>
    <col min="1" max="1" width="4.6640625" customWidth="1"/>
    <col min="2" max="2" width="4.6640625" bestFit="1" customWidth="1"/>
    <col min="3" max="3" width="11.6640625" customWidth="1"/>
    <col min="4" max="4" width="4.6640625" customWidth="1"/>
    <col min="5" max="5" width="4.6640625" bestFit="1" customWidth="1"/>
    <col min="6" max="7" width="11.6640625" customWidth="1"/>
    <col min="8" max="8" width="11.5546875" hidden="1" customWidth="1"/>
    <col min="9" max="9" width="4.6640625" customWidth="1"/>
    <col min="10" max="10" width="4.6640625" bestFit="1" customWidth="1"/>
    <col min="11" max="11" width="11.6640625" customWidth="1"/>
    <col min="12" max="13" width="7.6640625" customWidth="1"/>
    <col min="14" max="14" width="3.44140625" hidden="1" customWidth="1"/>
    <col min="15" max="15" width="4.6640625" customWidth="1"/>
    <col min="16" max="16" width="18.33203125" customWidth="1"/>
    <col min="17" max="17" width="14.109375" bestFit="1" customWidth="1"/>
    <col min="18" max="18" width="8.109375" bestFit="1" customWidth="1"/>
    <col min="19" max="19" width="4.6640625" customWidth="1"/>
    <col min="20" max="20" width="10.33203125" customWidth="1"/>
    <col min="21" max="26" width="11.5546875" customWidth="1"/>
    <col min="27" max="27" width="5" customWidth="1"/>
    <col min="28" max="28" width="26.33203125" customWidth="1"/>
    <col min="29" max="35" width="11.5546875" customWidth="1"/>
  </cols>
  <sheetData>
    <row r="1" spans="2:33" ht="15" thickBot="1" x14ac:dyDescent="0.35"/>
    <row r="2" spans="2:33" x14ac:dyDescent="0.3">
      <c r="B2" s="317" t="s">
        <v>89</v>
      </c>
      <c r="C2" s="318"/>
      <c r="E2" s="317" t="s">
        <v>99</v>
      </c>
      <c r="F2" s="319"/>
      <c r="G2" s="318"/>
      <c r="J2" s="317" t="s">
        <v>279</v>
      </c>
      <c r="K2" s="319"/>
      <c r="L2" s="319"/>
      <c r="M2" s="318"/>
      <c r="Q2" s="285">
        <v>42423</v>
      </c>
    </row>
    <row r="3" spans="2:33" ht="29.4" customHeight="1" thickBot="1" x14ac:dyDescent="0.35">
      <c r="B3" s="233" t="s">
        <v>90</v>
      </c>
      <c r="C3" s="234" t="s">
        <v>287</v>
      </c>
      <c r="D3" s="235"/>
      <c r="E3" s="233" t="s">
        <v>90</v>
      </c>
      <c r="F3" s="227" t="s">
        <v>288</v>
      </c>
      <c r="G3" s="234" t="s">
        <v>289</v>
      </c>
      <c r="J3" s="232" t="s">
        <v>90</v>
      </c>
      <c r="K3" s="226" t="s">
        <v>301</v>
      </c>
      <c r="L3" s="226" t="s">
        <v>285</v>
      </c>
      <c r="M3" s="231" t="s">
        <v>286</v>
      </c>
      <c r="O3" s="1"/>
    </row>
    <row r="4" spans="2:33" x14ac:dyDescent="0.3">
      <c r="B4" s="206">
        <v>1</v>
      </c>
      <c r="C4" s="193"/>
      <c r="E4" s="206">
        <v>1</v>
      </c>
      <c r="F4" s="228"/>
      <c r="G4" s="193"/>
      <c r="H4">
        <f>SUM(F4:G4)*2*$Q$8/10000</f>
        <v>0</v>
      </c>
      <c r="J4" s="207">
        <v>1</v>
      </c>
      <c r="K4" s="190"/>
      <c r="L4" s="190"/>
      <c r="M4" s="194"/>
      <c r="N4">
        <f t="shared" ref="N4:N23" si="0">IF(ISERROR(AVERAGE(L4:M4)*K4/10000),0,AVERAGE(L4:M4)*K4/10000*2)</f>
        <v>0</v>
      </c>
      <c r="P4" s="209" t="s">
        <v>1</v>
      </c>
      <c r="Q4" s="205"/>
      <c r="R4" s="216" t="s">
        <v>277</v>
      </c>
      <c r="AC4" t="s">
        <v>95</v>
      </c>
      <c r="AD4" t="s">
        <v>159</v>
      </c>
      <c r="AE4" t="s">
        <v>6</v>
      </c>
    </row>
    <row r="5" spans="2:33" x14ac:dyDescent="0.3">
      <c r="B5" s="206">
        <v>2</v>
      </c>
      <c r="C5" s="193"/>
      <c r="E5" s="206">
        <v>2</v>
      </c>
      <c r="F5" s="228"/>
      <c r="G5" s="193"/>
      <c r="H5">
        <f t="shared" ref="H5:H63" si="1">SUM(F5:G5)*2*$Q$8/10000</f>
        <v>0</v>
      </c>
      <c r="J5" s="207">
        <v>2</v>
      </c>
      <c r="K5" s="190"/>
      <c r="L5" s="190"/>
      <c r="M5" s="194"/>
      <c r="N5">
        <f t="shared" si="0"/>
        <v>0</v>
      </c>
      <c r="P5" s="207" t="s">
        <v>290</v>
      </c>
      <c r="Q5" s="250"/>
      <c r="R5" s="246" t="s">
        <v>317</v>
      </c>
      <c r="AC5" t="s">
        <v>96</v>
      </c>
      <c r="AD5" t="s">
        <v>161</v>
      </c>
      <c r="AE5" t="s">
        <v>317</v>
      </c>
    </row>
    <row r="6" spans="2:33" x14ac:dyDescent="0.3">
      <c r="B6" s="206">
        <v>3</v>
      </c>
      <c r="C6" s="193"/>
      <c r="E6" s="206">
        <v>3</v>
      </c>
      <c r="F6" s="228"/>
      <c r="G6" s="193"/>
      <c r="H6">
        <f t="shared" si="1"/>
        <v>0</v>
      </c>
      <c r="J6" s="207">
        <v>3</v>
      </c>
      <c r="K6" s="190"/>
      <c r="L6" s="190"/>
      <c r="M6" s="194"/>
      <c r="N6">
        <f t="shared" si="0"/>
        <v>0</v>
      </c>
      <c r="P6" s="207" t="s">
        <v>91</v>
      </c>
      <c r="Q6" s="199"/>
      <c r="R6" s="216" t="s">
        <v>92</v>
      </c>
      <c r="AC6" t="s">
        <v>97</v>
      </c>
      <c r="AD6" t="s">
        <v>163</v>
      </c>
    </row>
    <row r="7" spans="2:33" x14ac:dyDescent="0.3">
      <c r="B7" s="206">
        <v>4</v>
      </c>
      <c r="C7" s="193"/>
      <c r="E7" s="206">
        <v>4</v>
      </c>
      <c r="F7" s="228"/>
      <c r="G7" s="193"/>
      <c r="H7">
        <f t="shared" si="1"/>
        <v>0</v>
      </c>
      <c r="J7" s="207">
        <v>4</v>
      </c>
      <c r="K7" s="190"/>
      <c r="L7" s="190"/>
      <c r="M7" s="194"/>
      <c r="N7">
        <f t="shared" si="0"/>
        <v>0</v>
      </c>
      <c r="P7" s="207" t="s">
        <v>93</v>
      </c>
      <c r="Q7" s="199"/>
      <c r="R7" s="216" t="s">
        <v>92</v>
      </c>
      <c r="AC7" t="s">
        <v>98</v>
      </c>
      <c r="AD7" t="s">
        <v>165</v>
      </c>
    </row>
    <row r="8" spans="2:33" x14ac:dyDescent="0.3">
      <c r="B8" s="206">
        <v>5</v>
      </c>
      <c r="C8" s="194"/>
      <c r="E8" s="206">
        <v>5</v>
      </c>
      <c r="F8" s="228"/>
      <c r="G8" s="193"/>
      <c r="H8">
        <f t="shared" si="1"/>
        <v>0</v>
      </c>
      <c r="J8" s="207">
        <v>5</v>
      </c>
      <c r="K8" s="190"/>
      <c r="L8" s="190"/>
      <c r="M8" s="194"/>
      <c r="N8">
        <f t="shared" si="0"/>
        <v>0</v>
      </c>
      <c r="P8" s="207" t="s">
        <v>219</v>
      </c>
      <c r="Q8" s="199"/>
      <c r="R8" s="216" t="s">
        <v>92</v>
      </c>
      <c r="AC8" t="s">
        <v>96</v>
      </c>
    </row>
    <row r="9" spans="2:33" x14ac:dyDescent="0.3">
      <c r="B9" s="206">
        <v>6</v>
      </c>
      <c r="C9" s="194"/>
      <c r="E9" s="206">
        <v>6</v>
      </c>
      <c r="F9" s="228"/>
      <c r="G9" s="193"/>
      <c r="H9">
        <f t="shared" si="1"/>
        <v>0</v>
      </c>
      <c r="J9" s="207">
        <v>6</v>
      </c>
      <c r="K9" s="190"/>
      <c r="L9" s="190"/>
      <c r="M9" s="194"/>
      <c r="N9">
        <f t="shared" si="0"/>
        <v>0</v>
      </c>
      <c r="P9" s="207" t="s">
        <v>3</v>
      </c>
      <c r="Q9" s="199"/>
      <c r="R9" s="216" t="s">
        <v>4</v>
      </c>
      <c r="AC9" t="s">
        <v>225</v>
      </c>
    </row>
    <row r="10" spans="2:33" x14ac:dyDescent="0.3">
      <c r="B10" s="206">
        <v>7</v>
      </c>
      <c r="C10" s="194"/>
      <c r="E10" s="206">
        <v>7</v>
      </c>
      <c r="F10" s="228"/>
      <c r="G10" s="193"/>
      <c r="H10">
        <f t="shared" si="1"/>
        <v>0</v>
      </c>
      <c r="J10" s="207">
        <v>7</v>
      </c>
      <c r="K10" s="190"/>
      <c r="L10" s="190"/>
      <c r="M10" s="194"/>
      <c r="N10">
        <f t="shared" si="0"/>
        <v>0</v>
      </c>
      <c r="P10" s="207" t="s">
        <v>0</v>
      </c>
      <c r="Q10" s="198" t="s">
        <v>95</v>
      </c>
      <c r="R10" s="223"/>
      <c r="AC10" t="s">
        <v>226</v>
      </c>
    </row>
    <row r="11" spans="2:33" x14ac:dyDescent="0.3">
      <c r="B11" s="206">
        <v>8</v>
      </c>
      <c r="C11" s="194"/>
      <c r="E11" s="206">
        <v>8</v>
      </c>
      <c r="F11" s="228"/>
      <c r="G11" s="193"/>
      <c r="H11">
        <f t="shared" si="1"/>
        <v>0</v>
      </c>
      <c r="J11" s="207">
        <v>8</v>
      </c>
      <c r="K11" s="190"/>
      <c r="L11" s="190"/>
      <c r="M11" s="194"/>
      <c r="N11">
        <f t="shared" si="0"/>
        <v>0</v>
      </c>
      <c r="P11" s="207" t="s">
        <v>2</v>
      </c>
      <c r="Q11" s="198" t="s">
        <v>96</v>
      </c>
      <c r="R11" s="223"/>
    </row>
    <row r="12" spans="2:33" x14ac:dyDescent="0.3">
      <c r="B12" s="206">
        <v>9</v>
      </c>
      <c r="C12" s="194"/>
      <c r="E12" s="206">
        <v>9</v>
      </c>
      <c r="F12" s="228"/>
      <c r="G12" s="193"/>
      <c r="H12">
        <f t="shared" si="1"/>
        <v>0</v>
      </c>
      <c r="J12" s="207">
        <v>9</v>
      </c>
      <c r="K12" s="190"/>
      <c r="L12" s="190"/>
      <c r="M12" s="194"/>
      <c r="N12">
        <f t="shared" si="0"/>
        <v>0</v>
      </c>
      <c r="P12" s="207" t="s">
        <v>87</v>
      </c>
      <c r="Q12" s="198" t="s">
        <v>96</v>
      </c>
      <c r="R12" s="223"/>
    </row>
    <row r="13" spans="2:33" x14ac:dyDescent="0.3">
      <c r="B13" s="206">
        <v>10</v>
      </c>
      <c r="C13" s="194"/>
      <c r="E13" s="206">
        <v>10</v>
      </c>
      <c r="F13" s="228"/>
      <c r="G13" s="193"/>
      <c r="H13">
        <f t="shared" si="1"/>
        <v>0</v>
      </c>
      <c r="J13" s="207">
        <v>10</v>
      </c>
      <c r="K13" s="190"/>
      <c r="L13" s="190"/>
      <c r="M13" s="194"/>
      <c r="N13">
        <f t="shared" si="0"/>
        <v>0</v>
      </c>
      <c r="P13" s="207" t="s">
        <v>284</v>
      </c>
      <c r="Q13" s="245"/>
      <c r="R13" s="223"/>
    </row>
    <row r="14" spans="2:33" ht="15" thickBot="1" x14ac:dyDescent="0.35">
      <c r="B14" s="206">
        <v>11</v>
      </c>
      <c r="C14" s="194"/>
      <c r="E14" s="206">
        <v>11</v>
      </c>
      <c r="F14" s="228"/>
      <c r="G14" s="193"/>
      <c r="H14">
        <f t="shared" si="1"/>
        <v>0</v>
      </c>
      <c r="J14" s="207">
        <v>11</v>
      </c>
      <c r="K14" s="187"/>
      <c r="L14" s="187"/>
      <c r="M14" s="193"/>
      <c r="N14">
        <f t="shared" si="0"/>
        <v>0</v>
      </c>
      <c r="P14" s="208" t="s">
        <v>224</v>
      </c>
      <c r="Q14" s="225"/>
      <c r="R14" s="224"/>
      <c r="V14" t="s">
        <v>220</v>
      </c>
      <c r="W14" t="s">
        <v>221</v>
      </c>
      <c r="X14" t="s">
        <v>222</v>
      </c>
      <c r="Y14" t="s">
        <v>223</v>
      </c>
      <c r="Z14" t="s">
        <v>37</v>
      </c>
    </row>
    <row r="15" spans="2:33" ht="15" thickBot="1" x14ac:dyDescent="0.35">
      <c r="B15" s="206">
        <v>12</v>
      </c>
      <c r="C15" s="194"/>
      <c r="E15" s="206">
        <v>12</v>
      </c>
      <c r="F15" s="228"/>
      <c r="G15" s="193"/>
      <c r="H15">
        <f t="shared" si="1"/>
        <v>0</v>
      </c>
      <c r="J15" s="207">
        <v>12</v>
      </c>
      <c r="K15" s="187"/>
      <c r="L15" s="187"/>
      <c r="M15" s="193"/>
      <c r="N15">
        <f t="shared" si="0"/>
        <v>0</v>
      </c>
      <c r="V15">
        <f>Q6+Q7</f>
        <v>0</v>
      </c>
      <c r="W15">
        <f>ROUNDUP(IF(C4&gt;0,(SUM(C4:C63)*(Q6+Q7)/10000)*2,Q4*IF(Q10="SI",4.8,3.8))-(SUM(F4:F63)*(Q6+Q7)/10000*2)+(SUM(Hoja2!CB4:CD129)/10000),1)</f>
        <v>0</v>
      </c>
      <c r="X15">
        <f>Q4*2</f>
        <v>0</v>
      </c>
      <c r="Y15">
        <f>Q4*2</f>
        <v>0</v>
      </c>
    </row>
    <row r="16" spans="2:33" x14ac:dyDescent="0.3">
      <c r="B16" s="206">
        <v>13</v>
      </c>
      <c r="C16" s="194"/>
      <c r="E16" s="206">
        <v>13</v>
      </c>
      <c r="F16" s="228"/>
      <c r="G16" s="193"/>
      <c r="H16">
        <f t="shared" si="1"/>
        <v>0</v>
      </c>
      <c r="J16" s="207">
        <v>13</v>
      </c>
      <c r="K16" s="190"/>
      <c r="L16" s="190"/>
      <c r="M16" s="194"/>
      <c r="N16">
        <f t="shared" si="0"/>
        <v>0</v>
      </c>
      <c r="P16" s="210" t="s">
        <v>5</v>
      </c>
      <c r="Q16" s="213">
        <f>ROUNDUP(IF(C4&gt;0,(SUM(C4:C63)*(Q6+IF(Q10="SI",Q7,10))/10000)*2+IF(Q10="si",Q4,0),Q4*IF(Q10="SI",4.8,3.8))+SUM(H4:H63)-(SUMPRODUCT(F4:F63,G4:G63)/10000*2),1)</f>
        <v>0</v>
      </c>
      <c r="R16" s="214" t="s">
        <v>277</v>
      </c>
      <c r="V16">
        <f>ROUNDUP(V15/30,0)</f>
        <v>0</v>
      </c>
      <c r="AF16">
        <f>Q16</f>
        <v>0</v>
      </c>
      <c r="AG16" t="s">
        <v>298</v>
      </c>
    </row>
    <row r="17" spans="2:35" ht="14.4" customHeight="1" x14ac:dyDescent="0.3">
      <c r="B17" s="206">
        <v>14</v>
      </c>
      <c r="C17" s="194"/>
      <c r="E17" s="206">
        <v>14</v>
      </c>
      <c r="F17" s="228"/>
      <c r="G17" s="193"/>
      <c r="H17">
        <f t="shared" si="1"/>
        <v>0</v>
      </c>
      <c r="J17" s="207">
        <v>14</v>
      </c>
      <c r="K17" s="190"/>
      <c r="L17" s="190"/>
      <c r="M17" s="194"/>
      <c r="N17">
        <f t="shared" si="0"/>
        <v>0</v>
      </c>
      <c r="P17" s="211" t="s">
        <v>280</v>
      </c>
      <c r="Q17" s="251">
        <f>ROUNDUP(SUM(N4:N37),1)</f>
        <v>0</v>
      </c>
      <c r="R17" s="216" t="s">
        <v>277</v>
      </c>
      <c r="V17">
        <f>ROUNDUP(SUM(C4:C63)/60,0)</f>
        <v>0</v>
      </c>
      <c r="AD17" t="s">
        <v>295</v>
      </c>
      <c r="AE17" t="s">
        <v>94</v>
      </c>
      <c r="AF17">
        <f>SUM(AF18:AF136)</f>
        <v>0</v>
      </c>
      <c r="AG17" t="s">
        <v>291</v>
      </c>
      <c r="AI17">
        <f>SUM(AI18:AI136)</f>
        <v>8.0357262294170256E-2</v>
      </c>
    </row>
    <row r="18" spans="2:35" x14ac:dyDescent="0.3">
      <c r="B18" s="206">
        <v>15</v>
      </c>
      <c r="C18" s="194"/>
      <c r="E18" s="206">
        <v>15</v>
      </c>
      <c r="F18" s="228"/>
      <c r="G18" s="193"/>
      <c r="H18">
        <f t="shared" si="1"/>
        <v>0</v>
      </c>
      <c r="J18" s="207">
        <v>15</v>
      </c>
      <c r="K18" s="190"/>
      <c r="L18" s="190"/>
      <c r="M18" s="194"/>
      <c r="N18">
        <f t="shared" si="0"/>
        <v>0</v>
      </c>
      <c r="P18" s="211" t="s">
        <v>2</v>
      </c>
      <c r="Q18" s="251">
        <f>IF(ISERROR(Q22/Q5),0,Q22/Q5)</f>
        <v>0</v>
      </c>
      <c r="R18" s="216" t="s">
        <v>277</v>
      </c>
      <c r="V18">
        <f>V17*V16*1.1</f>
        <v>0</v>
      </c>
      <c r="AA18">
        <v>4571</v>
      </c>
      <c r="AB18" t="s">
        <v>10</v>
      </c>
      <c r="AC18">
        <v>0.18583984208294502</v>
      </c>
      <c r="AD18">
        <v>1.6</v>
      </c>
      <c r="AE18">
        <f t="shared" ref="AE18:AE80" si="2">ROUNDUP($AF$16*AC18,0)</f>
        <v>0</v>
      </c>
      <c r="AF18">
        <f>AE18*AD18</f>
        <v>0</v>
      </c>
      <c r="AH18">
        <v>2.5000000000000001E-2</v>
      </c>
      <c r="AI18">
        <f>AH18*AE18</f>
        <v>0</v>
      </c>
    </row>
    <row r="19" spans="2:35" ht="15" thickBot="1" x14ac:dyDescent="0.35">
      <c r="B19" s="206">
        <v>16</v>
      </c>
      <c r="C19" s="194"/>
      <c r="E19" s="206">
        <v>16</v>
      </c>
      <c r="F19" s="228"/>
      <c r="G19" s="193"/>
      <c r="H19">
        <f t="shared" si="1"/>
        <v>0</v>
      </c>
      <c r="J19" s="207">
        <v>16</v>
      </c>
      <c r="K19" s="190"/>
      <c r="L19" s="190"/>
      <c r="M19" s="194"/>
      <c r="N19">
        <f t="shared" si="0"/>
        <v>0</v>
      </c>
      <c r="P19" s="211" t="s">
        <v>7</v>
      </c>
      <c r="Q19" s="217">
        <f>Q16*Q5</f>
        <v>0</v>
      </c>
      <c r="R19" s="216" t="str">
        <f>R5</f>
        <v>pesos</v>
      </c>
      <c r="V19">
        <f>V18*Q9</f>
        <v>0</v>
      </c>
      <c r="AA19">
        <v>3635</v>
      </c>
      <c r="AB19" t="s">
        <v>11</v>
      </c>
      <c r="AC19">
        <v>1.4449657205151463E-2</v>
      </c>
      <c r="AD19">
        <v>6.7</v>
      </c>
      <c r="AE19">
        <f t="shared" si="2"/>
        <v>0</v>
      </c>
      <c r="AF19">
        <f t="shared" ref="AF19:AF88" si="3">AE19*AD19</f>
        <v>0</v>
      </c>
      <c r="AH19">
        <v>2.5000000000000001E-2</v>
      </c>
      <c r="AI19">
        <f t="shared" ref="AI19:AI88" si="4">AH19*AE19</f>
        <v>0</v>
      </c>
    </row>
    <row r="20" spans="2:35" ht="15" thickBot="1" x14ac:dyDescent="0.35">
      <c r="B20" s="206">
        <v>17</v>
      </c>
      <c r="C20" s="194"/>
      <c r="E20" s="206">
        <v>17</v>
      </c>
      <c r="F20" s="228"/>
      <c r="G20" s="193"/>
      <c r="H20">
        <f t="shared" si="1"/>
        <v>0</v>
      </c>
      <c r="J20" s="207">
        <v>17</v>
      </c>
      <c r="K20" s="190"/>
      <c r="L20" s="190"/>
      <c r="M20" s="194"/>
      <c r="N20">
        <f t="shared" si="0"/>
        <v>0</v>
      </c>
      <c r="P20" s="211" t="s">
        <v>281</v>
      </c>
      <c r="Q20" s="217">
        <f>Q17*Q5</f>
        <v>0</v>
      </c>
      <c r="R20" s="216" t="str">
        <f>R5</f>
        <v>pesos</v>
      </c>
      <c r="U20" s="220" t="s">
        <v>293</v>
      </c>
      <c r="V20" s="221">
        <f>ROUNDUP(IF(OR(Q8=8,Q8=10,Q8=12,Q8=15),V19/IF(Q8=8,6110,IF(Q8=10,5000,IF(Q8=12,4231,IF(Q8=15,3438,0)))),V19*Q8/550/100),0)</f>
        <v>0</v>
      </c>
      <c r="W20" s="221" t="e">
        <f>ROUNDUP(W15*2*Q9/IF(Q8=8,3500,IF(Q8=10,1800,IF(Q8=12,1200,IF(Q8=15,700,0)))),0)</f>
        <v>#DIV/0!</v>
      </c>
      <c r="X20" s="221">
        <f>ROUNDUP(X15*Q9/4000,0)</f>
        <v>0</v>
      </c>
      <c r="Y20" s="221">
        <f>ROUNDUP(IF(Q7=10,Y15*Q9/4000,0),0)</f>
        <v>0</v>
      </c>
      <c r="Z20" s="222">
        <f>ROUNDUP((Q16/3000)*(Q9/5),0)</f>
        <v>0</v>
      </c>
      <c r="AA20">
        <v>948</v>
      </c>
      <c r="AB20" t="s">
        <v>12</v>
      </c>
      <c r="AC20">
        <v>2.1674485807727191E-2</v>
      </c>
      <c r="AD20">
        <v>1.45</v>
      </c>
      <c r="AE20">
        <f t="shared" si="2"/>
        <v>0</v>
      </c>
      <c r="AF20">
        <f t="shared" si="3"/>
        <v>0</v>
      </c>
      <c r="AI20">
        <f t="shared" si="4"/>
        <v>0</v>
      </c>
    </row>
    <row r="21" spans="2:35" ht="15" thickBot="1" x14ac:dyDescent="0.35">
      <c r="B21" s="206">
        <v>18</v>
      </c>
      <c r="C21" s="194"/>
      <c r="E21" s="206">
        <v>18</v>
      </c>
      <c r="F21" s="228"/>
      <c r="G21" s="193"/>
      <c r="H21">
        <f t="shared" si="1"/>
        <v>0</v>
      </c>
      <c r="J21" s="207">
        <v>18</v>
      </c>
      <c r="K21" s="190"/>
      <c r="L21" s="190"/>
      <c r="M21" s="194"/>
      <c r="N21">
        <f t="shared" si="0"/>
        <v>0</v>
      </c>
      <c r="P21" s="211" t="s">
        <v>8</v>
      </c>
      <c r="Q21" s="217">
        <f>ROUNDUP(IF(ISERROR(SUM(V21:Z21)),0,SUM(V21:Z21)),1)</f>
        <v>0</v>
      </c>
      <c r="R21" s="216" t="str">
        <f>R5</f>
        <v>pesos</v>
      </c>
      <c r="U21" s="220" t="s">
        <v>292</v>
      </c>
      <c r="V21" s="221">
        <f>V20*IF(OR(Q8=8,Q8=10,Q8=12,Q8=15),59.62,54)</f>
        <v>0</v>
      </c>
      <c r="W21" s="221" t="e">
        <f>W20*IF(Q8=8,3500,IF(Q8=10,1800,IF(Q8=12,1200,IF(Q8=15,700,0))))*IF(R5="dolares",IF(Q8=8,0.06,IF(Q8=10,0.07,IF(Q8=12,0.11,IF(Q8=15,0.15,0)))),IF(Q8=8,120,IF(Q8=10,149,IF(Q8=12,221,IF(Q8=15,303,0)))))</f>
        <v>#DIV/0!</v>
      </c>
      <c r="X21" s="221">
        <f>X20*4000*IF(R5="dolares",0.06,128)</f>
        <v>0</v>
      </c>
      <c r="Y21" s="221">
        <f>Y20*1500*IF(R5="dolares",0.1,200)</f>
        <v>0</v>
      </c>
      <c r="Z21" s="222">
        <f>Z20*IF(R5="dolares",253.8,495000)</f>
        <v>0</v>
      </c>
      <c r="AA21">
        <v>4572</v>
      </c>
      <c r="AB21" t="s">
        <v>13</v>
      </c>
      <c r="AC21">
        <v>2.1721211457913945E-3</v>
      </c>
      <c r="AE21">
        <f t="shared" si="2"/>
        <v>0</v>
      </c>
      <c r="AF21">
        <f t="shared" si="3"/>
        <v>0</v>
      </c>
      <c r="AI21">
        <f t="shared" si="4"/>
        <v>0</v>
      </c>
    </row>
    <row r="22" spans="2:35" ht="15" thickBot="1" x14ac:dyDescent="0.35">
      <c r="B22" s="206">
        <v>19</v>
      </c>
      <c r="C22" s="194"/>
      <c r="E22" s="206">
        <v>19</v>
      </c>
      <c r="F22" s="228"/>
      <c r="G22" s="193"/>
      <c r="H22">
        <f t="shared" si="1"/>
        <v>0</v>
      </c>
      <c r="J22" s="207">
        <v>19</v>
      </c>
      <c r="K22" s="190"/>
      <c r="L22" s="190"/>
      <c r="M22" s="194"/>
      <c r="N22">
        <f t="shared" si="0"/>
        <v>0</v>
      </c>
      <c r="P22" s="211" t="s">
        <v>9</v>
      </c>
      <c r="Q22" s="217">
        <f>ROUNDUP((SUM(Hoja2!CE14:CE24)+IF(Q11="monolitica",((L40+L41)*2+L42)*Q6*2+L40*L42,0))/10000*Q5,1)</f>
        <v>0</v>
      </c>
      <c r="R22" s="216" t="str">
        <f>R5</f>
        <v>pesos</v>
      </c>
      <c r="U22" s="220" t="s">
        <v>294</v>
      </c>
      <c r="V22" s="221">
        <f>V20*4.8</f>
        <v>0</v>
      </c>
      <c r="W22" s="221" t="e">
        <f>W20*700*0.03</f>
        <v>#DIV/0!</v>
      </c>
      <c r="X22" s="221">
        <f>X20*4000*0.01</f>
        <v>0</v>
      </c>
      <c r="Y22" s="221">
        <f>Y20*1500*0.01</f>
        <v>0</v>
      </c>
      <c r="Z22" s="222">
        <f>Z20*11</f>
        <v>0</v>
      </c>
      <c r="AA22">
        <v>922</v>
      </c>
      <c r="AB22" t="s">
        <v>14</v>
      </c>
      <c r="AC22">
        <v>0.49571576851557797</v>
      </c>
      <c r="AD22">
        <v>0.38</v>
      </c>
      <c r="AE22">
        <f t="shared" si="2"/>
        <v>0</v>
      </c>
      <c r="AF22">
        <f t="shared" si="3"/>
        <v>0</v>
      </c>
      <c r="AI22">
        <f t="shared" si="4"/>
        <v>0</v>
      </c>
    </row>
    <row r="23" spans="2:35" ht="15" thickBot="1" x14ac:dyDescent="0.35">
      <c r="B23" s="206">
        <v>20</v>
      </c>
      <c r="C23" s="229"/>
      <c r="E23" s="206">
        <v>20</v>
      </c>
      <c r="F23" s="228"/>
      <c r="G23" s="193"/>
      <c r="H23">
        <f t="shared" si="1"/>
        <v>0</v>
      </c>
      <c r="J23" s="207">
        <v>20</v>
      </c>
      <c r="K23" s="190"/>
      <c r="L23" s="190"/>
      <c r="M23" s="194"/>
      <c r="N23">
        <f t="shared" si="0"/>
        <v>0</v>
      </c>
      <c r="P23" s="212" t="s">
        <v>88</v>
      </c>
      <c r="Q23" s="219">
        <f>IF(Q12="NO",0,IF(Q13&lt;=((1/Q14)*2),0,ROUNDUP(SQRT(Q4)*IF(Q14=1,4,IF(Q14&gt;=2,ROUNDUP(Q14/2,0)*2+8,0))*(IF(Q14=1,IF(Q13&lt;=2,0,Q13-2),0)+IF(Q14=2,IF(Q13&lt;=1,0,Q13-1),0)+IF(Q14&gt;2,Q13-(2/Q14),0))*IF(R5="dolares",'Valor MTL sistema de seguridad'!D4,'Valor MTL sistema de seguridad'!C4),1))+ROUNDUP(SQRT(Q4)*IF(Q14=1,4,IF(Q14&gt;=2,ROUNDUP(Q14/2,0)*2+8,0))*Q13*IF(Q12="PAS PLAT GUARD",IF(R5="dolares",'Valor MTL sistema de seguridad'!D5+'Valor MTL sistema de seguridad'!D6,'Valor MTL sistema de seguridad'!C5+'Valor MTL sistema de seguridad'!C6),0),1)+IF(Q12="PAS PLAT GUARD",SQRT(Q4)*IF(Q14=1,4,3)*IF(R5="dolares",'Valor MTL sistema de seguridad'!D7,'Valor MTL sistema de seguridad'!C7),0))</f>
        <v>0</v>
      </c>
      <c r="R23" s="218" t="str">
        <f>R5</f>
        <v>pesos</v>
      </c>
      <c r="U23" s="230"/>
      <c r="V23" s="230"/>
      <c r="W23" s="230"/>
      <c r="X23" s="230"/>
      <c r="Y23" s="230"/>
      <c r="Z23" s="230"/>
    </row>
    <row r="24" spans="2:35" x14ac:dyDescent="0.3">
      <c r="B24" s="206">
        <v>21</v>
      </c>
      <c r="C24" s="229"/>
      <c r="E24" s="206">
        <v>21</v>
      </c>
      <c r="F24" s="228"/>
      <c r="G24" s="193"/>
      <c r="H24">
        <f t="shared" si="1"/>
        <v>0</v>
      </c>
      <c r="J24" s="207">
        <v>21</v>
      </c>
      <c r="K24" s="190"/>
      <c r="L24" s="190"/>
      <c r="M24" s="194"/>
      <c r="N24">
        <f t="shared" ref="N24:N37" si="5">IF(ISERROR(AVERAGE(L24:M24)*K24/10000),0,AVERAGE(L24:M24)*K24/10000*2)</f>
        <v>0</v>
      </c>
      <c r="U24" s="230"/>
      <c r="V24" s="230"/>
      <c r="W24" s="230"/>
      <c r="X24" s="230"/>
      <c r="Y24" s="230"/>
      <c r="Z24" s="230"/>
    </row>
    <row r="25" spans="2:35" x14ac:dyDescent="0.3">
      <c r="B25" s="206">
        <v>22</v>
      </c>
      <c r="C25" s="229"/>
      <c r="E25" s="206">
        <v>22</v>
      </c>
      <c r="F25" s="228"/>
      <c r="G25" s="193"/>
      <c r="H25">
        <f t="shared" si="1"/>
        <v>0</v>
      </c>
      <c r="J25" s="207">
        <v>22</v>
      </c>
      <c r="K25" s="190"/>
      <c r="L25" s="190"/>
      <c r="M25" s="194"/>
      <c r="N25">
        <f t="shared" si="5"/>
        <v>0</v>
      </c>
      <c r="U25" s="230"/>
      <c r="V25" s="230"/>
      <c r="W25" s="230"/>
      <c r="X25" s="230"/>
      <c r="Y25" s="230"/>
      <c r="Z25" s="230"/>
    </row>
    <row r="26" spans="2:35" x14ac:dyDescent="0.3">
      <c r="B26" s="206">
        <v>23</v>
      </c>
      <c r="C26" s="229"/>
      <c r="E26" s="206">
        <v>23</v>
      </c>
      <c r="F26" s="228"/>
      <c r="G26" s="193"/>
      <c r="H26">
        <f t="shared" si="1"/>
        <v>0</v>
      </c>
      <c r="J26" s="207">
        <v>23</v>
      </c>
      <c r="K26" s="190"/>
      <c r="L26" s="190"/>
      <c r="M26" s="194"/>
      <c r="N26">
        <f t="shared" si="5"/>
        <v>0</v>
      </c>
      <c r="U26" s="230"/>
      <c r="V26" s="230"/>
      <c r="W26" s="230"/>
      <c r="X26" s="230"/>
      <c r="Y26" s="230"/>
      <c r="Z26" s="230"/>
    </row>
    <row r="27" spans="2:35" x14ac:dyDescent="0.3">
      <c r="B27" s="206">
        <v>24</v>
      </c>
      <c r="C27" s="229"/>
      <c r="E27" s="206">
        <v>24</v>
      </c>
      <c r="F27" s="228"/>
      <c r="G27" s="193"/>
      <c r="H27">
        <f t="shared" si="1"/>
        <v>0</v>
      </c>
      <c r="J27" s="207">
        <v>24</v>
      </c>
      <c r="K27" s="190"/>
      <c r="L27" s="190"/>
      <c r="M27" s="194"/>
      <c r="N27">
        <f t="shared" si="5"/>
        <v>0</v>
      </c>
      <c r="U27" s="230"/>
      <c r="V27" s="230"/>
      <c r="W27" s="230"/>
      <c r="X27" s="230"/>
      <c r="Y27" s="230"/>
      <c r="Z27" s="230"/>
    </row>
    <row r="28" spans="2:35" x14ac:dyDescent="0.3">
      <c r="B28" s="206">
        <v>25</v>
      </c>
      <c r="C28" s="229"/>
      <c r="E28" s="206">
        <v>25</v>
      </c>
      <c r="F28" s="228"/>
      <c r="G28" s="193"/>
      <c r="H28">
        <f t="shared" si="1"/>
        <v>0</v>
      </c>
      <c r="J28" s="207">
        <v>25</v>
      </c>
      <c r="K28" s="190"/>
      <c r="L28" s="190"/>
      <c r="M28" s="194"/>
      <c r="N28">
        <f t="shared" si="5"/>
        <v>0</v>
      </c>
      <c r="U28" s="230"/>
      <c r="V28" s="230"/>
      <c r="W28" s="230"/>
      <c r="X28" s="230"/>
      <c r="Y28" s="230"/>
      <c r="Z28" s="230"/>
    </row>
    <row r="29" spans="2:35" x14ac:dyDescent="0.3">
      <c r="B29" s="206">
        <v>26</v>
      </c>
      <c r="C29" s="229"/>
      <c r="E29" s="206">
        <v>26</v>
      </c>
      <c r="F29" s="228"/>
      <c r="G29" s="193"/>
      <c r="H29">
        <f t="shared" si="1"/>
        <v>0</v>
      </c>
      <c r="J29" s="207">
        <v>26</v>
      </c>
      <c r="K29" s="190"/>
      <c r="L29" s="190"/>
      <c r="M29" s="194"/>
      <c r="N29">
        <f t="shared" si="5"/>
        <v>0</v>
      </c>
      <c r="U29" s="230"/>
      <c r="V29" s="230"/>
      <c r="W29" s="230"/>
      <c r="X29" s="230"/>
      <c r="Y29" s="230"/>
      <c r="Z29" s="230"/>
    </row>
    <row r="30" spans="2:35" x14ac:dyDescent="0.3">
      <c r="B30" s="206">
        <v>27</v>
      </c>
      <c r="C30" s="229"/>
      <c r="E30" s="206">
        <v>27</v>
      </c>
      <c r="F30" s="228"/>
      <c r="G30" s="193"/>
      <c r="H30">
        <f t="shared" si="1"/>
        <v>0</v>
      </c>
      <c r="J30" s="207">
        <v>27</v>
      </c>
      <c r="K30" s="190"/>
      <c r="L30" s="190"/>
      <c r="M30" s="194"/>
      <c r="N30">
        <f t="shared" si="5"/>
        <v>0</v>
      </c>
      <c r="U30" s="230"/>
      <c r="V30" s="230"/>
      <c r="W30" s="230"/>
      <c r="X30" s="230"/>
      <c r="Y30" s="230"/>
      <c r="Z30" s="230"/>
    </row>
    <row r="31" spans="2:35" x14ac:dyDescent="0.3">
      <c r="B31" s="206">
        <v>28</v>
      </c>
      <c r="C31" s="229"/>
      <c r="E31" s="206">
        <v>28</v>
      </c>
      <c r="F31" s="228"/>
      <c r="G31" s="193"/>
      <c r="H31">
        <f t="shared" si="1"/>
        <v>0</v>
      </c>
      <c r="J31" s="207">
        <v>28</v>
      </c>
      <c r="K31" s="190"/>
      <c r="L31" s="190"/>
      <c r="M31" s="194"/>
      <c r="N31">
        <f t="shared" si="5"/>
        <v>0</v>
      </c>
      <c r="U31" s="230"/>
      <c r="V31" s="230"/>
      <c r="W31" s="230"/>
      <c r="X31" s="230"/>
      <c r="Y31" s="230"/>
      <c r="Z31" s="230"/>
    </row>
    <row r="32" spans="2:35" x14ac:dyDescent="0.3">
      <c r="B32" s="206">
        <v>29</v>
      </c>
      <c r="C32" s="229"/>
      <c r="E32" s="206">
        <v>29</v>
      </c>
      <c r="F32" s="228"/>
      <c r="G32" s="193"/>
      <c r="H32">
        <f t="shared" si="1"/>
        <v>0</v>
      </c>
      <c r="J32" s="207">
        <v>29</v>
      </c>
      <c r="K32" s="190"/>
      <c r="L32" s="190"/>
      <c r="M32" s="194"/>
      <c r="N32">
        <f t="shared" si="5"/>
        <v>0</v>
      </c>
      <c r="U32" s="230"/>
      <c r="V32" s="230"/>
      <c r="W32" s="230"/>
      <c r="X32" s="230"/>
      <c r="Y32" s="230"/>
      <c r="Z32" s="230"/>
    </row>
    <row r="33" spans="2:26" x14ac:dyDescent="0.3">
      <c r="B33" s="206">
        <v>30</v>
      </c>
      <c r="C33" s="229"/>
      <c r="E33" s="206">
        <v>30</v>
      </c>
      <c r="F33" s="228"/>
      <c r="G33" s="193"/>
      <c r="H33">
        <f t="shared" si="1"/>
        <v>0</v>
      </c>
      <c r="J33" s="207">
        <v>30</v>
      </c>
      <c r="K33" s="190"/>
      <c r="L33" s="190"/>
      <c r="M33" s="194"/>
      <c r="N33">
        <f t="shared" si="5"/>
        <v>0</v>
      </c>
      <c r="U33" s="230"/>
      <c r="V33" s="230"/>
      <c r="W33" s="230"/>
      <c r="X33" s="230"/>
      <c r="Y33" s="230"/>
      <c r="Z33" s="230"/>
    </row>
    <row r="34" spans="2:26" x14ac:dyDescent="0.3">
      <c r="B34" s="206">
        <v>31</v>
      </c>
      <c r="C34" s="229"/>
      <c r="E34" s="206">
        <v>31</v>
      </c>
      <c r="F34" s="228"/>
      <c r="G34" s="193"/>
      <c r="H34">
        <f t="shared" si="1"/>
        <v>0</v>
      </c>
      <c r="J34" s="207">
        <v>31</v>
      </c>
      <c r="K34" s="190"/>
      <c r="L34" s="190"/>
      <c r="M34" s="194"/>
      <c r="N34">
        <f t="shared" si="5"/>
        <v>0</v>
      </c>
      <c r="U34" s="230"/>
      <c r="V34" s="230"/>
      <c r="W34" s="230"/>
      <c r="X34" s="230"/>
      <c r="Y34" s="230"/>
      <c r="Z34" s="230"/>
    </row>
    <row r="35" spans="2:26" x14ac:dyDescent="0.3">
      <c r="B35" s="206">
        <v>32</v>
      </c>
      <c r="C35" s="229"/>
      <c r="E35" s="206">
        <v>32</v>
      </c>
      <c r="F35" s="228"/>
      <c r="G35" s="193"/>
      <c r="H35">
        <f t="shared" si="1"/>
        <v>0</v>
      </c>
      <c r="J35" s="207">
        <v>32</v>
      </c>
      <c r="K35" s="190"/>
      <c r="L35" s="190"/>
      <c r="M35" s="194"/>
      <c r="N35">
        <f t="shared" si="5"/>
        <v>0</v>
      </c>
      <c r="U35" s="230"/>
      <c r="V35" s="230"/>
      <c r="W35" s="230"/>
      <c r="X35" s="230"/>
      <c r="Y35" s="230"/>
      <c r="Z35" s="230"/>
    </row>
    <row r="36" spans="2:26" x14ac:dyDescent="0.3">
      <c r="B36" s="206">
        <v>33</v>
      </c>
      <c r="C36" s="229"/>
      <c r="E36" s="206">
        <v>33</v>
      </c>
      <c r="F36" s="228"/>
      <c r="G36" s="193"/>
      <c r="H36">
        <f t="shared" si="1"/>
        <v>0</v>
      </c>
      <c r="J36" s="207">
        <v>33</v>
      </c>
      <c r="K36" s="190"/>
      <c r="L36" s="190"/>
      <c r="M36" s="194"/>
      <c r="N36">
        <f t="shared" si="5"/>
        <v>0</v>
      </c>
      <c r="U36" s="230"/>
      <c r="V36" s="230"/>
      <c r="W36" s="230"/>
      <c r="X36" s="230"/>
      <c r="Y36" s="230"/>
      <c r="Z36" s="230"/>
    </row>
    <row r="37" spans="2:26" ht="15" thickBot="1" x14ac:dyDescent="0.35">
      <c r="B37" s="206">
        <v>34</v>
      </c>
      <c r="C37" s="229"/>
      <c r="E37" s="206">
        <v>34</v>
      </c>
      <c r="F37" s="228"/>
      <c r="G37" s="193"/>
      <c r="H37">
        <f t="shared" si="1"/>
        <v>0</v>
      </c>
      <c r="J37" s="208">
        <v>34</v>
      </c>
      <c r="K37" s="196"/>
      <c r="L37" s="196"/>
      <c r="M37" s="197"/>
      <c r="N37">
        <f t="shared" si="5"/>
        <v>0</v>
      </c>
      <c r="U37" s="230"/>
      <c r="V37" s="230"/>
      <c r="W37" s="230"/>
      <c r="X37" s="230"/>
      <c r="Y37" s="230"/>
      <c r="Z37" s="230"/>
    </row>
    <row r="38" spans="2:26" ht="15" thickBot="1" x14ac:dyDescent="0.35">
      <c r="B38" s="206">
        <v>35</v>
      </c>
      <c r="C38" s="229"/>
      <c r="E38" s="206">
        <v>35</v>
      </c>
      <c r="F38" s="228"/>
      <c r="G38" s="193"/>
      <c r="H38">
        <f t="shared" si="1"/>
        <v>0</v>
      </c>
      <c r="K38" s="2"/>
      <c r="L38" s="2"/>
      <c r="M38" s="2"/>
      <c r="N38" s="2"/>
      <c r="U38" s="230"/>
      <c r="V38" s="230"/>
      <c r="W38" s="230"/>
      <c r="X38" s="230"/>
      <c r="Y38" s="230"/>
      <c r="Z38" s="230"/>
    </row>
    <row r="39" spans="2:26" x14ac:dyDescent="0.3">
      <c r="B39" s="206">
        <v>36</v>
      </c>
      <c r="C39" s="229"/>
      <c r="E39" s="206">
        <v>36</v>
      </c>
      <c r="F39" s="228"/>
      <c r="G39" s="193"/>
      <c r="H39">
        <f t="shared" si="1"/>
        <v>0</v>
      </c>
      <c r="J39" s="320" t="s">
        <v>215</v>
      </c>
      <c r="K39" s="321"/>
      <c r="L39" s="200"/>
      <c r="M39" s="201"/>
      <c r="N39" s="2"/>
      <c r="U39" s="230"/>
      <c r="V39" s="230"/>
      <c r="W39" s="230"/>
      <c r="X39" s="230"/>
      <c r="Y39" s="230"/>
      <c r="Z39" s="230"/>
    </row>
    <row r="40" spans="2:26" x14ac:dyDescent="0.3">
      <c r="B40" s="206">
        <v>37</v>
      </c>
      <c r="C40" s="229"/>
      <c r="E40" s="206">
        <v>37</v>
      </c>
      <c r="F40" s="228"/>
      <c r="G40" s="193"/>
      <c r="H40">
        <f t="shared" si="1"/>
        <v>0</v>
      </c>
      <c r="J40" s="313" t="s">
        <v>216</v>
      </c>
      <c r="K40" s="314"/>
      <c r="L40" s="199"/>
      <c r="M40" s="202" t="s">
        <v>92</v>
      </c>
      <c r="N40" s="2"/>
      <c r="U40" s="230"/>
      <c r="V40" s="230"/>
      <c r="W40" s="230"/>
      <c r="X40" s="230"/>
      <c r="Y40" s="230"/>
      <c r="Z40" s="230"/>
    </row>
    <row r="41" spans="2:26" x14ac:dyDescent="0.3">
      <c r="B41" s="206">
        <v>38</v>
      </c>
      <c r="C41" s="229"/>
      <c r="E41" s="206">
        <v>38</v>
      </c>
      <c r="F41" s="228"/>
      <c r="G41" s="193"/>
      <c r="H41">
        <f t="shared" si="1"/>
        <v>0</v>
      </c>
      <c r="J41" s="313" t="s">
        <v>217</v>
      </c>
      <c r="K41" s="314"/>
      <c r="L41" s="199"/>
      <c r="M41" s="202" t="s">
        <v>92</v>
      </c>
      <c r="N41" s="2"/>
      <c r="U41" s="230"/>
      <c r="V41" s="230"/>
      <c r="W41" s="230"/>
      <c r="X41" s="230"/>
      <c r="Y41" s="230"/>
      <c r="Z41" s="230"/>
    </row>
    <row r="42" spans="2:26" x14ac:dyDescent="0.3">
      <c r="B42" s="206">
        <v>39</v>
      </c>
      <c r="C42" s="229"/>
      <c r="E42" s="206">
        <v>39</v>
      </c>
      <c r="F42" s="228"/>
      <c r="G42" s="193"/>
      <c r="H42">
        <f t="shared" si="1"/>
        <v>0</v>
      </c>
      <c r="J42" s="313" t="s">
        <v>167</v>
      </c>
      <c r="K42" s="314"/>
      <c r="L42" s="199"/>
      <c r="M42" s="202" t="s">
        <v>92</v>
      </c>
      <c r="N42" s="2"/>
      <c r="U42" s="230"/>
      <c r="V42" s="230"/>
      <c r="W42" s="230"/>
      <c r="X42" s="230"/>
      <c r="Y42" s="230"/>
      <c r="Z42" s="230"/>
    </row>
    <row r="43" spans="2:26" ht="15" thickBot="1" x14ac:dyDescent="0.35">
      <c r="B43" s="206">
        <v>40</v>
      </c>
      <c r="C43" s="229"/>
      <c r="E43" s="206">
        <v>40</v>
      </c>
      <c r="F43" s="252"/>
      <c r="G43" s="253"/>
      <c r="H43">
        <f t="shared" si="1"/>
        <v>0</v>
      </c>
      <c r="J43" s="315" t="s">
        <v>218</v>
      </c>
      <c r="K43" s="316"/>
      <c r="L43" s="203"/>
      <c r="M43" s="204" t="s">
        <v>92</v>
      </c>
      <c r="N43" s="2"/>
      <c r="U43" s="230"/>
      <c r="V43" s="230"/>
      <c r="W43" s="230"/>
      <c r="X43" s="230"/>
      <c r="Y43" s="230"/>
      <c r="Z43" s="230"/>
    </row>
    <row r="44" spans="2:26" x14ac:dyDescent="0.3">
      <c r="B44" s="206">
        <v>41</v>
      </c>
      <c r="C44" s="229"/>
      <c r="E44" s="206">
        <v>41</v>
      </c>
      <c r="F44" s="252"/>
      <c r="G44" s="253"/>
      <c r="H44">
        <f t="shared" si="1"/>
        <v>0</v>
      </c>
      <c r="U44" s="230"/>
      <c r="V44" s="230"/>
      <c r="W44" s="230"/>
      <c r="X44" s="230"/>
      <c r="Y44" s="230"/>
      <c r="Z44" s="230"/>
    </row>
    <row r="45" spans="2:26" x14ac:dyDescent="0.3">
      <c r="B45" s="206">
        <v>42</v>
      </c>
      <c r="C45" s="229"/>
      <c r="E45" s="206">
        <v>42</v>
      </c>
      <c r="F45" s="252"/>
      <c r="G45" s="253"/>
      <c r="H45">
        <f t="shared" si="1"/>
        <v>0</v>
      </c>
      <c r="U45" s="230"/>
      <c r="V45" s="230"/>
      <c r="W45" s="230"/>
      <c r="X45" s="230"/>
      <c r="Y45" s="230"/>
      <c r="Z45" s="230"/>
    </row>
    <row r="46" spans="2:26" x14ac:dyDescent="0.3">
      <c r="B46" s="206">
        <v>43</v>
      </c>
      <c r="C46" s="229"/>
      <c r="E46" s="206">
        <v>43</v>
      </c>
      <c r="F46" s="252"/>
      <c r="G46" s="253"/>
      <c r="H46">
        <f t="shared" si="1"/>
        <v>0</v>
      </c>
      <c r="U46" s="230"/>
      <c r="V46" s="230"/>
      <c r="W46" s="230"/>
      <c r="X46" s="230"/>
      <c r="Y46" s="230"/>
      <c r="Z46" s="230"/>
    </row>
    <row r="47" spans="2:26" x14ac:dyDescent="0.3">
      <c r="B47" s="206">
        <v>44</v>
      </c>
      <c r="C47" s="229"/>
      <c r="E47" s="206">
        <v>44</v>
      </c>
      <c r="F47" s="252"/>
      <c r="G47" s="253"/>
      <c r="H47">
        <f t="shared" si="1"/>
        <v>0</v>
      </c>
      <c r="U47" s="230"/>
      <c r="V47" s="230"/>
      <c r="W47" s="230"/>
      <c r="X47" s="230"/>
      <c r="Y47" s="230"/>
      <c r="Z47" s="230"/>
    </row>
    <row r="48" spans="2:26" x14ac:dyDescent="0.3">
      <c r="B48" s="206">
        <v>45</v>
      </c>
      <c r="C48" s="229"/>
      <c r="E48" s="206">
        <v>45</v>
      </c>
      <c r="F48" s="252"/>
      <c r="G48" s="253"/>
      <c r="H48">
        <f t="shared" si="1"/>
        <v>0</v>
      </c>
      <c r="U48" s="230"/>
      <c r="V48" s="230"/>
      <c r="W48" s="230"/>
      <c r="X48" s="230"/>
      <c r="Y48" s="230"/>
      <c r="Z48" s="230"/>
    </row>
    <row r="49" spans="2:35" x14ac:dyDescent="0.3">
      <c r="B49" s="206">
        <v>46</v>
      </c>
      <c r="C49" s="229"/>
      <c r="E49" s="206">
        <v>46</v>
      </c>
      <c r="F49" s="252"/>
      <c r="G49" s="253"/>
      <c r="H49">
        <f t="shared" si="1"/>
        <v>0</v>
      </c>
      <c r="U49" s="230"/>
      <c r="V49" s="230"/>
      <c r="W49" s="230"/>
      <c r="X49" s="230"/>
      <c r="Y49" s="230"/>
      <c r="Z49" s="230"/>
    </row>
    <row r="50" spans="2:35" x14ac:dyDescent="0.3">
      <c r="B50" s="206">
        <v>47</v>
      </c>
      <c r="C50" s="229"/>
      <c r="E50" s="206">
        <v>47</v>
      </c>
      <c r="F50" s="252"/>
      <c r="G50" s="253"/>
      <c r="H50">
        <f t="shared" si="1"/>
        <v>0</v>
      </c>
      <c r="U50" s="230"/>
      <c r="V50" s="230"/>
      <c r="W50" s="230"/>
      <c r="X50" s="230"/>
      <c r="Y50" s="230"/>
      <c r="Z50" s="230"/>
    </row>
    <row r="51" spans="2:35" x14ac:dyDescent="0.3">
      <c r="B51" s="206">
        <v>48</v>
      </c>
      <c r="C51" s="229"/>
      <c r="E51" s="206">
        <v>48</v>
      </c>
      <c r="F51" s="252"/>
      <c r="G51" s="253"/>
      <c r="H51">
        <f t="shared" si="1"/>
        <v>0</v>
      </c>
      <c r="U51" s="230"/>
      <c r="V51" s="230"/>
      <c r="W51" s="230"/>
      <c r="X51" s="230"/>
      <c r="Y51" s="230"/>
      <c r="Z51" s="230"/>
    </row>
    <row r="52" spans="2:35" x14ac:dyDescent="0.3">
      <c r="B52" s="206">
        <v>49</v>
      </c>
      <c r="C52" s="229"/>
      <c r="E52" s="206">
        <v>49</v>
      </c>
      <c r="F52" s="252"/>
      <c r="G52" s="253"/>
      <c r="H52">
        <f t="shared" si="1"/>
        <v>0</v>
      </c>
      <c r="U52" s="230"/>
      <c r="V52" s="230"/>
      <c r="W52" s="230"/>
      <c r="X52" s="230"/>
      <c r="Y52" s="230"/>
      <c r="Z52" s="230"/>
    </row>
    <row r="53" spans="2:35" x14ac:dyDescent="0.3">
      <c r="B53" s="206">
        <v>50</v>
      </c>
      <c r="C53" s="229"/>
      <c r="E53" s="206">
        <v>50</v>
      </c>
      <c r="F53" s="252"/>
      <c r="G53" s="253"/>
      <c r="H53">
        <f t="shared" si="1"/>
        <v>0</v>
      </c>
      <c r="U53" s="230"/>
      <c r="V53" s="230"/>
      <c r="W53" s="230"/>
      <c r="X53" s="230"/>
      <c r="Y53" s="230"/>
      <c r="Z53" s="230"/>
    </row>
    <row r="54" spans="2:35" x14ac:dyDescent="0.3">
      <c r="B54" s="206">
        <v>51</v>
      </c>
      <c r="C54" s="229"/>
      <c r="E54" s="206">
        <v>51</v>
      </c>
      <c r="F54" s="252"/>
      <c r="G54" s="253"/>
      <c r="H54">
        <f t="shared" si="1"/>
        <v>0</v>
      </c>
      <c r="U54" s="230"/>
      <c r="V54" s="230"/>
      <c r="W54" s="230"/>
      <c r="X54" s="230"/>
      <c r="Y54" s="230"/>
      <c r="Z54" s="230"/>
    </row>
    <row r="55" spans="2:35" x14ac:dyDescent="0.3">
      <c r="B55" s="206">
        <v>52</v>
      </c>
      <c r="C55" s="229"/>
      <c r="E55" s="206">
        <v>52</v>
      </c>
      <c r="F55" s="252"/>
      <c r="G55" s="253"/>
      <c r="H55">
        <f t="shared" si="1"/>
        <v>0</v>
      </c>
      <c r="U55" s="230"/>
      <c r="V55" s="230"/>
      <c r="W55" s="230"/>
      <c r="X55" s="230"/>
      <c r="Y55" s="230"/>
      <c r="Z55" s="230"/>
    </row>
    <row r="56" spans="2:35" x14ac:dyDescent="0.3">
      <c r="B56" s="206">
        <v>53</v>
      </c>
      <c r="C56" s="229"/>
      <c r="E56" s="206">
        <v>53</v>
      </c>
      <c r="F56" s="252"/>
      <c r="G56" s="253"/>
      <c r="H56">
        <f t="shared" si="1"/>
        <v>0</v>
      </c>
      <c r="U56" s="230"/>
      <c r="V56" s="230"/>
      <c r="W56" s="230"/>
      <c r="X56" s="230"/>
      <c r="Y56" s="230"/>
      <c r="Z56" s="230"/>
    </row>
    <row r="57" spans="2:35" x14ac:dyDescent="0.3">
      <c r="B57" s="206">
        <v>54</v>
      </c>
      <c r="C57" s="229"/>
      <c r="E57" s="206">
        <v>54</v>
      </c>
      <c r="F57" s="252"/>
      <c r="G57" s="253"/>
      <c r="H57">
        <f t="shared" si="1"/>
        <v>0</v>
      </c>
      <c r="U57" s="230"/>
      <c r="V57" s="230"/>
      <c r="W57" s="230"/>
      <c r="X57" s="230"/>
      <c r="Y57" s="230"/>
      <c r="Z57" s="230"/>
    </row>
    <row r="58" spans="2:35" x14ac:dyDescent="0.3">
      <c r="B58" s="206">
        <v>55</v>
      </c>
      <c r="C58" s="229"/>
      <c r="E58" s="206">
        <v>55</v>
      </c>
      <c r="F58" s="252"/>
      <c r="G58" s="253"/>
      <c r="H58">
        <f t="shared" si="1"/>
        <v>0</v>
      </c>
      <c r="U58" s="230"/>
      <c r="V58" s="230"/>
      <c r="W58" s="230"/>
      <c r="X58" s="230"/>
      <c r="Y58" s="230"/>
      <c r="Z58" s="230"/>
    </row>
    <row r="59" spans="2:35" x14ac:dyDescent="0.3">
      <c r="B59" s="206">
        <v>56</v>
      </c>
      <c r="C59" s="229"/>
      <c r="E59" s="206">
        <v>56</v>
      </c>
      <c r="F59" s="252"/>
      <c r="G59" s="253"/>
      <c r="H59">
        <f t="shared" si="1"/>
        <v>0</v>
      </c>
      <c r="U59" s="230"/>
      <c r="V59" s="230"/>
      <c r="W59" s="230"/>
      <c r="X59" s="230"/>
      <c r="Y59" s="230"/>
      <c r="Z59" s="230"/>
    </row>
    <row r="60" spans="2:35" x14ac:dyDescent="0.3">
      <c r="B60" s="206">
        <v>57</v>
      </c>
      <c r="C60" s="229"/>
      <c r="E60" s="206">
        <v>57</v>
      </c>
      <c r="F60" s="252"/>
      <c r="G60" s="253"/>
      <c r="H60">
        <f t="shared" si="1"/>
        <v>0</v>
      </c>
      <c r="U60" s="230"/>
      <c r="V60" s="230"/>
      <c r="W60" s="230"/>
      <c r="X60" s="230"/>
      <c r="Y60" s="230"/>
      <c r="Z60" s="230"/>
    </row>
    <row r="61" spans="2:35" x14ac:dyDescent="0.3">
      <c r="B61" s="206">
        <v>58</v>
      </c>
      <c r="C61" s="229"/>
      <c r="E61" s="206">
        <v>58</v>
      </c>
      <c r="F61" s="252"/>
      <c r="G61" s="253"/>
      <c r="H61">
        <f t="shared" si="1"/>
        <v>0</v>
      </c>
      <c r="U61" s="230"/>
      <c r="V61" s="230"/>
      <c r="W61" s="230"/>
      <c r="X61" s="230"/>
      <c r="Y61" s="230"/>
      <c r="Z61" s="230"/>
    </row>
    <row r="62" spans="2:35" x14ac:dyDescent="0.3">
      <c r="B62" s="206">
        <v>59</v>
      </c>
      <c r="C62" s="229"/>
      <c r="E62" s="206">
        <v>59</v>
      </c>
      <c r="F62" s="252"/>
      <c r="G62" s="253"/>
      <c r="H62">
        <f t="shared" si="1"/>
        <v>0</v>
      </c>
      <c r="U62" s="230"/>
      <c r="V62" s="230"/>
      <c r="W62" s="230"/>
      <c r="X62" s="230"/>
      <c r="Y62" s="230"/>
      <c r="Z62" s="230"/>
    </row>
    <row r="63" spans="2:35" ht="15" thickBot="1" x14ac:dyDescent="0.35">
      <c r="B63" s="206">
        <v>60</v>
      </c>
      <c r="C63" s="195"/>
      <c r="E63" s="206">
        <v>60</v>
      </c>
      <c r="F63" s="196"/>
      <c r="G63" s="197"/>
      <c r="H63">
        <f t="shared" si="1"/>
        <v>0</v>
      </c>
      <c r="N63" s="2"/>
      <c r="V63">
        <f>V20*0.244</f>
        <v>0</v>
      </c>
      <c r="W63" t="e">
        <f>W20*0.135</f>
        <v>#DIV/0!</v>
      </c>
      <c r="X63">
        <f>X20*0.135</f>
        <v>0</v>
      </c>
      <c r="Y63">
        <f>Y20*0.135</f>
        <v>0</v>
      </c>
      <c r="Z63">
        <f>Z20*0.073</f>
        <v>0</v>
      </c>
      <c r="AA63">
        <v>6253</v>
      </c>
      <c r="AB63" t="s">
        <v>15</v>
      </c>
      <c r="AC63">
        <v>8.7175634266704218</v>
      </c>
      <c r="AD63">
        <v>0.08</v>
      </c>
      <c r="AE63">
        <f t="shared" si="2"/>
        <v>0</v>
      </c>
      <c r="AF63">
        <f t="shared" si="3"/>
        <v>0</v>
      </c>
      <c r="AI63">
        <f t="shared" si="4"/>
        <v>0</v>
      </c>
    </row>
    <row r="64" spans="2:35" x14ac:dyDescent="0.3">
      <c r="AA64">
        <v>4894</v>
      </c>
      <c r="AB64" t="s">
        <v>16</v>
      </c>
      <c r="AC64">
        <v>9.9495585945947543E-3</v>
      </c>
      <c r="AD64">
        <v>4.5999999999999996</v>
      </c>
      <c r="AE64">
        <f t="shared" si="2"/>
        <v>0</v>
      </c>
      <c r="AF64">
        <f t="shared" si="3"/>
        <v>0</v>
      </c>
      <c r="AI64">
        <f t="shared" si="4"/>
        <v>0</v>
      </c>
    </row>
    <row r="65" spans="22:35" x14ac:dyDescent="0.3">
      <c r="AA65">
        <v>4896</v>
      </c>
      <c r="AB65" t="s">
        <v>17</v>
      </c>
      <c r="AC65">
        <v>3.8773408832642416E-3</v>
      </c>
      <c r="AD65">
        <v>5.0999999999999996</v>
      </c>
      <c r="AE65">
        <f t="shared" si="2"/>
        <v>0</v>
      </c>
      <c r="AF65">
        <f t="shared" si="3"/>
        <v>0</v>
      </c>
      <c r="AI65">
        <f t="shared" si="4"/>
        <v>0</v>
      </c>
    </row>
    <row r="66" spans="22:35" x14ac:dyDescent="0.3">
      <c r="AA66">
        <v>7765</v>
      </c>
      <c r="AB66" t="s">
        <v>18</v>
      </c>
      <c r="AC66">
        <v>1.1809473519269423E-2</v>
      </c>
      <c r="AD66">
        <v>4.7</v>
      </c>
      <c r="AE66">
        <f t="shared" si="2"/>
        <v>0</v>
      </c>
      <c r="AF66">
        <f t="shared" si="3"/>
        <v>0</v>
      </c>
      <c r="AI66">
        <f t="shared" si="4"/>
        <v>0</v>
      </c>
    </row>
    <row r="67" spans="22:35" x14ac:dyDescent="0.3">
      <c r="V67" t="s">
        <v>299</v>
      </c>
      <c r="W67">
        <f>ROUNDUP(SQRT(Q4)*IF(Q14=1,4,IF(Q14&gt;=2,Q14+4,0))*IF(Q12="PASARELAS",16.6,IF(Q12="PAS PLAT GUARD",16.6+21.7+12.4,0))*Q13,1)</f>
        <v>0</v>
      </c>
      <c r="AA67">
        <v>1345</v>
      </c>
      <c r="AB67" t="s">
        <v>19</v>
      </c>
      <c r="AC67">
        <v>8.3044482614032349E-3</v>
      </c>
      <c r="AD67">
        <v>23.6</v>
      </c>
      <c r="AE67">
        <f t="shared" si="2"/>
        <v>0</v>
      </c>
      <c r="AF67">
        <f t="shared" si="3"/>
        <v>0</v>
      </c>
      <c r="AH67">
        <v>7.2599999999999998E-2</v>
      </c>
      <c r="AI67">
        <f t="shared" si="4"/>
        <v>0</v>
      </c>
    </row>
    <row r="68" spans="22:35" x14ac:dyDescent="0.3">
      <c r="V68" t="s">
        <v>300</v>
      </c>
      <c r="W68">
        <f>ROUNDUP(SQRT(Q4)*IF(Q14=1,4,IF(Q14&gt;=2,Q14+4,0))*IF(Q12="PASARELAS",0.078,IF(Q12="PAS PLAT GUARD",0.078+0.055+0.046,0))*Q13,1)</f>
        <v>0</v>
      </c>
      <c r="AA68">
        <v>1346</v>
      </c>
      <c r="AB68" t="s">
        <v>20</v>
      </c>
      <c r="AC68">
        <v>4.3718051063851406E-3</v>
      </c>
      <c r="AD68">
        <v>0.35</v>
      </c>
      <c r="AE68">
        <f t="shared" si="2"/>
        <v>0</v>
      </c>
      <c r="AF68">
        <f t="shared" si="3"/>
        <v>0</v>
      </c>
      <c r="AI68">
        <f t="shared" si="4"/>
        <v>0</v>
      </c>
    </row>
    <row r="69" spans="22:35" x14ac:dyDescent="0.3">
      <c r="AA69">
        <v>1347</v>
      </c>
      <c r="AB69" t="s">
        <v>21</v>
      </c>
      <c r="AC69">
        <v>4.3880717417473878E-3</v>
      </c>
      <c r="AD69">
        <v>0.15</v>
      </c>
      <c r="AE69">
        <f t="shared" si="2"/>
        <v>0</v>
      </c>
      <c r="AF69">
        <f t="shared" si="3"/>
        <v>0</v>
      </c>
      <c r="AI69">
        <f t="shared" si="4"/>
        <v>0</v>
      </c>
    </row>
    <row r="70" spans="22:35" x14ac:dyDescent="0.3">
      <c r="AA70">
        <v>144</v>
      </c>
      <c r="AB70" t="s">
        <v>22</v>
      </c>
      <c r="AC70">
        <v>4.4920291828855303E-3</v>
      </c>
      <c r="AD70">
        <v>0.15</v>
      </c>
      <c r="AE70">
        <f t="shared" si="2"/>
        <v>0</v>
      </c>
      <c r="AF70">
        <f t="shared" si="3"/>
        <v>0</v>
      </c>
      <c r="AI70">
        <f t="shared" si="4"/>
        <v>0</v>
      </c>
    </row>
    <row r="71" spans="22:35" x14ac:dyDescent="0.3">
      <c r="AA71">
        <v>3783</v>
      </c>
      <c r="AB71" t="s">
        <v>23</v>
      </c>
      <c r="AC71">
        <v>0.86535162760478823</v>
      </c>
      <c r="AD71">
        <v>0.08</v>
      </c>
      <c r="AE71">
        <f t="shared" si="2"/>
        <v>0</v>
      </c>
      <c r="AF71">
        <f t="shared" si="3"/>
        <v>0</v>
      </c>
      <c r="AI71">
        <f t="shared" si="4"/>
        <v>0</v>
      </c>
    </row>
    <row r="72" spans="22:35" x14ac:dyDescent="0.3">
      <c r="AA72">
        <v>917</v>
      </c>
      <c r="AB72" t="s">
        <v>24</v>
      </c>
      <c r="AC72">
        <v>6.4559351573753299</v>
      </c>
      <c r="AD72">
        <v>0.12</v>
      </c>
      <c r="AE72">
        <f t="shared" si="2"/>
        <v>0</v>
      </c>
      <c r="AF72">
        <f t="shared" si="3"/>
        <v>0</v>
      </c>
      <c r="AI72">
        <f t="shared" si="4"/>
        <v>0</v>
      </c>
    </row>
    <row r="73" spans="22:35" x14ac:dyDescent="0.3">
      <c r="AA73">
        <v>921</v>
      </c>
      <c r="AB73" t="s">
        <v>25</v>
      </c>
      <c r="AC73">
        <v>3.1864147970408499E-2</v>
      </c>
      <c r="AD73">
        <v>0.23</v>
      </c>
      <c r="AE73">
        <f t="shared" si="2"/>
        <v>0</v>
      </c>
      <c r="AF73">
        <f t="shared" si="3"/>
        <v>0</v>
      </c>
      <c r="AI73">
        <f t="shared" si="4"/>
        <v>0</v>
      </c>
    </row>
    <row r="74" spans="22:35" x14ac:dyDescent="0.3">
      <c r="AA74">
        <v>899</v>
      </c>
      <c r="AB74" t="s">
        <v>26</v>
      </c>
      <c r="AC74">
        <v>3.2567993776874818E-2</v>
      </c>
      <c r="AD74">
        <v>0.23</v>
      </c>
      <c r="AE74">
        <f t="shared" si="2"/>
        <v>0</v>
      </c>
      <c r="AF74">
        <f t="shared" si="3"/>
        <v>0</v>
      </c>
      <c r="AI74">
        <f t="shared" si="4"/>
        <v>0</v>
      </c>
    </row>
    <row r="75" spans="22:35" x14ac:dyDescent="0.3">
      <c r="AA75">
        <v>906</v>
      </c>
      <c r="AB75" t="s">
        <v>27</v>
      </c>
      <c r="AC75">
        <v>5.1713610441496929E-2</v>
      </c>
      <c r="AD75">
        <v>0.14000000000000001</v>
      </c>
      <c r="AE75">
        <f t="shared" si="2"/>
        <v>0</v>
      </c>
      <c r="AF75">
        <f t="shared" si="3"/>
        <v>0</v>
      </c>
      <c r="AI75">
        <f t="shared" si="4"/>
        <v>0</v>
      </c>
    </row>
    <row r="76" spans="22:35" x14ac:dyDescent="0.3">
      <c r="AA76">
        <v>4849</v>
      </c>
      <c r="AB76" t="s">
        <v>28</v>
      </c>
      <c r="AC76">
        <v>0.88803857079214943</v>
      </c>
      <c r="AD76">
        <v>1</v>
      </c>
      <c r="AE76">
        <f t="shared" si="2"/>
        <v>0</v>
      </c>
      <c r="AF76">
        <f t="shared" si="3"/>
        <v>0</v>
      </c>
      <c r="AI76">
        <f t="shared" si="4"/>
        <v>0</v>
      </c>
    </row>
    <row r="77" spans="22:35" x14ac:dyDescent="0.3">
      <c r="AA77">
        <v>4848</v>
      </c>
      <c r="AB77" t="s">
        <v>29</v>
      </c>
      <c r="AC77">
        <v>0.88803857079214943</v>
      </c>
      <c r="AD77">
        <v>1</v>
      </c>
      <c r="AE77">
        <f t="shared" si="2"/>
        <v>0</v>
      </c>
      <c r="AF77">
        <f t="shared" si="3"/>
        <v>0</v>
      </c>
      <c r="AI77">
        <f t="shared" si="4"/>
        <v>0</v>
      </c>
    </row>
    <row r="78" spans="22:35" x14ac:dyDescent="0.3">
      <c r="AA78">
        <v>4821</v>
      </c>
      <c r="AB78" t="s">
        <v>30</v>
      </c>
      <c r="AC78">
        <v>3.7160414683215679E-3</v>
      </c>
      <c r="AD78">
        <v>4.8</v>
      </c>
      <c r="AE78">
        <f t="shared" si="2"/>
        <v>0</v>
      </c>
      <c r="AF78">
        <f t="shared" si="3"/>
        <v>0</v>
      </c>
      <c r="AI78">
        <f t="shared" si="4"/>
        <v>0</v>
      </c>
    </row>
    <row r="79" spans="22:35" x14ac:dyDescent="0.3">
      <c r="AA79">
        <v>951</v>
      </c>
      <c r="AB79" t="s">
        <v>31</v>
      </c>
      <c r="AC79">
        <v>1.4449657205151463E-2</v>
      </c>
      <c r="AD79">
        <v>5.6</v>
      </c>
      <c r="AE79">
        <f t="shared" si="2"/>
        <v>0</v>
      </c>
      <c r="AF79">
        <f t="shared" si="3"/>
        <v>0</v>
      </c>
      <c r="AI79">
        <f t="shared" si="4"/>
        <v>0</v>
      </c>
    </row>
    <row r="80" spans="22:35" x14ac:dyDescent="0.3">
      <c r="AA80">
        <v>950</v>
      </c>
      <c r="AB80" t="s">
        <v>32</v>
      </c>
      <c r="AC80">
        <v>2.1674485807727191E-2</v>
      </c>
      <c r="AD80">
        <v>2.4</v>
      </c>
      <c r="AE80">
        <f t="shared" si="2"/>
        <v>0</v>
      </c>
      <c r="AF80">
        <f t="shared" si="3"/>
        <v>0</v>
      </c>
      <c r="AI80">
        <f t="shared" si="4"/>
        <v>0</v>
      </c>
    </row>
    <row r="81" spans="27:35" x14ac:dyDescent="0.3">
      <c r="AA81">
        <v>1001</v>
      </c>
      <c r="AB81" t="s">
        <v>33</v>
      </c>
      <c r="AC81">
        <v>12.821958363525759</v>
      </c>
      <c r="AD81">
        <v>0.01</v>
      </c>
      <c r="AE81">
        <f>ROUNDUP($AF$16*AC81/1500,0)*1500</f>
        <v>0</v>
      </c>
      <c r="AF81">
        <f t="shared" si="3"/>
        <v>0</v>
      </c>
      <c r="AI81">
        <f t="shared" si="4"/>
        <v>0</v>
      </c>
    </row>
    <row r="82" spans="27:35" x14ac:dyDescent="0.3">
      <c r="AA82">
        <v>1003</v>
      </c>
      <c r="AB82" t="s">
        <v>34</v>
      </c>
      <c r="AC82">
        <v>8.2339994299648467</v>
      </c>
      <c r="AD82">
        <v>0.03</v>
      </c>
      <c r="AE82">
        <f>ROUNDUP($AF$16*AC82/700,0)*700</f>
        <v>0</v>
      </c>
      <c r="AF82">
        <f t="shared" si="3"/>
        <v>0</v>
      </c>
      <c r="AI82">
        <f t="shared" si="4"/>
        <v>0</v>
      </c>
    </row>
    <row r="83" spans="27:35" x14ac:dyDescent="0.3">
      <c r="AA83">
        <v>1004</v>
      </c>
      <c r="AB83" t="s">
        <v>35</v>
      </c>
      <c r="AC83">
        <v>23.423352560032306</v>
      </c>
      <c r="AD83">
        <v>0.01</v>
      </c>
      <c r="AE83">
        <f>ROUNDUP($AF$16*AC83/3500,0)*3500</f>
        <v>0</v>
      </c>
      <c r="AF83">
        <f t="shared" si="3"/>
        <v>0</v>
      </c>
      <c r="AI83">
        <f t="shared" si="4"/>
        <v>0</v>
      </c>
    </row>
    <row r="84" spans="27:35" x14ac:dyDescent="0.3">
      <c r="AA84">
        <v>2651</v>
      </c>
      <c r="AB84" t="s">
        <v>36</v>
      </c>
      <c r="AC84">
        <v>0.40190158647739738</v>
      </c>
      <c r="AD84">
        <v>0.18</v>
      </c>
      <c r="AE84">
        <f>ROUNDUP($AF$16*AC84,0)</f>
        <v>0</v>
      </c>
      <c r="AF84">
        <f t="shared" si="3"/>
        <v>0</v>
      </c>
      <c r="AI84">
        <f t="shared" si="4"/>
        <v>0</v>
      </c>
    </row>
    <row r="85" spans="27:35" x14ac:dyDescent="0.3">
      <c r="AA85">
        <v>1005</v>
      </c>
      <c r="AB85" t="s">
        <v>37</v>
      </c>
      <c r="AC85">
        <v>2.6825149150535269E-3</v>
      </c>
      <c r="AD85">
        <v>11</v>
      </c>
      <c r="AE85">
        <f>ROUNDUP($AF$16*AC85,0)</f>
        <v>0</v>
      </c>
      <c r="AF85">
        <f t="shared" si="3"/>
        <v>0</v>
      </c>
      <c r="AI85">
        <f t="shared" si="4"/>
        <v>0</v>
      </c>
    </row>
    <row r="86" spans="27:35" x14ac:dyDescent="0.3">
      <c r="AA86">
        <v>999</v>
      </c>
      <c r="AB86" t="s">
        <v>38</v>
      </c>
      <c r="AC86">
        <v>20.546084287539358</v>
      </c>
      <c r="AD86">
        <v>0.01</v>
      </c>
      <c r="AE86">
        <f>ROUNDUP($AF$16*AC86/4000,0)*4000</f>
        <v>0</v>
      </c>
      <c r="AF86">
        <f t="shared" si="3"/>
        <v>0</v>
      </c>
      <c r="AI86">
        <f t="shared" si="4"/>
        <v>0</v>
      </c>
    </row>
    <row r="87" spans="27:35" x14ac:dyDescent="0.3">
      <c r="AA87">
        <v>1000</v>
      </c>
      <c r="AB87" t="s">
        <v>39</v>
      </c>
      <c r="AC87">
        <v>17.094975753257003</v>
      </c>
      <c r="AD87">
        <v>0.01</v>
      </c>
      <c r="AE87">
        <f>ROUNDUP($AF$16*AC87/1500,0)*1500</f>
        <v>0</v>
      </c>
      <c r="AF87">
        <f t="shared" si="3"/>
        <v>0</v>
      </c>
      <c r="AI87">
        <f t="shared" si="4"/>
        <v>0</v>
      </c>
    </row>
    <row r="88" spans="27:35" x14ac:dyDescent="0.3">
      <c r="AB88" t="s">
        <v>2</v>
      </c>
      <c r="AC88">
        <v>6.106329062667031E-3</v>
      </c>
      <c r="AD88">
        <v>46</v>
      </c>
      <c r="AE88">
        <f>ROUNDUP($AF$16*AC88,0)</f>
        <v>0</v>
      </c>
      <c r="AF88">
        <f t="shared" si="3"/>
        <v>0</v>
      </c>
      <c r="AH88">
        <v>0.35599999999999998</v>
      </c>
      <c r="AI88">
        <f t="shared" si="4"/>
        <v>0</v>
      </c>
    </row>
    <row r="90" spans="27:35" x14ac:dyDescent="0.3">
      <c r="AB90" t="s">
        <v>40</v>
      </c>
    </row>
    <row r="91" spans="27:35" x14ac:dyDescent="0.3">
      <c r="AB91" t="s">
        <v>41</v>
      </c>
      <c r="AC91" t="s">
        <v>297</v>
      </c>
      <c r="AD91" t="s">
        <v>295</v>
      </c>
      <c r="AE91" t="s">
        <v>296</v>
      </c>
    </row>
    <row r="92" spans="27:35" x14ac:dyDescent="0.3">
      <c r="AA92">
        <v>1015</v>
      </c>
      <c r="AB92" t="s">
        <v>42</v>
      </c>
      <c r="AC92">
        <v>7.4544543978920172E-2</v>
      </c>
      <c r="AD92">
        <v>5.0999999999999996</v>
      </c>
      <c r="AE92">
        <f>AD92*AC92</f>
        <v>0.38017717429249287</v>
      </c>
      <c r="AF92">
        <f>$AF$16*AE92</f>
        <v>0</v>
      </c>
      <c r="AI92">
        <f>AC92*AH92</f>
        <v>0</v>
      </c>
    </row>
    <row r="93" spans="27:35" x14ac:dyDescent="0.3">
      <c r="AA93">
        <v>1015</v>
      </c>
      <c r="AB93" t="s">
        <v>43</v>
      </c>
      <c r="AI93">
        <f t="shared" ref="AI93:AI136" si="6">AC93*AH93</f>
        <v>0</v>
      </c>
    </row>
    <row r="94" spans="27:35" x14ac:dyDescent="0.3">
      <c r="AA94">
        <v>966</v>
      </c>
      <c r="AB94" t="s">
        <v>44</v>
      </c>
      <c r="AC94">
        <v>7.516687506609683E-2</v>
      </c>
      <c r="AD94">
        <v>7.9</v>
      </c>
      <c r="AE94">
        <f t="shared" ref="AE94:AE135" si="7">AD94*AC94</f>
        <v>0.59381831302216503</v>
      </c>
      <c r="AF94">
        <f>$AF$16*AE94</f>
        <v>0</v>
      </c>
      <c r="AI94">
        <f t="shared" si="6"/>
        <v>0</v>
      </c>
    </row>
    <row r="95" spans="27:35" x14ac:dyDescent="0.3">
      <c r="AA95">
        <v>967</v>
      </c>
      <c r="AB95" t="s">
        <v>45</v>
      </c>
      <c r="AC95">
        <v>9.362938827511974E-2</v>
      </c>
      <c r="AD95">
        <v>0.7</v>
      </c>
      <c r="AE95">
        <f t="shared" si="7"/>
        <v>6.554057179258381E-2</v>
      </c>
      <c r="AF95">
        <f>$AF$16*AE95</f>
        <v>0</v>
      </c>
      <c r="AI95">
        <f t="shared" si="6"/>
        <v>0</v>
      </c>
    </row>
    <row r="96" spans="27:35" x14ac:dyDescent="0.3">
      <c r="AA96">
        <v>2663</v>
      </c>
      <c r="AB96" t="s">
        <v>46</v>
      </c>
      <c r="AC96">
        <v>4.1658800596289485</v>
      </c>
      <c r="AD96">
        <f>14/120</f>
        <v>0.11666666666666667</v>
      </c>
      <c r="AE96">
        <f t="shared" si="7"/>
        <v>0.48601934029004401</v>
      </c>
      <c r="AF96">
        <f>$AF$16*AE96</f>
        <v>0</v>
      </c>
      <c r="AH96">
        <v>4.0000000000000001E-3</v>
      </c>
      <c r="AI96">
        <f t="shared" si="6"/>
        <v>1.6663520238515795E-2</v>
      </c>
    </row>
    <row r="97" spans="27:35" x14ac:dyDescent="0.3">
      <c r="AA97">
        <v>5593</v>
      </c>
      <c r="AB97" t="s">
        <v>47</v>
      </c>
      <c r="AC97">
        <v>0.84579387717046484</v>
      </c>
      <c r="AD97">
        <f>17.1/120</f>
        <v>0.14250000000000002</v>
      </c>
      <c r="AE97">
        <f t="shared" si="7"/>
        <v>0.12052562749679126</v>
      </c>
      <c r="AF97">
        <f>$AF$16*AE97</f>
        <v>0</v>
      </c>
      <c r="AH97">
        <v>4.0000000000000001E-3</v>
      </c>
      <c r="AI97">
        <f>AC97*AH97</f>
        <v>3.3831755086818592E-3</v>
      </c>
    </row>
    <row r="98" spans="27:35" x14ac:dyDescent="0.3">
      <c r="AA98">
        <v>3693</v>
      </c>
      <c r="AB98" t="s">
        <v>48</v>
      </c>
      <c r="AC98">
        <v>0.29404315002202913</v>
      </c>
      <c r="AD98">
        <f>37.8/300</f>
        <v>0.126</v>
      </c>
      <c r="AE98">
        <f t="shared" si="7"/>
        <v>3.7049436902775672E-2</v>
      </c>
      <c r="AF98">
        <f>$AF$16*AE98</f>
        <v>0</v>
      </c>
      <c r="AH98">
        <v>4.0000000000000001E-3</v>
      </c>
      <c r="AI98">
        <f t="shared" si="6"/>
        <v>1.1761726000881166E-3</v>
      </c>
    </row>
    <row r="99" spans="27:35" x14ac:dyDescent="0.3">
      <c r="AA99">
        <v>3689</v>
      </c>
      <c r="AB99" t="s">
        <v>49</v>
      </c>
      <c r="AH99">
        <v>4.0000000000000001E-3</v>
      </c>
      <c r="AI99">
        <f t="shared" si="6"/>
        <v>0</v>
      </c>
    </row>
    <row r="100" spans="27:35" x14ac:dyDescent="0.3">
      <c r="AA100">
        <v>60</v>
      </c>
      <c r="AB100" t="s">
        <v>50</v>
      </c>
      <c r="AC100">
        <v>0.356388088376561</v>
      </c>
      <c r="AD100">
        <f>25.1/100</f>
        <v>0.251</v>
      </c>
      <c r="AE100">
        <f t="shared" si="7"/>
        <v>8.9453410182516804E-2</v>
      </c>
      <c r="AF100">
        <f>$AF$16*AE100</f>
        <v>0</v>
      </c>
      <c r="AH100">
        <v>4.0000000000000001E-3</v>
      </c>
      <c r="AI100">
        <f t="shared" si="6"/>
        <v>1.4255523535062441E-3</v>
      </c>
    </row>
    <row r="101" spans="27:35" x14ac:dyDescent="0.3">
      <c r="AA101">
        <v>883</v>
      </c>
      <c r="AB101" t="s">
        <v>51</v>
      </c>
      <c r="AC101">
        <v>5.2479609328290895</v>
      </c>
      <c r="AD101">
        <f>31.15/300</f>
        <v>0.10383333333333333</v>
      </c>
      <c r="AE101">
        <f t="shared" si="7"/>
        <v>0.54491327685875379</v>
      </c>
      <c r="AF101">
        <f>$AF$16*AE101</f>
        <v>0</v>
      </c>
      <c r="AH101">
        <v>4.0000000000000001E-3</v>
      </c>
      <c r="AI101">
        <f t="shared" si="6"/>
        <v>2.0991843731316358E-2</v>
      </c>
    </row>
    <row r="102" spans="27:35" x14ac:dyDescent="0.3">
      <c r="AA102">
        <v>1016</v>
      </c>
      <c r="AB102" t="s">
        <v>52</v>
      </c>
      <c r="AH102">
        <v>2.5000000000000001E-2</v>
      </c>
      <c r="AI102">
        <f t="shared" si="6"/>
        <v>0</v>
      </c>
    </row>
    <row r="103" spans="27:35" x14ac:dyDescent="0.3">
      <c r="AA103">
        <v>1016</v>
      </c>
      <c r="AB103" t="s">
        <v>53</v>
      </c>
      <c r="AH103">
        <v>2.5000000000000001E-2</v>
      </c>
      <c r="AI103">
        <f t="shared" si="6"/>
        <v>0</v>
      </c>
    </row>
    <row r="104" spans="27:35" x14ac:dyDescent="0.3">
      <c r="AA104">
        <v>1016</v>
      </c>
      <c r="AB104" t="s">
        <v>54</v>
      </c>
      <c r="AC104">
        <v>2.145498213332258E-2</v>
      </c>
      <c r="AD104">
        <v>4.4000000000000004</v>
      </c>
      <c r="AE104">
        <f t="shared" si="7"/>
        <v>9.4401921386619361E-2</v>
      </c>
      <c r="AF104">
        <f t="shared" ref="AF104:AF115" si="8">$AF$16*AE104</f>
        <v>0</v>
      </c>
      <c r="AH104">
        <v>2.5000000000000001E-2</v>
      </c>
      <c r="AI104">
        <f t="shared" si="6"/>
        <v>5.3637455333306453E-4</v>
      </c>
    </row>
    <row r="105" spans="27:35" x14ac:dyDescent="0.3">
      <c r="AA105">
        <v>2612</v>
      </c>
      <c r="AB105" t="s">
        <v>55</v>
      </c>
      <c r="AC105">
        <v>0.44285629667540061</v>
      </c>
      <c r="AD105">
        <v>0.6</v>
      </c>
      <c r="AE105">
        <f t="shared" si="7"/>
        <v>0.26571377800524038</v>
      </c>
      <c r="AF105">
        <f t="shared" si="8"/>
        <v>0</v>
      </c>
      <c r="AI105">
        <f t="shared" si="6"/>
        <v>0</v>
      </c>
    </row>
    <row r="106" spans="27:35" x14ac:dyDescent="0.3">
      <c r="AA106">
        <v>968</v>
      </c>
      <c r="AB106" t="s">
        <v>56</v>
      </c>
      <c r="AC106">
        <v>0.14182475320646629</v>
      </c>
      <c r="AD106">
        <v>0.9</v>
      </c>
      <c r="AE106">
        <f t="shared" si="7"/>
        <v>0.12764227788581967</v>
      </c>
      <c r="AF106">
        <f t="shared" si="8"/>
        <v>0</v>
      </c>
      <c r="AI106">
        <f t="shared" si="6"/>
        <v>0</v>
      </c>
    </row>
    <row r="107" spans="27:35" x14ac:dyDescent="0.3">
      <c r="AA107">
        <v>3821</v>
      </c>
      <c r="AB107" t="s">
        <v>57</v>
      </c>
      <c r="AC107">
        <v>2.0964360587002098E-2</v>
      </c>
      <c r="AD107">
        <v>10.3</v>
      </c>
      <c r="AE107">
        <f t="shared" si="7"/>
        <v>0.21593291404612161</v>
      </c>
      <c r="AF107">
        <f t="shared" si="8"/>
        <v>0</v>
      </c>
      <c r="AH107">
        <v>1.0999999999999999E-2</v>
      </c>
      <c r="AI107">
        <f t="shared" si="6"/>
        <v>2.3060796645702305E-4</v>
      </c>
    </row>
    <row r="108" spans="27:35" x14ac:dyDescent="0.3">
      <c r="AA108">
        <v>960</v>
      </c>
      <c r="AB108" t="s">
        <v>58</v>
      </c>
      <c r="AC108">
        <v>0.11842139943752764</v>
      </c>
      <c r="AD108">
        <v>1.6</v>
      </c>
      <c r="AE108">
        <f t="shared" si="7"/>
        <v>0.18947423910004424</v>
      </c>
      <c r="AF108">
        <f t="shared" si="8"/>
        <v>0</v>
      </c>
      <c r="AH108">
        <v>4.0000000000000001E-3</v>
      </c>
      <c r="AI108">
        <f t="shared" si="6"/>
        <v>4.7368559775011053E-4</v>
      </c>
    </row>
    <row r="109" spans="27:35" x14ac:dyDescent="0.3">
      <c r="AA109">
        <v>959</v>
      </c>
      <c r="AB109" t="s">
        <v>59</v>
      </c>
      <c r="AC109">
        <v>7.9403307137228166E-2</v>
      </c>
      <c r="AD109">
        <v>1.5</v>
      </c>
      <c r="AE109">
        <f t="shared" si="7"/>
        <v>0.11910496070584226</v>
      </c>
      <c r="AF109">
        <f t="shared" si="8"/>
        <v>0</v>
      </c>
      <c r="AH109">
        <v>4.0000000000000001E-3</v>
      </c>
      <c r="AI109">
        <f t="shared" si="6"/>
        <v>3.1761322854891266E-4</v>
      </c>
    </row>
    <row r="110" spans="27:35" x14ac:dyDescent="0.3">
      <c r="AA110">
        <v>2622</v>
      </c>
      <c r="AB110" t="s">
        <v>60</v>
      </c>
      <c r="AC110">
        <v>4.5625427204374569E-2</v>
      </c>
      <c r="AD110">
        <v>1.5</v>
      </c>
      <c r="AE110">
        <f t="shared" si="7"/>
        <v>6.8438140806561854E-2</v>
      </c>
      <c r="AF110">
        <f t="shared" si="8"/>
        <v>0</v>
      </c>
      <c r="AH110">
        <v>4.0000000000000001E-3</v>
      </c>
      <c r="AI110">
        <f t="shared" si="6"/>
        <v>1.8250170881749827E-4</v>
      </c>
    </row>
    <row r="111" spans="27:35" x14ac:dyDescent="0.3">
      <c r="AA111">
        <v>2623</v>
      </c>
      <c r="AB111" t="s">
        <v>61</v>
      </c>
      <c r="AC111">
        <v>0.21818680255972212</v>
      </c>
      <c r="AD111">
        <v>0.9</v>
      </c>
      <c r="AE111">
        <f t="shared" si="7"/>
        <v>0.19636812230374992</v>
      </c>
      <c r="AF111">
        <f t="shared" si="8"/>
        <v>0</v>
      </c>
      <c r="AH111">
        <v>4.0000000000000001E-3</v>
      </c>
      <c r="AI111">
        <f t="shared" si="6"/>
        <v>8.7274721023888847E-4</v>
      </c>
    </row>
    <row r="112" spans="27:35" x14ac:dyDescent="0.3">
      <c r="AA112">
        <v>1017</v>
      </c>
      <c r="AB112" t="s">
        <v>62</v>
      </c>
      <c r="AC112">
        <v>8.4215455304086126E-2</v>
      </c>
      <c r="AD112">
        <v>12.4</v>
      </c>
      <c r="AE112">
        <f t="shared" si="7"/>
        <v>1.044271645770668</v>
      </c>
      <c r="AF112">
        <f t="shared" si="8"/>
        <v>0</v>
      </c>
      <c r="AH112">
        <v>5.0000000000000001E-3</v>
      </c>
      <c r="AI112">
        <f t="shared" si="6"/>
        <v>4.2107727652043064E-4</v>
      </c>
    </row>
    <row r="113" spans="27:35" x14ac:dyDescent="0.3">
      <c r="AA113">
        <v>974</v>
      </c>
      <c r="AB113" t="s">
        <v>63</v>
      </c>
      <c r="AC113">
        <v>4.9578013919243713E-2</v>
      </c>
      <c r="AD113">
        <v>2.5</v>
      </c>
      <c r="AE113">
        <f t="shared" si="7"/>
        <v>0.12394503479810928</v>
      </c>
      <c r="AF113">
        <f t="shared" si="8"/>
        <v>0</v>
      </c>
      <c r="AH113">
        <v>1.7000000000000001E-2</v>
      </c>
      <c r="AI113">
        <f t="shared" si="6"/>
        <v>8.428262366271432E-4</v>
      </c>
    </row>
    <row r="114" spans="27:35" x14ac:dyDescent="0.3">
      <c r="AA114">
        <v>981</v>
      </c>
      <c r="AB114" t="s">
        <v>64</v>
      </c>
      <c r="AC114">
        <v>6.2893081761006293E-3</v>
      </c>
      <c r="AD114">
        <v>6.1</v>
      </c>
      <c r="AE114">
        <f t="shared" si="7"/>
        <v>3.8364779874213835E-2</v>
      </c>
      <c r="AF114">
        <f t="shared" si="8"/>
        <v>0</v>
      </c>
      <c r="AH114">
        <v>1.7000000000000001E-2</v>
      </c>
      <c r="AI114">
        <f t="shared" si="6"/>
        <v>1.0691823899371071E-4</v>
      </c>
    </row>
    <row r="115" spans="27:35" x14ac:dyDescent="0.3">
      <c r="AA115">
        <v>2610</v>
      </c>
      <c r="AB115" t="s">
        <v>65</v>
      </c>
      <c r="AC115">
        <v>9.6016169519486258E-2</v>
      </c>
      <c r="AD115">
        <v>14.7</v>
      </c>
      <c r="AE115">
        <v>0</v>
      </c>
      <c r="AF115">
        <f t="shared" si="8"/>
        <v>0</v>
      </c>
      <c r="AH115">
        <v>7.8E-2</v>
      </c>
      <c r="AI115">
        <f t="shared" si="6"/>
        <v>7.4892612225199284E-3</v>
      </c>
    </row>
    <row r="116" spans="27:35" x14ac:dyDescent="0.3">
      <c r="AA116">
        <v>2610</v>
      </c>
      <c r="AB116" t="s">
        <v>66</v>
      </c>
      <c r="AI116">
        <f t="shared" si="6"/>
        <v>0</v>
      </c>
    </row>
    <row r="117" spans="27:35" x14ac:dyDescent="0.3">
      <c r="AB117" t="s">
        <v>67</v>
      </c>
      <c r="AI117">
        <f t="shared" si="6"/>
        <v>0</v>
      </c>
    </row>
    <row r="118" spans="27:35" x14ac:dyDescent="0.3">
      <c r="AA118">
        <v>2611</v>
      </c>
      <c r="AB118" t="s">
        <v>68</v>
      </c>
      <c r="AC118">
        <v>5.4844289961149179E-2</v>
      </c>
      <c r="AD118">
        <v>16.399999999999999</v>
      </c>
      <c r="AE118">
        <v>0</v>
      </c>
      <c r="AF118">
        <f>$AF$16*AE118</f>
        <v>0</v>
      </c>
      <c r="AH118">
        <v>0.156</v>
      </c>
      <c r="AI118">
        <f t="shared" si="6"/>
        <v>8.5557092339392724E-3</v>
      </c>
    </row>
    <row r="119" spans="27:35" x14ac:dyDescent="0.3">
      <c r="AA119">
        <v>2611</v>
      </c>
      <c r="AB119" t="s">
        <v>69</v>
      </c>
      <c r="AI119">
        <f t="shared" si="6"/>
        <v>0</v>
      </c>
    </row>
    <row r="120" spans="27:35" x14ac:dyDescent="0.3">
      <c r="AA120">
        <v>2611</v>
      </c>
      <c r="AB120" t="s">
        <v>70</v>
      </c>
      <c r="AC120">
        <v>6.858216547868505E-2</v>
      </c>
      <c r="AD120">
        <v>16.399999999999999</v>
      </c>
      <c r="AE120">
        <v>0</v>
      </c>
      <c r="AF120">
        <f>$AF$16*AE120</f>
        <v>0</v>
      </c>
      <c r="AH120">
        <v>7.8E-2</v>
      </c>
      <c r="AI120">
        <f t="shared" si="6"/>
        <v>5.3494089073374343E-3</v>
      </c>
    </row>
    <row r="121" spans="27:35" x14ac:dyDescent="0.3">
      <c r="AA121">
        <v>2611</v>
      </c>
      <c r="AB121" t="s">
        <v>71</v>
      </c>
      <c r="AI121">
        <f t="shared" si="6"/>
        <v>0</v>
      </c>
    </row>
    <row r="122" spans="27:35" x14ac:dyDescent="0.3">
      <c r="AA122">
        <v>2611</v>
      </c>
      <c r="AB122" t="s">
        <v>72</v>
      </c>
      <c r="AI122">
        <f t="shared" si="6"/>
        <v>0</v>
      </c>
    </row>
    <row r="123" spans="27:35" x14ac:dyDescent="0.3">
      <c r="AA123">
        <v>6651</v>
      </c>
      <c r="AB123" t="s">
        <v>73</v>
      </c>
      <c r="AC123">
        <v>1.4753496920188866E-2</v>
      </c>
      <c r="AD123">
        <v>13.3</v>
      </c>
      <c r="AE123">
        <v>0</v>
      </c>
      <c r="AF123">
        <f t="shared" ref="AF123:AF129" si="9">$AF$16*AE123</f>
        <v>0</v>
      </c>
      <c r="AH123">
        <v>5.4600000000000003E-2</v>
      </c>
      <c r="AI123">
        <f t="shared" si="6"/>
        <v>8.0554093184231207E-4</v>
      </c>
    </row>
    <row r="124" spans="27:35" x14ac:dyDescent="0.3">
      <c r="AA124">
        <v>6652</v>
      </c>
      <c r="AB124" t="s">
        <v>74</v>
      </c>
      <c r="AC124">
        <v>3.5852763950746658E-2</v>
      </c>
      <c r="AD124">
        <v>18.2</v>
      </c>
      <c r="AE124">
        <v>0</v>
      </c>
      <c r="AF124">
        <f t="shared" si="9"/>
        <v>0</v>
      </c>
      <c r="AH124">
        <v>5.4600000000000003E-2</v>
      </c>
      <c r="AI124">
        <f t="shared" si="6"/>
        <v>1.9575609117107678E-3</v>
      </c>
    </row>
    <row r="125" spans="27:35" x14ac:dyDescent="0.3">
      <c r="AA125">
        <v>6653</v>
      </c>
      <c r="AB125" t="s">
        <v>75</v>
      </c>
      <c r="AC125">
        <v>0.10850194979195435</v>
      </c>
      <c r="AD125">
        <v>23</v>
      </c>
      <c r="AE125">
        <v>0</v>
      </c>
      <c r="AF125">
        <f t="shared" si="9"/>
        <v>0</v>
      </c>
      <c r="AH125">
        <v>5.4600000000000003E-2</v>
      </c>
      <c r="AI125">
        <f t="shared" si="6"/>
        <v>5.9242064586407074E-3</v>
      </c>
    </row>
    <row r="126" spans="27:35" x14ac:dyDescent="0.3">
      <c r="AA126">
        <v>6654</v>
      </c>
      <c r="AB126" t="s">
        <v>76</v>
      </c>
      <c r="AC126">
        <v>2.7773734178254121E-2</v>
      </c>
      <c r="AD126">
        <v>27.9</v>
      </c>
      <c r="AE126">
        <v>0</v>
      </c>
      <c r="AF126">
        <f t="shared" si="9"/>
        <v>0</v>
      </c>
      <c r="AH126">
        <v>5.4600000000000003E-2</v>
      </c>
      <c r="AI126">
        <f t="shared" si="6"/>
        <v>1.516445886132675E-3</v>
      </c>
    </row>
    <row r="127" spans="27:35" x14ac:dyDescent="0.3">
      <c r="AA127">
        <v>6655</v>
      </c>
      <c r="AB127" t="s">
        <v>77</v>
      </c>
      <c r="AC127">
        <v>2.0778613418534549E-2</v>
      </c>
      <c r="AD127">
        <v>37.200000000000003</v>
      </c>
      <c r="AE127">
        <v>0</v>
      </c>
      <c r="AF127">
        <f t="shared" si="9"/>
        <v>0</v>
      </c>
      <c r="AH127">
        <v>5.4600000000000003E-2</v>
      </c>
      <c r="AI127">
        <f t="shared" si="6"/>
        <v>1.1345122926519865E-3</v>
      </c>
    </row>
    <row r="128" spans="27:35" x14ac:dyDescent="0.3">
      <c r="AA128">
        <v>2611</v>
      </c>
      <c r="AB128" t="s">
        <v>78</v>
      </c>
      <c r="AC128">
        <v>1.8623130536835727E-2</v>
      </c>
      <c r="AD128">
        <v>21.3</v>
      </c>
      <c r="AE128">
        <v>0</v>
      </c>
      <c r="AF128">
        <f t="shared" si="9"/>
        <v>0</v>
      </c>
      <c r="AI128">
        <f t="shared" si="6"/>
        <v>0</v>
      </c>
    </row>
    <row r="129" spans="27:35" x14ac:dyDescent="0.3">
      <c r="AA129">
        <v>2611</v>
      </c>
      <c r="AB129" t="s">
        <v>79</v>
      </c>
      <c r="AF129">
        <f t="shared" si="9"/>
        <v>0</v>
      </c>
      <c r="AI129">
        <f t="shared" si="6"/>
        <v>0</v>
      </c>
    </row>
    <row r="130" spans="27:35" x14ac:dyDescent="0.3">
      <c r="AA130">
        <v>2611</v>
      </c>
      <c r="AB130" t="s">
        <v>80</v>
      </c>
      <c r="AI130">
        <f t="shared" si="6"/>
        <v>0</v>
      </c>
    </row>
    <row r="131" spans="27:35" x14ac:dyDescent="0.3">
      <c r="AA131">
        <v>3363</v>
      </c>
      <c r="AB131" t="s">
        <v>81</v>
      </c>
      <c r="AC131">
        <v>6.8102665572076518E-2</v>
      </c>
      <c r="AD131">
        <v>4.5</v>
      </c>
      <c r="AE131">
        <f t="shared" si="7"/>
        <v>0.30646199507434435</v>
      </c>
      <c r="AF131">
        <f t="shared" ref="AF131:AF136" si="10">$AF$16*AE131</f>
        <v>0</v>
      </c>
      <c r="AI131">
        <f t="shared" si="6"/>
        <v>0</v>
      </c>
    </row>
    <row r="132" spans="27:35" x14ac:dyDescent="0.3">
      <c r="AA132">
        <v>3315</v>
      </c>
      <c r="AB132" t="s">
        <v>82</v>
      </c>
      <c r="AC132">
        <v>4.9126726872062839E-3</v>
      </c>
      <c r="AD132">
        <v>8</v>
      </c>
      <c r="AE132">
        <f t="shared" si="7"/>
        <v>3.9301381497650272E-2</v>
      </c>
      <c r="AF132">
        <f t="shared" si="10"/>
        <v>0</v>
      </c>
      <c r="AI132">
        <f t="shared" si="6"/>
        <v>0</v>
      </c>
    </row>
    <row r="133" spans="27:35" x14ac:dyDescent="0.3">
      <c r="AA133">
        <v>888</v>
      </c>
      <c r="AB133" t="s">
        <v>83</v>
      </c>
      <c r="AC133">
        <v>0.45759100541015407</v>
      </c>
      <c r="AD133">
        <f>19.1/100</f>
        <v>0.191</v>
      </c>
      <c r="AE133">
        <f t="shared" si="7"/>
        <v>8.7399882033339427E-2</v>
      </c>
      <c r="AF133">
        <f t="shared" si="10"/>
        <v>0</v>
      </c>
      <c r="AI133">
        <f t="shared" si="6"/>
        <v>0</v>
      </c>
    </row>
    <row r="134" spans="27:35" x14ac:dyDescent="0.3">
      <c r="AA134">
        <v>5169</v>
      </c>
      <c r="AB134" t="s">
        <v>84</v>
      </c>
      <c r="AC134">
        <v>3.9944266260055735E-3</v>
      </c>
      <c r="AD134">
        <v>6.1</v>
      </c>
      <c r="AE134">
        <f t="shared" si="7"/>
        <v>2.4366002418633997E-2</v>
      </c>
      <c r="AF134">
        <f t="shared" si="10"/>
        <v>0</v>
      </c>
      <c r="AI134">
        <f t="shared" si="6"/>
        <v>0</v>
      </c>
    </row>
    <row r="135" spans="27:35" x14ac:dyDescent="0.3">
      <c r="AA135">
        <v>5345</v>
      </c>
      <c r="AB135" t="s">
        <v>85</v>
      </c>
      <c r="AC135">
        <v>7.2624743677375259E-3</v>
      </c>
      <c r="AD135">
        <v>11</v>
      </c>
      <c r="AE135">
        <f t="shared" si="7"/>
        <v>7.9887218045112784E-2</v>
      </c>
      <c r="AF135">
        <f t="shared" si="10"/>
        <v>0</v>
      </c>
      <c r="AI135">
        <f t="shared" si="6"/>
        <v>0</v>
      </c>
    </row>
    <row r="136" spans="27:35" x14ac:dyDescent="0.3">
      <c r="AA136">
        <v>4526</v>
      </c>
      <c r="AB136" t="s">
        <v>86</v>
      </c>
      <c r="AC136">
        <v>0.45302887901572109</v>
      </c>
      <c r="AD136">
        <v>12.3</v>
      </c>
      <c r="AE136">
        <v>0</v>
      </c>
      <c r="AF136">
        <f t="shared" si="10"/>
        <v>0</v>
      </c>
      <c r="AI136">
        <f t="shared" si="6"/>
        <v>0</v>
      </c>
    </row>
  </sheetData>
  <sheetProtection algorithmName="SHA-512" hashValue="b6NG0RMy/XHd+gCuRe75xyte545qFCEOMKivk0zhwhEaJSUC2J0Rj/qgQ2k7XfapawzpFdZKuKgWtoYeR2PtGg==" saltValue="oMtZPhYcwJOQ0LmSMG39VQ==" spinCount="100000" sheet="1" objects="1" scenarios="1"/>
  <protectedRanges>
    <protectedRange sqref="R5" name="Rango2"/>
    <protectedRange sqref="C4:C63 Q4:Q14 K4:M37 F4:G63 L39:L43" name="Rango1"/>
  </protectedRanges>
  <mergeCells count="8">
    <mergeCell ref="J42:K42"/>
    <mergeCell ref="J43:K43"/>
    <mergeCell ref="J40:K40"/>
    <mergeCell ref="B2:C2"/>
    <mergeCell ref="E2:G2"/>
    <mergeCell ref="J41:K41"/>
    <mergeCell ref="J39:K39"/>
    <mergeCell ref="J2:M2"/>
  </mergeCells>
  <dataValidations count="5">
    <dataValidation type="list" allowBlank="1" showInputMessage="1" showErrorMessage="1" sqref="Q12">
      <formula1>$AC$8:$AC$10</formula1>
    </dataValidation>
    <dataValidation type="list" allowBlank="1" showInputMessage="1" showErrorMessage="1" sqref="L39">
      <formula1>$AD$4:$AD$7</formula1>
    </dataValidation>
    <dataValidation type="list" allowBlank="1" showInputMessage="1" showErrorMessage="1" sqref="Q11">
      <formula1>$AC$5:$AC$7</formula1>
    </dataValidation>
    <dataValidation type="list" allowBlank="1" showInputMessage="1" showErrorMessage="1" sqref="Q10">
      <formula1>$AC$4:$AC$5</formula1>
    </dataValidation>
    <dataValidation type="list" allowBlank="1" showInputMessage="1" showErrorMessage="1" sqref="R5">
      <formula1>$AE$4:$AE$5</formula1>
    </dataValidation>
  </dataValidations>
  <pageMargins left="0.7" right="0.7" top="0.75" bottom="0.75" header="0.3" footer="0.3"/>
  <pageSetup scale="5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0"/>
  <sheetViews>
    <sheetView workbookViewId="0">
      <selection activeCell="D2" sqref="D2"/>
    </sheetView>
  </sheetViews>
  <sheetFormatPr baseColWidth="10" defaultRowHeight="14.4" x14ac:dyDescent="0.3"/>
  <cols>
    <col min="2" max="2" width="13.33203125" bestFit="1" customWidth="1"/>
    <col min="6" max="6" width="12.44140625" bestFit="1" customWidth="1"/>
    <col min="7" max="7" width="14" customWidth="1"/>
    <col min="9" max="9" width="12.44140625" bestFit="1" customWidth="1"/>
    <col min="10" max="10" width="12.44140625" customWidth="1"/>
    <col min="12" max="15" width="11.5546875" hidden="1" customWidth="1"/>
  </cols>
  <sheetData>
    <row r="2" spans="2:15" x14ac:dyDescent="0.3">
      <c r="B2" s="324" t="s">
        <v>344</v>
      </c>
      <c r="C2" s="324"/>
      <c r="D2" s="190"/>
    </row>
    <row r="3" spans="2:15" x14ac:dyDescent="0.3">
      <c r="B3" s="324" t="s">
        <v>343</v>
      </c>
      <c r="C3" s="324"/>
      <c r="D3" s="190"/>
    </row>
    <row r="4" spans="2:15" x14ac:dyDescent="0.3">
      <c r="F4" s="322" t="s">
        <v>325</v>
      </c>
      <c r="G4" s="322"/>
      <c r="H4" s="322"/>
      <c r="I4" s="322"/>
    </row>
    <row r="5" spans="2:15" ht="43.2" x14ac:dyDescent="0.3">
      <c r="B5" s="254" t="s">
        <v>315</v>
      </c>
      <c r="C5" s="255" t="s">
        <v>336</v>
      </c>
      <c r="D5" s="255" t="s">
        <v>337</v>
      </c>
      <c r="E5" s="255" t="s">
        <v>338</v>
      </c>
      <c r="F5" s="255" t="s">
        <v>339</v>
      </c>
      <c r="G5" s="255" t="s">
        <v>340</v>
      </c>
      <c r="H5" s="255" t="s">
        <v>324</v>
      </c>
      <c r="I5" s="255" t="s">
        <v>341</v>
      </c>
      <c r="J5" s="255" t="s">
        <v>342</v>
      </c>
    </row>
    <row r="6" spans="2:15" x14ac:dyDescent="0.3">
      <c r="B6" s="190" t="s">
        <v>311</v>
      </c>
      <c r="C6" s="190">
        <f>INDEX(L$6:L$9,MATCH(O6,N$6:N$9,0))+D6</f>
        <v>0</v>
      </c>
      <c r="D6" s="190">
        <f>INDEX(M$6:M$9,MATCH(O6,N$6:N$9,0))</f>
        <v>0</v>
      </c>
      <c r="E6" s="190">
        <f t="shared" ref="E6:E9" si="0">C6-D6</f>
        <v>0</v>
      </c>
      <c r="F6" s="190">
        <v>0</v>
      </c>
      <c r="G6" s="190">
        <f>IF(D3=0,0,IF(E6*0.8&lt;D3,E6*0.2,IF(E6*0.8&gt;=D3,E6-D3)))</f>
        <v>0</v>
      </c>
      <c r="H6" s="190">
        <f>IF(D3=0,0,D6)</f>
        <v>0</v>
      </c>
      <c r="I6" s="190">
        <f>SUM(G6:H6)</f>
        <v>0</v>
      </c>
      <c r="J6" s="190">
        <f>IF(G4=0,0,G4-(E6-G6))</f>
        <v>0</v>
      </c>
      <c r="L6">
        <f>'EQUIPO BASE'!Q16</f>
        <v>0</v>
      </c>
      <c r="M6">
        <f>'EQUIPO BASE'!Q17</f>
        <v>0</v>
      </c>
      <c r="N6">
        <f>IF(L6=0,1,_xlfn.RANK.EQ(L6,L$6:L$9,1))</f>
        <v>1</v>
      </c>
      <c r="O6">
        <v>1</v>
      </c>
    </row>
    <row r="7" spans="2:15" x14ac:dyDescent="0.3">
      <c r="B7" s="190" t="s">
        <v>312</v>
      </c>
      <c r="C7" s="190">
        <f>IF(INDEX(L$6:L$9,MATCH(O7,N$6:N$9,0))="",0,INDEX(L$6:L$9,MATCH(O7,N$6:N$9,0)))+D7</f>
        <v>0</v>
      </c>
      <c r="D7" s="190">
        <f>INDEX(M$6:M$9,MATCH(O7,N$6:N$9,0))</f>
        <v>0</v>
      </c>
      <c r="E7" s="190">
        <f t="shared" si="0"/>
        <v>0</v>
      </c>
      <c r="F7" s="190">
        <f>IF(E7=0,0,E7-E6)</f>
        <v>0</v>
      </c>
      <c r="G7" s="190">
        <f>IF(J6=0,(C7-(E7*0.8+D7)),E7*0.2)</f>
        <v>0</v>
      </c>
      <c r="H7" s="190">
        <f>D7</f>
        <v>0</v>
      </c>
      <c r="I7" s="190">
        <f>SUM(F7:H7)</f>
        <v>0</v>
      </c>
      <c r="J7" s="190">
        <f>IF(J6=0,0,J6-(E7-G7))</f>
        <v>0</v>
      </c>
      <c r="L7" t="str">
        <f>IF('ADAP 1'!Q16=0,"",'ADAP 1'!Q16)</f>
        <v/>
      </c>
      <c r="M7">
        <f>'ADAP 1'!Q17</f>
        <v>0</v>
      </c>
      <c r="N7">
        <f>IF(OR(L7=0,L7=""),N6+1,_xlfn.RANK.EQ(L7,L$6:L$9,1))</f>
        <v>2</v>
      </c>
      <c r="O7">
        <v>2</v>
      </c>
    </row>
    <row r="8" spans="2:15" x14ac:dyDescent="0.3">
      <c r="B8" s="190" t="s">
        <v>313</v>
      </c>
      <c r="C8" s="190">
        <f>IF(INDEX(L$6:L$9,MATCH(O8,N$6:N$9,0))="",0,INDEX(L$6:L$9,MATCH(O8,N$6:N$9,0)))+D8</f>
        <v>0</v>
      </c>
      <c r="D8" s="190">
        <f>INDEX(M$6:M$9,MATCH(O8,N$6:N$9,0))</f>
        <v>0</v>
      </c>
      <c r="E8" s="190">
        <f t="shared" si="0"/>
        <v>0</v>
      </c>
      <c r="F8" s="190">
        <f t="shared" ref="F8:F9" si="1">IF(E8=0,0,E8-E7)</f>
        <v>0</v>
      </c>
      <c r="G8" s="190">
        <f>IF(J7=0,(C8-(E8*0.8+D8)),E8*0.2)</f>
        <v>0</v>
      </c>
      <c r="H8" s="190">
        <f t="shared" ref="H8:H9" si="2">D8</f>
        <v>0</v>
      </c>
      <c r="I8" s="190">
        <f t="shared" ref="I8:I9" si="3">SUM(F8:H8)</f>
        <v>0</v>
      </c>
      <c r="J8" s="190">
        <f>IF(J7=0,0,J7-(E8-G8))</f>
        <v>0</v>
      </c>
      <c r="L8" t="str">
        <f>IF('ADAP 2'!Q16=0,"",'ADAP 2'!Q16)</f>
        <v/>
      </c>
      <c r="M8">
        <f>'ADAP 2'!Q17</f>
        <v>0</v>
      </c>
      <c r="N8">
        <f>IF(OR(L8=0,L8=""),MAX(N6:N7)+1,_xlfn.RANK.EQ(L8,L$6:L$9,1))</f>
        <v>3</v>
      </c>
      <c r="O8">
        <v>3</v>
      </c>
    </row>
    <row r="9" spans="2:15" x14ac:dyDescent="0.3">
      <c r="B9" s="190" t="s">
        <v>314</v>
      </c>
      <c r="C9" s="190">
        <f>IF(INDEX(L$6:L$9,MATCH(O9,N$6:N$9,0))="",0,INDEX(L$6:L$9,MATCH(O9,N$6:N$9,0)))+D9</f>
        <v>0</v>
      </c>
      <c r="D9" s="190">
        <f>INDEX(M$6:M$9,MATCH(O9,N$6:N$9,0))</f>
        <v>0</v>
      </c>
      <c r="E9" s="190">
        <f t="shared" si="0"/>
        <v>0</v>
      </c>
      <c r="F9" s="190">
        <f t="shared" si="1"/>
        <v>0</v>
      </c>
      <c r="G9" s="190">
        <f>IF(J8=0,(C9-(E9*0.8+D9)),E9*0.2)</f>
        <v>0</v>
      </c>
      <c r="H9" s="190">
        <f t="shared" si="2"/>
        <v>0</v>
      </c>
      <c r="I9" s="190">
        <f t="shared" si="3"/>
        <v>0</v>
      </c>
      <c r="J9" s="190">
        <f>IF(J8=0,0,J8-(E9-G9))</f>
        <v>0</v>
      </c>
      <c r="L9" t="str">
        <f>IF('ADAP 3'!Q16=0,"",'ADAP 3'!Q16)</f>
        <v/>
      </c>
      <c r="M9">
        <f>'ADAP 3'!Q17</f>
        <v>0</v>
      </c>
      <c r="N9">
        <f>IF(OR(L9=0,L9=""),MAX(N6:N8)+1,_xlfn.RANK.EQ(L9,L$6:L$9,1))</f>
        <v>4</v>
      </c>
      <c r="O9">
        <v>4</v>
      </c>
    </row>
    <row r="10" spans="2:15" x14ac:dyDescent="0.3">
      <c r="F10" s="323" t="s">
        <v>316</v>
      </c>
      <c r="G10" s="323"/>
      <c r="H10" s="323"/>
      <c r="I10" s="190">
        <f>SUM(I6:I9)</f>
        <v>0</v>
      </c>
    </row>
  </sheetData>
  <mergeCells count="4">
    <mergeCell ref="F4:I4"/>
    <mergeCell ref="F10:H10"/>
    <mergeCell ref="B2:C2"/>
    <mergeCell ref="B3:C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136"/>
  <sheetViews>
    <sheetView view="pageBreakPreview" zoomScaleNormal="100" zoomScaleSheetLayoutView="100" workbookViewId="0">
      <selection activeCell="C4" sqref="C4"/>
    </sheetView>
  </sheetViews>
  <sheetFormatPr baseColWidth="10" defaultRowHeight="14.4" x14ac:dyDescent="0.3"/>
  <cols>
    <col min="1" max="1" width="4.6640625" customWidth="1"/>
    <col min="2" max="2" width="4.6640625" bestFit="1" customWidth="1"/>
    <col min="3" max="3" width="11.6640625" customWidth="1"/>
    <col min="4" max="4" width="4.6640625" customWidth="1"/>
    <col min="5" max="5" width="4.6640625" bestFit="1" customWidth="1"/>
    <col min="6" max="7" width="11.6640625" customWidth="1"/>
    <col min="8" max="8" width="11.5546875" hidden="1" customWidth="1"/>
    <col min="9" max="9" width="4.6640625" customWidth="1"/>
    <col min="10" max="10" width="4.6640625" bestFit="1" customWidth="1"/>
    <col min="11" max="11" width="11.6640625" customWidth="1"/>
    <col min="12" max="13" width="7.6640625" customWidth="1"/>
    <col min="14" max="14" width="3.44140625" hidden="1" customWidth="1"/>
    <col min="15" max="15" width="4.6640625" customWidth="1"/>
    <col min="16" max="16" width="18.33203125" customWidth="1"/>
    <col min="17" max="17" width="14.109375" bestFit="1" customWidth="1"/>
    <col min="18" max="18" width="8.109375" bestFit="1" customWidth="1"/>
    <col min="19" max="19" width="4.6640625" customWidth="1"/>
    <col min="20" max="20" width="10.33203125" customWidth="1"/>
    <col min="21" max="26" width="11.5546875" customWidth="1"/>
    <col min="27" max="27" width="5" customWidth="1"/>
    <col min="28" max="28" width="26.33203125" customWidth="1"/>
    <col min="29" max="35" width="11.5546875" customWidth="1"/>
  </cols>
  <sheetData>
    <row r="1" spans="2:33" ht="15" thickBot="1" x14ac:dyDescent="0.35"/>
    <row r="2" spans="2:33" x14ac:dyDescent="0.3">
      <c r="B2" s="317" t="s">
        <v>89</v>
      </c>
      <c r="C2" s="318"/>
      <c r="E2" s="317" t="s">
        <v>99</v>
      </c>
      <c r="F2" s="319"/>
      <c r="G2" s="318"/>
      <c r="J2" s="317" t="s">
        <v>279</v>
      </c>
      <c r="K2" s="319"/>
      <c r="L2" s="319"/>
      <c r="M2" s="318"/>
    </row>
    <row r="3" spans="2:33" ht="29.4" customHeight="1" thickBot="1" x14ac:dyDescent="0.35">
      <c r="B3" s="233" t="s">
        <v>90</v>
      </c>
      <c r="C3" s="234" t="s">
        <v>287</v>
      </c>
      <c r="D3" s="235"/>
      <c r="E3" s="233" t="s">
        <v>90</v>
      </c>
      <c r="F3" s="239" t="s">
        <v>288</v>
      </c>
      <c r="G3" s="234" t="s">
        <v>289</v>
      </c>
      <c r="J3" s="232" t="s">
        <v>90</v>
      </c>
      <c r="K3" s="238" t="s">
        <v>301</v>
      </c>
      <c r="L3" s="238" t="s">
        <v>285</v>
      </c>
      <c r="M3" s="231" t="s">
        <v>286</v>
      </c>
      <c r="O3" s="237"/>
    </row>
    <row r="4" spans="2:33" x14ac:dyDescent="0.3">
      <c r="B4" s="206">
        <v>1</v>
      </c>
      <c r="C4" s="193"/>
      <c r="E4" s="206">
        <v>1</v>
      </c>
      <c r="F4" s="240"/>
      <c r="G4" s="193"/>
      <c r="H4">
        <f>SUM(F4:G4)*2*$Q$8/10000</f>
        <v>0</v>
      </c>
      <c r="J4" s="207">
        <v>1</v>
      </c>
      <c r="K4" s="190"/>
      <c r="L4" s="190"/>
      <c r="M4" s="194"/>
      <c r="N4">
        <f t="shared" ref="N4:N37" si="0">IF(ISERROR(AVERAGE(L4:M4)*K4/10000),0,AVERAGE(L4:M4)*K4/10000*2)</f>
        <v>0</v>
      </c>
      <c r="P4" s="209" t="s">
        <v>1</v>
      </c>
      <c r="Q4" s="205"/>
      <c r="R4" s="216" t="s">
        <v>277</v>
      </c>
      <c r="AC4" t="s">
        <v>95</v>
      </c>
      <c r="AD4" t="s">
        <v>159</v>
      </c>
      <c r="AE4" t="s">
        <v>6</v>
      </c>
    </row>
    <row r="5" spans="2:33" x14ac:dyDescent="0.3">
      <c r="B5" s="206">
        <v>2</v>
      </c>
      <c r="C5" s="193"/>
      <c r="E5" s="206">
        <v>2</v>
      </c>
      <c r="F5" s="240"/>
      <c r="G5" s="193"/>
      <c r="H5">
        <f t="shared" ref="H5:H63" si="1">SUM(F5:G5)*2*$Q$8/10000</f>
        <v>0</v>
      </c>
      <c r="J5" s="207">
        <v>2</v>
      </c>
      <c r="K5" s="190"/>
      <c r="L5" s="190"/>
      <c r="M5" s="194"/>
      <c r="N5">
        <f t="shared" si="0"/>
        <v>0</v>
      </c>
      <c r="P5" s="207" t="s">
        <v>290</v>
      </c>
      <c r="Q5" s="199"/>
      <c r="R5" s="246" t="str">
        <f>'EQUIPO BASE'!R5</f>
        <v>pesos</v>
      </c>
      <c r="AC5" t="s">
        <v>96</v>
      </c>
      <c r="AD5" t="s">
        <v>161</v>
      </c>
      <c r="AE5" t="s">
        <v>317</v>
      </c>
    </row>
    <row r="6" spans="2:33" x14ac:dyDescent="0.3">
      <c r="B6" s="206">
        <v>3</v>
      </c>
      <c r="C6" s="193"/>
      <c r="E6" s="206">
        <v>3</v>
      </c>
      <c r="F6" s="240"/>
      <c r="G6" s="193"/>
      <c r="H6">
        <f t="shared" si="1"/>
        <v>0</v>
      </c>
      <c r="J6" s="207">
        <v>3</v>
      </c>
      <c r="K6" s="190"/>
      <c r="L6" s="190"/>
      <c r="M6" s="194"/>
      <c r="N6">
        <f t="shared" si="0"/>
        <v>0</v>
      </c>
      <c r="P6" s="207" t="s">
        <v>91</v>
      </c>
      <c r="Q6" s="199"/>
      <c r="R6" s="216" t="s">
        <v>92</v>
      </c>
      <c r="AC6" t="s">
        <v>97</v>
      </c>
      <c r="AD6" t="s">
        <v>163</v>
      </c>
    </row>
    <row r="7" spans="2:33" x14ac:dyDescent="0.3">
      <c r="B7" s="206">
        <v>4</v>
      </c>
      <c r="C7" s="193"/>
      <c r="E7" s="206">
        <v>4</v>
      </c>
      <c r="F7" s="240"/>
      <c r="G7" s="193"/>
      <c r="H7">
        <f t="shared" si="1"/>
        <v>0</v>
      </c>
      <c r="J7" s="207">
        <v>4</v>
      </c>
      <c r="K7" s="190"/>
      <c r="L7" s="190"/>
      <c r="M7" s="194"/>
      <c r="N7">
        <f t="shared" si="0"/>
        <v>0</v>
      </c>
      <c r="P7" s="207" t="s">
        <v>93</v>
      </c>
      <c r="Q7" s="199"/>
      <c r="R7" s="216" t="s">
        <v>92</v>
      </c>
      <c r="AC7" t="s">
        <v>98</v>
      </c>
      <c r="AD7" t="s">
        <v>165</v>
      </c>
    </row>
    <row r="8" spans="2:33" x14ac:dyDescent="0.3">
      <c r="B8" s="206">
        <v>5</v>
      </c>
      <c r="C8" s="194"/>
      <c r="E8" s="206">
        <v>5</v>
      </c>
      <c r="F8" s="240"/>
      <c r="G8" s="193"/>
      <c r="H8">
        <f t="shared" si="1"/>
        <v>0</v>
      </c>
      <c r="J8" s="207">
        <v>5</v>
      </c>
      <c r="K8" s="190"/>
      <c r="L8" s="190"/>
      <c r="M8" s="194"/>
      <c r="N8">
        <f t="shared" si="0"/>
        <v>0</v>
      </c>
      <c r="P8" s="207" t="s">
        <v>219</v>
      </c>
      <c r="Q8" s="199"/>
      <c r="R8" s="216" t="s">
        <v>92</v>
      </c>
      <c r="AC8" t="s">
        <v>96</v>
      </c>
    </row>
    <row r="9" spans="2:33" x14ac:dyDescent="0.3">
      <c r="B9" s="206">
        <v>6</v>
      </c>
      <c r="C9" s="194"/>
      <c r="E9" s="206">
        <v>6</v>
      </c>
      <c r="F9" s="240"/>
      <c r="G9" s="193"/>
      <c r="H9">
        <f t="shared" si="1"/>
        <v>0</v>
      </c>
      <c r="J9" s="207">
        <v>6</v>
      </c>
      <c r="K9" s="190"/>
      <c r="L9" s="190"/>
      <c r="M9" s="194"/>
      <c r="N9">
        <f t="shared" si="0"/>
        <v>0</v>
      </c>
      <c r="P9" s="207" t="s">
        <v>3</v>
      </c>
      <c r="Q9" s="199"/>
      <c r="R9" s="216" t="s">
        <v>4</v>
      </c>
      <c r="AC9" t="s">
        <v>225</v>
      </c>
    </row>
    <row r="10" spans="2:33" x14ac:dyDescent="0.3">
      <c r="B10" s="206">
        <v>7</v>
      </c>
      <c r="C10" s="194"/>
      <c r="E10" s="206">
        <v>7</v>
      </c>
      <c r="F10" s="240"/>
      <c r="G10" s="193"/>
      <c r="H10">
        <f t="shared" si="1"/>
        <v>0</v>
      </c>
      <c r="J10" s="207">
        <v>7</v>
      </c>
      <c r="K10" s="190"/>
      <c r="L10" s="190"/>
      <c r="M10" s="194"/>
      <c r="N10">
        <f t="shared" si="0"/>
        <v>0</v>
      </c>
      <c r="P10" s="207" t="s">
        <v>0</v>
      </c>
      <c r="Q10" s="198" t="s">
        <v>95</v>
      </c>
      <c r="R10" s="223"/>
      <c r="AC10" t="s">
        <v>226</v>
      </c>
    </row>
    <row r="11" spans="2:33" x14ac:dyDescent="0.3">
      <c r="B11" s="206">
        <v>8</v>
      </c>
      <c r="C11" s="194"/>
      <c r="E11" s="206">
        <v>8</v>
      </c>
      <c r="F11" s="240"/>
      <c r="G11" s="193"/>
      <c r="H11">
        <f t="shared" si="1"/>
        <v>0</v>
      </c>
      <c r="J11" s="207">
        <v>8</v>
      </c>
      <c r="K11" s="190"/>
      <c r="L11" s="190"/>
      <c r="M11" s="194"/>
      <c r="N11">
        <f t="shared" si="0"/>
        <v>0</v>
      </c>
      <c r="P11" s="207" t="s">
        <v>2</v>
      </c>
      <c r="Q11" s="198" t="s">
        <v>96</v>
      </c>
      <c r="R11" s="223"/>
    </row>
    <row r="12" spans="2:33" x14ac:dyDescent="0.3">
      <c r="B12" s="206">
        <v>9</v>
      </c>
      <c r="C12" s="194"/>
      <c r="E12" s="206">
        <v>9</v>
      </c>
      <c r="F12" s="240"/>
      <c r="G12" s="193"/>
      <c r="H12">
        <f t="shared" si="1"/>
        <v>0</v>
      </c>
      <c r="J12" s="207">
        <v>9</v>
      </c>
      <c r="K12" s="190"/>
      <c r="L12" s="190"/>
      <c r="M12" s="194"/>
      <c r="N12">
        <f t="shared" si="0"/>
        <v>0</v>
      </c>
      <c r="P12" s="207" t="s">
        <v>87</v>
      </c>
      <c r="Q12" s="198" t="s">
        <v>96</v>
      </c>
      <c r="R12" s="223"/>
    </row>
    <row r="13" spans="2:33" x14ac:dyDescent="0.3">
      <c r="B13" s="206">
        <v>10</v>
      </c>
      <c r="C13" s="194"/>
      <c r="E13" s="206">
        <v>10</v>
      </c>
      <c r="F13" s="240"/>
      <c r="G13" s="193"/>
      <c r="H13">
        <f t="shared" si="1"/>
        <v>0</v>
      </c>
      <c r="J13" s="207">
        <v>10</v>
      </c>
      <c r="K13" s="190"/>
      <c r="L13" s="190"/>
      <c r="M13" s="194"/>
      <c r="N13">
        <f t="shared" si="0"/>
        <v>0</v>
      </c>
      <c r="P13" s="207" t="s">
        <v>284</v>
      </c>
      <c r="Q13" s="245"/>
      <c r="R13" s="223"/>
    </row>
    <row r="14" spans="2:33" ht="15" thickBot="1" x14ac:dyDescent="0.35">
      <c r="B14" s="206">
        <v>11</v>
      </c>
      <c r="C14" s="194"/>
      <c r="E14" s="206">
        <v>11</v>
      </c>
      <c r="F14" s="240"/>
      <c r="G14" s="193"/>
      <c r="H14">
        <f t="shared" si="1"/>
        <v>0</v>
      </c>
      <c r="J14" s="207">
        <v>11</v>
      </c>
      <c r="K14" s="240"/>
      <c r="L14" s="240"/>
      <c r="M14" s="193"/>
      <c r="N14">
        <f t="shared" si="0"/>
        <v>0</v>
      </c>
      <c r="P14" s="208" t="s">
        <v>224</v>
      </c>
      <c r="Q14" s="225"/>
      <c r="R14" s="224"/>
      <c r="V14" t="s">
        <v>220</v>
      </c>
      <c r="W14" t="s">
        <v>221</v>
      </c>
      <c r="X14" t="s">
        <v>222</v>
      </c>
      <c r="Y14" t="s">
        <v>223</v>
      </c>
      <c r="Z14" t="s">
        <v>37</v>
      </c>
    </row>
    <row r="15" spans="2:33" ht="15" thickBot="1" x14ac:dyDescent="0.35">
      <c r="B15" s="206">
        <v>12</v>
      </c>
      <c r="C15" s="194"/>
      <c r="E15" s="206">
        <v>12</v>
      </c>
      <c r="F15" s="240"/>
      <c r="G15" s="193"/>
      <c r="H15">
        <f t="shared" si="1"/>
        <v>0</v>
      </c>
      <c r="J15" s="207">
        <v>12</v>
      </c>
      <c r="K15" s="240"/>
      <c r="L15" s="240"/>
      <c r="M15" s="193"/>
      <c r="N15">
        <f t="shared" si="0"/>
        <v>0</v>
      </c>
      <c r="V15">
        <f>Q6+Q7</f>
        <v>0</v>
      </c>
      <c r="W15">
        <f>ROUNDUP(IF(C4&gt;0,(SUM(C4:C63)*(Q6+Q7)/10000)*2,Q4*IF(Q10="SI",4.8,3.8))-(SUM(F4:F63)*(Q6+Q7)/10000*2)+(SUM(Hoja2!CB4:CD129)/10000),1)</f>
        <v>0</v>
      </c>
      <c r="X15">
        <f>Q4*2</f>
        <v>0</v>
      </c>
      <c r="Y15">
        <f>Q4*2</f>
        <v>0</v>
      </c>
    </row>
    <row r="16" spans="2:33" x14ac:dyDescent="0.3">
      <c r="B16" s="206">
        <v>13</v>
      </c>
      <c r="C16" s="194"/>
      <c r="E16" s="206">
        <v>13</v>
      </c>
      <c r="F16" s="240"/>
      <c r="G16" s="193"/>
      <c r="H16">
        <f t="shared" si="1"/>
        <v>0</v>
      </c>
      <c r="J16" s="207">
        <v>13</v>
      </c>
      <c r="K16" s="190"/>
      <c r="L16" s="190"/>
      <c r="M16" s="194"/>
      <c r="N16">
        <f t="shared" si="0"/>
        <v>0</v>
      </c>
      <c r="P16" s="210" t="s">
        <v>5</v>
      </c>
      <c r="Q16" s="213">
        <f>ROUNDUP(IF(C4&gt;0,(SUM(C4:C63)*(Q6+IF(Q10="SI",Q7,10))/10000)*2+IF(Q10="si",Q4,0),Q4*IF(Q10="SI",4.8,3.8))+SUM(H4:H63)-(SUMPRODUCT(F4:F63,G4:G63)/10000*2),1)</f>
        <v>0</v>
      </c>
      <c r="R16" s="214" t="s">
        <v>277</v>
      </c>
      <c r="V16">
        <f>ROUNDUP(V15/30,0)</f>
        <v>0</v>
      </c>
      <c r="AF16">
        <f>Q16</f>
        <v>0</v>
      </c>
      <c r="AG16" t="s">
        <v>298</v>
      </c>
    </row>
    <row r="17" spans="2:35" ht="14.4" customHeight="1" x14ac:dyDescent="0.3">
      <c r="B17" s="206">
        <v>14</v>
      </c>
      <c r="C17" s="194"/>
      <c r="E17" s="206">
        <v>14</v>
      </c>
      <c r="F17" s="240"/>
      <c r="G17" s="193"/>
      <c r="H17">
        <f t="shared" si="1"/>
        <v>0</v>
      </c>
      <c r="J17" s="207">
        <v>14</v>
      </c>
      <c r="K17" s="190"/>
      <c r="L17" s="190"/>
      <c r="M17" s="194"/>
      <c r="N17">
        <f t="shared" si="0"/>
        <v>0</v>
      </c>
      <c r="P17" s="211" t="s">
        <v>280</v>
      </c>
      <c r="Q17" s="215">
        <f>ROUNDUP(SUM(N4:N37),1)</f>
        <v>0</v>
      </c>
      <c r="R17" s="216" t="s">
        <v>277</v>
      </c>
      <c r="V17">
        <f>ROUNDUP(SUM(C4:C63)/60,0)</f>
        <v>0</v>
      </c>
      <c r="AD17" t="s">
        <v>295</v>
      </c>
      <c r="AE17" t="s">
        <v>94</v>
      </c>
      <c r="AF17">
        <f>SUM(AF18:AF136)</f>
        <v>0</v>
      </c>
      <c r="AG17" t="s">
        <v>291</v>
      </c>
      <c r="AI17">
        <f>SUM(AI18:AI136)</f>
        <v>8.0357262294170256E-2</v>
      </c>
    </row>
    <row r="18" spans="2:35" x14ac:dyDescent="0.3">
      <c r="B18" s="206">
        <v>15</v>
      </c>
      <c r="C18" s="194"/>
      <c r="E18" s="206">
        <v>15</v>
      </c>
      <c r="F18" s="240"/>
      <c r="G18" s="193"/>
      <c r="H18">
        <f t="shared" si="1"/>
        <v>0</v>
      </c>
      <c r="J18" s="207">
        <v>15</v>
      </c>
      <c r="K18" s="190"/>
      <c r="L18" s="190"/>
      <c r="M18" s="194"/>
      <c r="N18">
        <f t="shared" si="0"/>
        <v>0</v>
      </c>
      <c r="P18" s="211" t="s">
        <v>7</v>
      </c>
      <c r="Q18" s="217">
        <f>Q16*Q5</f>
        <v>0</v>
      </c>
      <c r="R18" s="216" t="str">
        <f>R5</f>
        <v>pesos</v>
      </c>
      <c r="V18">
        <f>V17*V16*1.1</f>
        <v>0</v>
      </c>
      <c r="AA18">
        <v>4571</v>
      </c>
      <c r="AB18" t="s">
        <v>10</v>
      </c>
      <c r="AC18">
        <v>0.18583984208294502</v>
      </c>
      <c r="AD18">
        <v>1.6</v>
      </c>
      <c r="AE18">
        <f t="shared" ref="AE18:AE80" si="2">ROUNDUP($AF$16*AC18,0)</f>
        <v>0</v>
      </c>
      <c r="AF18">
        <f>AE18*AD18</f>
        <v>0</v>
      </c>
      <c r="AH18">
        <v>2.5000000000000001E-2</v>
      </c>
      <c r="AI18">
        <f>AH18*AE18</f>
        <v>0</v>
      </c>
    </row>
    <row r="19" spans="2:35" ht="15" thickBot="1" x14ac:dyDescent="0.35">
      <c r="B19" s="206">
        <v>16</v>
      </c>
      <c r="C19" s="194"/>
      <c r="E19" s="206">
        <v>16</v>
      </c>
      <c r="F19" s="240"/>
      <c r="G19" s="193"/>
      <c r="H19">
        <f t="shared" si="1"/>
        <v>0</v>
      </c>
      <c r="J19" s="207">
        <v>16</v>
      </c>
      <c r="K19" s="190"/>
      <c r="L19" s="190"/>
      <c r="M19" s="194"/>
      <c r="N19">
        <f t="shared" si="0"/>
        <v>0</v>
      </c>
      <c r="P19" s="211" t="s">
        <v>281</v>
      </c>
      <c r="Q19" s="217">
        <f>Q17*Q5</f>
        <v>0</v>
      </c>
      <c r="R19" s="216" t="str">
        <f>R5</f>
        <v>pesos</v>
      </c>
      <c r="V19">
        <f>V18*Q9</f>
        <v>0</v>
      </c>
      <c r="AA19">
        <v>3635</v>
      </c>
      <c r="AB19" t="s">
        <v>11</v>
      </c>
      <c r="AC19">
        <v>1.4449657205151463E-2</v>
      </c>
      <c r="AD19">
        <v>6.7</v>
      </c>
      <c r="AE19">
        <f t="shared" si="2"/>
        <v>0</v>
      </c>
      <c r="AF19">
        <f t="shared" ref="AF19:AF88" si="3">AE19*AD19</f>
        <v>0</v>
      </c>
      <c r="AH19">
        <v>2.5000000000000001E-2</v>
      </c>
      <c r="AI19">
        <f t="shared" ref="AI19:AI88" si="4">AH19*AE19</f>
        <v>0</v>
      </c>
    </row>
    <row r="20" spans="2:35" ht="15" thickBot="1" x14ac:dyDescent="0.35">
      <c r="B20" s="206">
        <v>17</v>
      </c>
      <c r="C20" s="194"/>
      <c r="E20" s="206">
        <v>17</v>
      </c>
      <c r="F20" s="240"/>
      <c r="G20" s="193"/>
      <c r="H20">
        <f t="shared" si="1"/>
        <v>0</v>
      </c>
      <c r="J20" s="207">
        <v>17</v>
      </c>
      <c r="K20" s="190"/>
      <c r="L20" s="190"/>
      <c r="M20" s="194"/>
      <c r="N20">
        <f t="shared" si="0"/>
        <v>0</v>
      </c>
      <c r="P20" s="211" t="s">
        <v>8</v>
      </c>
      <c r="Q20" s="217">
        <f>ROUNDUP(IF(ISERROR(SUM(V21:Z21)),0,SUM(V21:Z21)),1)</f>
        <v>0</v>
      </c>
      <c r="R20" s="216" t="str">
        <f>R5</f>
        <v>pesos</v>
      </c>
      <c r="U20" s="220" t="s">
        <v>293</v>
      </c>
      <c r="V20" s="221">
        <f>ROUNDUP(IF(OR(Q8=8,Q8=10,Q8=12,Q8=15),V19/IF(Q8=8,6110,IF(Q8=10,5000,IF(Q8=12,4231,IF(Q8=15,3438,0)))),V19*Q8/550/100),0)</f>
        <v>0</v>
      </c>
      <c r="W20" s="221" t="e">
        <f>ROUNDUP(W15*2*Q9/IF(Q8=8,3500,IF(Q8=10,1800,IF(Q8=12,1200,IF(Q8=15,700,0)))),0)</f>
        <v>#DIV/0!</v>
      </c>
      <c r="X20" s="221">
        <f>ROUNDUP(X15*Q9/4000,0)</f>
        <v>0</v>
      </c>
      <c r="Y20" s="221">
        <f>ROUNDUP(IF(Q7=10,Y15*Q9/4000,0),0)</f>
        <v>0</v>
      </c>
      <c r="Z20" s="222">
        <f>ROUNDUP((Q16/3000)*(Q9/5),0)</f>
        <v>0</v>
      </c>
      <c r="AA20">
        <v>948</v>
      </c>
      <c r="AB20" t="s">
        <v>12</v>
      </c>
      <c r="AC20">
        <v>2.1674485807727191E-2</v>
      </c>
      <c r="AD20">
        <v>1.45</v>
      </c>
      <c r="AE20">
        <f t="shared" si="2"/>
        <v>0</v>
      </c>
      <c r="AF20">
        <f t="shared" si="3"/>
        <v>0</v>
      </c>
      <c r="AI20">
        <f t="shared" si="4"/>
        <v>0</v>
      </c>
    </row>
    <row r="21" spans="2:35" ht="15" thickBot="1" x14ac:dyDescent="0.35">
      <c r="B21" s="206">
        <v>18</v>
      </c>
      <c r="C21" s="194"/>
      <c r="E21" s="206">
        <v>18</v>
      </c>
      <c r="F21" s="240"/>
      <c r="G21" s="193"/>
      <c r="H21">
        <f t="shared" si="1"/>
        <v>0</v>
      </c>
      <c r="J21" s="207">
        <v>18</v>
      </c>
      <c r="K21" s="190"/>
      <c r="L21" s="190"/>
      <c r="M21" s="194"/>
      <c r="N21">
        <f t="shared" si="0"/>
        <v>0</v>
      </c>
      <c r="P21" s="211" t="s">
        <v>9</v>
      </c>
      <c r="Q21" s="217">
        <f>ROUNDUP(SUM(Hoja2!CE14:CE24)/10000*Q5,1)</f>
        <v>0</v>
      </c>
      <c r="R21" s="216" t="str">
        <f>R5</f>
        <v>pesos</v>
      </c>
      <c r="U21" s="220" t="s">
        <v>292</v>
      </c>
      <c r="V21" s="221">
        <f>V20*IF(OR(Q8=8,Q8=10,Q8=12,Q8=15),59.62,54)</f>
        <v>0</v>
      </c>
      <c r="W21" s="221" t="e">
        <f>W20*IF(Q8=8,3500,IF(Q8=10,1800,IF(Q8=12,1200,IF(Q8=15,700,0))))*IF(R5="dolares",IF(Q8=8,0.06,IF(Q8=10,0.07,IF(Q8=12,0.11,IF(Q8=15,0.15,0)))),IF(Q8=8,120,IF(Q8=10,149,IF(Q8=12,221,IF(Q8=15,303,0)))))</f>
        <v>#DIV/0!</v>
      </c>
      <c r="X21" s="221">
        <f>X20*4000*IF(R5="dolares",0.06,128)</f>
        <v>0</v>
      </c>
      <c r="Y21" s="221">
        <f>Y20*1500*IF(R5="dolares",0.1,200)</f>
        <v>0</v>
      </c>
      <c r="Z21" s="222">
        <f>Z20*IF(R5="dolares",253.8,495000)</f>
        <v>0</v>
      </c>
      <c r="AA21">
        <v>4572</v>
      </c>
      <c r="AB21" t="s">
        <v>13</v>
      </c>
      <c r="AC21">
        <v>2.1721211457913945E-3</v>
      </c>
      <c r="AE21">
        <f t="shared" si="2"/>
        <v>0</v>
      </c>
      <c r="AF21">
        <f t="shared" si="3"/>
        <v>0</v>
      </c>
      <c r="AI21">
        <f t="shared" si="4"/>
        <v>0</v>
      </c>
    </row>
    <row r="22" spans="2:35" ht="15" thickBot="1" x14ac:dyDescent="0.35">
      <c r="B22" s="206">
        <v>19</v>
      </c>
      <c r="C22" s="194"/>
      <c r="E22" s="206">
        <v>19</v>
      </c>
      <c r="F22" s="240"/>
      <c r="G22" s="193"/>
      <c r="H22">
        <f t="shared" si="1"/>
        <v>0</v>
      </c>
      <c r="J22" s="207">
        <v>19</v>
      </c>
      <c r="K22" s="190"/>
      <c r="L22" s="190"/>
      <c r="M22" s="194"/>
      <c r="N22">
        <f t="shared" si="0"/>
        <v>0</v>
      </c>
      <c r="P22" s="212" t="s">
        <v>88</v>
      </c>
      <c r="Q22" s="219">
        <f>IF(Q12="NO",0,IF(Q13&lt;=((1/Q14)*2),0,ROUNDUP(SQRT(Q4)*IF(Q14=1,4,IF(Q14&gt;=2,ROUNDUP(Q14/2,0)*2+8,0))*(IF(Q14=1,IF(Q13&lt;=2,0,Q13-2),0)+IF(Q14=2,IF(Q13&lt;=1,0,Q13-1),0)+IF(Q14&gt;2,Q13-(2/Q14),0))*IF(R5="dolares",'Valor MTL sistema de seguridad'!D4,'Valor MTL sistema de seguridad'!C4),1))+ROUNDUP(SQRT(Q4)*IF(Q14=1,4,IF(Q14&gt;=2,ROUNDUP(Q14/2,0)*2+8,0))*Q13*IF(Q12="PAS PLAT GUARD",IF(R5="dolares",'Valor MTL sistema de seguridad'!D5+'Valor MTL sistema de seguridad'!D6,'Valor MTL sistema de seguridad'!C5+'Valor MTL sistema de seguridad'!C6),0),1)+IF(Q12="PAS PLAT GUARD",SQRT(Q4)*IF(Q14=1,4,3)*IF(R5="dolares",'Valor MTL sistema de seguridad'!D7,'Valor MTL sistema de seguridad'!C7),0))</f>
        <v>0</v>
      </c>
      <c r="R22" s="218" t="str">
        <f>R5</f>
        <v>pesos</v>
      </c>
      <c r="U22" s="220" t="s">
        <v>294</v>
      </c>
      <c r="V22" s="221">
        <f>V20*4.8</f>
        <v>0</v>
      </c>
      <c r="W22" s="221" t="e">
        <f>W20*700*0.03</f>
        <v>#DIV/0!</v>
      </c>
      <c r="X22" s="221">
        <f>X20*4000*0.01</f>
        <v>0</v>
      </c>
      <c r="Y22" s="221">
        <f>Y20*1500*0.01</f>
        <v>0</v>
      </c>
      <c r="Z22" s="222">
        <f>Z20*11</f>
        <v>0</v>
      </c>
      <c r="AA22">
        <v>922</v>
      </c>
      <c r="AB22" t="s">
        <v>14</v>
      </c>
      <c r="AC22">
        <v>0.49571576851557797</v>
      </c>
      <c r="AD22">
        <v>0.38</v>
      </c>
      <c r="AE22">
        <f t="shared" si="2"/>
        <v>0</v>
      </c>
      <c r="AF22">
        <f t="shared" si="3"/>
        <v>0</v>
      </c>
      <c r="AI22">
        <f t="shared" si="4"/>
        <v>0</v>
      </c>
    </row>
    <row r="23" spans="2:35" x14ac:dyDescent="0.3">
      <c r="B23" s="206">
        <v>20</v>
      </c>
      <c r="C23" s="229"/>
      <c r="E23" s="206">
        <v>20</v>
      </c>
      <c r="F23" s="240"/>
      <c r="G23" s="193"/>
      <c r="H23">
        <f t="shared" si="1"/>
        <v>0</v>
      </c>
      <c r="J23" s="207">
        <v>20</v>
      </c>
      <c r="K23" s="190"/>
      <c r="L23" s="190"/>
      <c r="M23" s="194"/>
      <c r="N23">
        <f t="shared" si="0"/>
        <v>0</v>
      </c>
      <c r="U23" s="230"/>
      <c r="V23" s="230"/>
      <c r="W23" s="230"/>
      <c r="X23" s="230"/>
      <c r="Y23" s="230"/>
      <c r="Z23" s="230"/>
    </row>
    <row r="24" spans="2:35" x14ac:dyDescent="0.3">
      <c r="B24" s="206">
        <v>21</v>
      </c>
      <c r="C24" s="229"/>
      <c r="E24" s="206">
        <v>21</v>
      </c>
      <c r="F24" s="240"/>
      <c r="G24" s="193"/>
      <c r="H24">
        <f t="shared" si="1"/>
        <v>0</v>
      </c>
      <c r="J24" s="207">
        <v>21</v>
      </c>
      <c r="K24" s="190"/>
      <c r="L24" s="190"/>
      <c r="M24" s="194"/>
      <c r="N24">
        <f t="shared" si="0"/>
        <v>0</v>
      </c>
      <c r="U24" s="230"/>
      <c r="V24" s="230"/>
      <c r="W24" s="230"/>
      <c r="X24" s="230"/>
      <c r="Y24" s="230"/>
      <c r="Z24" s="230"/>
    </row>
    <row r="25" spans="2:35" x14ac:dyDescent="0.3">
      <c r="B25" s="206">
        <v>22</v>
      </c>
      <c r="C25" s="229"/>
      <c r="E25" s="206">
        <v>22</v>
      </c>
      <c r="F25" s="240"/>
      <c r="G25" s="193"/>
      <c r="H25">
        <f t="shared" si="1"/>
        <v>0</v>
      </c>
      <c r="J25" s="207">
        <v>22</v>
      </c>
      <c r="K25" s="190"/>
      <c r="L25" s="190"/>
      <c r="M25" s="194"/>
      <c r="N25">
        <f t="shared" si="0"/>
        <v>0</v>
      </c>
      <c r="U25" s="230"/>
      <c r="V25" s="230"/>
      <c r="W25" s="230"/>
      <c r="X25" s="230"/>
      <c r="Y25" s="230"/>
      <c r="Z25" s="230"/>
    </row>
    <row r="26" spans="2:35" x14ac:dyDescent="0.3">
      <c r="B26" s="206">
        <v>23</v>
      </c>
      <c r="C26" s="229"/>
      <c r="E26" s="206">
        <v>23</v>
      </c>
      <c r="F26" s="240"/>
      <c r="G26" s="193"/>
      <c r="H26">
        <f t="shared" si="1"/>
        <v>0</v>
      </c>
      <c r="J26" s="207">
        <v>23</v>
      </c>
      <c r="K26" s="190"/>
      <c r="L26" s="190"/>
      <c r="M26" s="194"/>
      <c r="N26">
        <f t="shared" si="0"/>
        <v>0</v>
      </c>
      <c r="U26" s="230"/>
      <c r="V26" s="230"/>
      <c r="W26" s="230"/>
      <c r="X26" s="230"/>
      <c r="Y26" s="230"/>
      <c r="Z26" s="230"/>
    </row>
    <row r="27" spans="2:35" x14ac:dyDescent="0.3">
      <c r="B27" s="206">
        <v>24</v>
      </c>
      <c r="C27" s="229"/>
      <c r="E27" s="206">
        <v>24</v>
      </c>
      <c r="F27" s="240"/>
      <c r="G27" s="193"/>
      <c r="H27">
        <f t="shared" si="1"/>
        <v>0</v>
      </c>
      <c r="J27" s="207">
        <v>24</v>
      </c>
      <c r="K27" s="190"/>
      <c r="L27" s="190"/>
      <c r="M27" s="194"/>
      <c r="N27">
        <f t="shared" si="0"/>
        <v>0</v>
      </c>
      <c r="U27" s="230"/>
      <c r="V27" s="230"/>
      <c r="W27" s="230"/>
      <c r="X27" s="230"/>
      <c r="Y27" s="230"/>
      <c r="Z27" s="230"/>
    </row>
    <row r="28" spans="2:35" x14ac:dyDescent="0.3">
      <c r="B28" s="206">
        <v>25</v>
      </c>
      <c r="C28" s="229"/>
      <c r="E28" s="206">
        <v>25</v>
      </c>
      <c r="F28" s="240"/>
      <c r="G28" s="193"/>
      <c r="H28">
        <f t="shared" si="1"/>
        <v>0</v>
      </c>
      <c r="J28" s="207">
        <v>25</v>
      </c>
      <c r="K28" s="190"/>
      <c r="L28" s="190"/>
      <c r="M28" s="194"/>
      <c r="N28">
        <f t="shared" si="0"/>
        <v>0</v>
      </c>
      <c r="U28" s="230"/>
      <c r="V28" s="230"/>
      <c r="W28" s="230"/>
      <c r="X28" s="230"/>
      <c r="Y28" s="230"/>
      <c r="Z28" s="230"/>
    </row>
    <row r="29" spans="2:35" x14ac:dyDescent="0.3">
      <c r="B29" s="206">
        <v>26</v>
      </c>
      <c r="C29" s="229"/>
      <c r="E29" s="206">
        <v>26</v>
      </c>
      <c r="F29" s="240"/>
      <c r="G29" s="193"/>
      <c r="H29">
        <f t="shared" si="1"/>
        <v>0</v>
      </c>
      <c r="J29" s="207">
        <v>26</v>
      </c>
      <c r="K29" s="190"/>
      <c r="L29" s="190"/>
      <c r="M29" s="194"/>
      <c r="N29">
        <f t="shared" si="0"/>
        <v>0</v>
      </c>
      <c r="U29" s="230"/>
      <c r="V29" s="230"/>
      <c r="W29" s="230"/>
      <c r="X29" s="230"/>
      <c r="Y29" s="230"/>
      <c r="Z29" s="230"/>
    </row>
    <row r="30" spans="2:35" x14ac:dyDescent="0.3">
      <c r="B30" s="206">
        <v>27</v>
      </c>
      <c r="C30" s="229"/>
      <c r="E30" s="206">
        <v>27</v>
      </c>
      <c r="F30" s="240"/>
      <c r="G30" s="193"/>
      <c r="H30">
        <f t="shared" si="1"/>
        <v>0</v>
      </c>
      <c r="J30" s="207">
        <v>27</v>
      </c>
      <c r="K30" s="190"/>
      <c r="L30" s="190"/>
      <c r="M30" s="194"/>
      <c r="N30">
        <f t="shared" si="0"/>
        <v>0</v>
      </c>
      <c r="U30" s="230"/>
      <c r="V30" s="230"/>
      <c r="W30" s="230"/>
      <c r="X30" s="230"/>
      <c r="Y30" s="230"/>
      <c r="Z30" s="230"/>
    </row>
    <row r="31" spans="2:35" x14ac:dyDescent="0.3">
      <c r="B31" s="206">
        <v>28</v>
      </c>
      <c r="C31" s="229"/>
      <c r="E31" s="206">
        <v>28</v>
      </c>
      <c r="F31" s="240"/>
      <c r="G31" s="193"/>
      <c r="H31">
        <f t="shared" si="1"/>
        <v>0</v>
      </c>
      <c r="J31" s="207">
        <v>28</v>
      </c>
      <c r="K31" s="190"/>
      <c r="L31" s="190"/>
      <c r="M31" s="194"/>
      <c r="N31">
        <f t="shared" si="0"/>
        <v>0</v>
      </c>
      <c r="U31" s="230"/>
      <c r="V31" s="230"/>
      <c r="W31" s="230"/>
      <c r="X31" s="230"/>
      <c r="Y31" s="230"/>
      <c r="Z31" s="230"/>
    </row>
    <row r="32" spans="2:35" x14ac:dyDescent="0.3">
      <c r="B32" s="206">
        <v>29</v>
      </c>
      <c r="C32" s="229"/>
      <c r="E32" s="206">
        <v>29</v>
      </c>
      <c r="F32" s="240"/>
      <c r="G32" s="193"/>
      <c r="H32">
        <f t="shared" si="1"/>
        <v>0</v>
      </c>
      <c r="J32" s="207">
        <v>29</v>
      </c>
      <c r="K32" s="190"/>
      <c r="L32" s="190"/>
      <c r="M32" s="194"/>
      <c r="N32">
        <f t="shared" si="0"/>
        <v>0</v>
      </c>
      <c r="U32" s="230"/>
      <c r="V32" s="230"/>
      <c r="W32" s="230"/>
      <c r="X32" s="230"/>
      <c r="Y32" s="230"/>
      <c r="Z32" s="230"/>
    </row>
    <row r="33" spans="2:26" x14ac:dyDescent="0.3">
      <c r="B33" s="206">
        <v>30</v>
      </c>
      <c r="C33" s="229"/>
      <c r="E33" s="206">
        <v>30</v>
      </c>
      <c r="F33" s="240"/>
      <c r="G33" s="193"/>
      <c r="H33">
        <f t="shared" si="1"/>
        <v>0</v>
      </c>
      <c r="J33" s="207">
        <v>30</v>
      </c>
      <c r="K33" s="190"/>
      <c r="L33" s="190"/>
      <c r="M33" s="194"/>
      <c r="N33">
        <f t="shared" si="0"/>
        <v>0</v>
      </c>
      <c r="U33" s="230"/>
      <c r="V33" s="230"/>
      <c r="W33" s="230"/>
      <c r="X33" s="230"/>
      <c r="Y33" s="230"/>
      <c r="Z33" s="230"/>
    </row>
    <row r="34" spans="2:26" x14ac:dyDescent="0.3">
      <c r="B34" s="206">
        <v>31</v>
      </c>
      <c r="C34" s="229"/>
      <c r="E34" s="206">
        <v>31</v>
      </c>
      <c r="F34" s="240"/>
      <c r="G34" s="193"/>
      <c r="H34">
        <f t="shared" si="1"/>
        <v>0</v>
      </c>
      <c r="J34" s="207">
        <v>31</v>
      </c>
      <c r="K34" s="190"/>
      <c r="L34" s="190"/>
      <c r="M34" s="194"/>
      <c r="N34">
        <f t="shared" si="0"/>
        <v>0</v>
      </c>
      <c r="U34" s="230"/>
      <c r="V34" s="230"/>
      <c r="W34" s="230"/>
      <c r="X34" s="230"/>
      <c r="Y34" s="230"/>
      <c r="Z34" s="230"/>
    </row>
    <row r="35" spans="2:26" x14ac:dyDescent="0.3">
      <c r="B35" s="206">
        <v>32</v>
      </c>
      <c r="C35" s="229"/>
      <c r="E35" s="206">
        <v>32</v>
      </c>
      <c r="F35" s="240"/>
      <c r="G35" s="193"/>
      <c r="H35">
        <f t="shared" si="1"/>
        <v>0</v>
      </c>
      <c r="J35" s="207">
        <v>32</v>
      </c>
      <c r="K35" s="190"/>
      <c r="L35" s="190"/>
      <c r="M35" s="194"/>
      <c r="N35">
        <f t="shared" si="0"/>
        <v>0</v>
      </c>
      <c r="U35" s="230"/>
      <c r="V35" s="230"/>
      <c r="W35" s="230"/>
      <c r="X35" s="230"/>
      <c r="Y35" s="230"/>
      <c r="Z35" s="230"/>
    </row>
    <row r="36" spans="2:26" x14ac:dyDescent="0.3">
      <c r="B36" s="206">
        <v>33</v>
      </c>
      <c r="C36" s="229"/>
      <c r="E36" s="206">
        <v>33</v>
      </c>
      <c r="F36" s="240"/>
      <c r="G36" s="193"/>
      <c r="H36">
        <f t="shared" si="1"/>
        <v>0</v>
      </c>
      <c r="J36" s="207">
        <v>33</v>
      </c>
      <c r="K36" s="190"/>
      <c r="L36" s="190"/>
      <c r="M36" s="194"/>
      <c r="N36">
        <f t="shared" si="0"/>
        <v>0</v>
      </c>
      <c r="U36" s="230"/>
      <c r="V36" s="230"/>
      <c r="W36" s="230"/>
      <c r="X36" s="230"/>
      <c r="Y36" s="230"/>
      <c r="Z36" s="230"/>
    </row>
    <row r="37" spans="2:26" ht="15" thickBot="1" x14ac:dyDescent="0.35">
      <c r="B37" s="206">
        <v>34</v>
      </c>
      <c r="C37" s="229"/>
      <c r="E37" s="206">
        <v>34</v>
      </c>
      <c r="F37" s="240"/>
      <c r="G37" s="193"/>
      <c r="H37">
        <f t="shared" si="1"/>
        <v>0</v>
      </c>
      <c r="J37" s="208">
        <v>34</v>
      </c>
      <c r="K37" s="196"/>
      <c r="L37" s="196"/>
      <c r="M37" s="197"/>
      <c r="N37">
        <f t="shared" si="0"/>
        <v>0</v>
      </c>
      <c r="U37" s="230"/>
      <c r="V37" s="230"/>
      <c r="W37" s="230"/>
      <c r="X37" s="230"/>
      <c r="Y37" s="230"/>
      <c r="Z37" s="230"/>
    </row>
    <row r="38" spans="2:26" x14ac:dyDescent="0.3">
      <c r="B38" s="206">
        <v>35</v>
      </c>
      <c r="C38" s="229"/>
      <c r="E38" s="206">
        <v>35</v>
      </c>
      <c r="F38" s="240"/>
      <c r="G38" s="193"/>
      <c r="H38">
        <f t="shared" si="1"/>
        <v>0</v>
      </c>
      <c r="K38" s="2"/>
      <c r="L38" s="2"/>
      <c r="M38" s="2"/>
      <c r="N38" s="2"/>
      <c r="U38" s="230"/>
      <c r="V38" s="230"/>
      <c r="W38" s="230"/>
      <c r="X38" s="230"/>
      <c r="Y38" s="230"/>
      <c r="Z38" s="230"/>
    </row>
    <row r="39" spans="2:26" x14ac:dyDescent="0.3">
      <c r="B39" s="206">
        <v>36</v>
      </c>
      <c r="C39" s="229"/>
      <c r="E39" s="206">
        <v>36</v>
      </c>
      <c r="F39" s="240"/>
      <c r="G39" s="193"/>
      <c r="H39">
        <f t="shared" si="1"/>
        <v>0</v>
      </c>
      <c r="N39" s="2"/>
      <c r="U39" s="230"/>
      <c r="V39" s="230"/>
      <c r="W39" s="230"/>
      <c r="X39" s="230"/>
      <c r="Y39" s="230"/>
      <c r="Z39" s="230"/>
    </row>
    <row r="40" spans="2:26" x14ac:dyDescent="0.3">
      <c r="B40" s="206">
        <v>37</v>
      </c>
      <c r="C40" s="229"/>
      <c r="E40" s="206">
        <v>37</v>
      </c>
      <c r="F40" s="240"/>
      <c r="G40" s="193"/>
      <c r="H40">
        <f t="shared" si="1"/>
        <v>0</v>
      </c>
      <c r="N40" s="2"/>
      <c r="U40" s="230"/>
      <c r="V40" s="230"/>
      <c r="W40" s="230"/>
      <c r="X40" s="230"/>
      <c r="Y40" s="230"/>
      <c r="Z40" s="230"/>
    </row>
    <row r="41" spans="2:26" x14ac:dyDescent="0.3">
      <c r="B41" s="206">
        <v>38</v>
      </c>
      <c r="C41" s="229"/>
      <c r="E41" s="206">
        <v>38</v>
      </c>
      <c r="F41" s="240"/>
      <c r="G41" s="193"/>
      <c r="H41">
        <f t="shared" si="1"/>
        <v>0</v>
      </c>
      <c r="N41" s="2"/>
      <c r="U41" s="230"/>
      <c r="V41" s="230"/>
      <c r="W41" s="230"/>
      <c r="X41" s="230"/>
      <c r="Y41" s="230"/>
      <c r="Z41" s="230"/>
    </row>
    <row r="42" spans="2:26" x14ac:dyDescent="0.3">
      <c r="B42" s="206">
        <v>39</v>
      </c>
      <c r="C42" s="229"/>
      <c r="E42" s="206">
        <v>39</v>
      </c>
      <c r="F42" s="240"/>
      <c r="G42" s="193"/>
      <c r="H42">
        <f t="shared" si="1"/>
        <v>0</v>
      </c>
      <c r="N42" s="2"/>
      <c r="U42" s="230"/>
      <c r="V42" s="230"/>
      <c r="W42" s="230"/>
      <c r="X42" s="230"/>
      <c r="Y42" s="230"/>
      <c r="Z42" s="230"/>
    </row>
    <row r="43" spans="2:26" x14ac:dyDescent="0.3">
      <c r="B43" s="206">
        <v>40</v>
      </c>
      <c r="C43" s="229"/>
      <c r="E43" s="206">
        <v>40</v>
      </c>
      <c r="F43" s="252"/>
      <c r="G43" s="253"/>
      <c r="N43" s="2"/>
      <c r="U43" s="230"/>
      <c r="V43" s="230"/>
      <c r="W43" s="230"/>
      <c r="X43" s="230"/>
      <c r="Y43" s="230"/>
      <c r="Z43" s="230"/>
    </row>
    <row r="44" spans="2:26" x14ac:dyDescent="0.3">
      <c r="B44" s="206">
        <v>41</v>
      </c>
      <c r="C44" s="229"/>
      <c r="E44" s="206">
        <v>41</v>
      </c>
      <c r="F44" s="252"/>
      <c r="G44" s="253"/>
      <c r="N44" s="2"/>
      <c r="U44" s="230"/>
      <c r="V44" s="230"/>
      <c r="W44" s="230"/>
      <c r="X44" s="230"/>
      <c r="Y44" s="230"/>
      <c r="Z44" s="230"/>
    </row>
    <row r="45" spans="2:26" x14ac:dyDescent="0.3">
      <c r="B45" s="206">
        <v>42</v>
      </c>
      <c r="C45" s="229"/>
      <c r="E45" s="206">
        <v>42</v>
      </c>
      <c r="F45" s="252"/>
      <c r="G45" s="253"/>
      <c r="N45" s="2"/>
      <c r="U45" s="230"/>
      <c r="V45" s="230"/>
      <c r="W45" s="230"/>
      <c r="X45" s="230"/>
      <c r="Y45" s="230"/>
      <c r="Z45" s="230"/>
    </row>
    <row r="46" spans="2:26" x14ac:dyDescent="0.3">
      <c r="B46" s="206">
        <v>43</v>
      </c>
      <c r="C46" s="229"/>
      <c r="E46" s="206">
        <v>43</v>
      </c>
      <c r="F46" s="252"/>
      <c r="G46" s="253"/>
      <c r="N46" s="2"/>
      <c r="U46" s="230"/>
      <c r="V46" s="230"/>
      <c r="W46" s="230"/>
      <c r="X46" s="230"/>
      <c r="Y46" s="230"/>
      <c r="Z46" s="230"/>
    </row>
    <row r="47" spans="2:26" x14ac:dyDescent="0.3">
      <c r="B47" s="206">
        <v>44</v>
      </c>
      <c r="C47" s="229"/>
      <c r="E47" s="206">
        <v>44</v>
      </c>
      <c r="F47" s="252"/>
      <c r="G47" s="253"/>
      <c r="N47" s="2"/>
      <c r="U47" s="230"/>
      <c r="V47" s="230"/>
      <c r="W47" s="230"/>
      <c r="X47" s="230"/>
      <c r="Y47" s="230"/>
      <c r="Z47" s="230"/>
    </row>
    <row r="48" spans="2:26" x14ac:dyDescent="0.3">
      <c r="B48" s="206">
        <v>45</v>
      </c>
      <c r="C48" s="229"/>
      <c r="E48" s="206">
        <v>45</v>
      </c>
      <c r="F48" s="252"/>
      <c r="G48" s="253"/>
      <c r="N48" s="2"/>
      <c r="U48" s="230"/>
      <c r="V48" s="230"/>
      <c r="W48" s="230"/>
      <c r="X48" s="230"/>
      <c r="Y48" s="230"/>
      <c r="Z48" s="230"/>
    </row>
    <row r="49" spans="2:35" x14ac:dyDescent="0.3">
      <c r="B49" s="206">
        <v>46</v>
      </c>
      <c r="C49" s="229"/>
      <c r="E49" s="206">
        <v>46</v>
      </c>
      <c r="F49" s="252"/>
      <c r="G49" s="253"/>
      <c r="N49" s="2"/>
      <c r="U49" s="230"/>
      <c r="V49" s="230"/>
      <c r="W49" s="230"/>
      <c r="X49" s="230"/>
      <c r="Y49" s="230"/>
      <c r="Z49" s="230"/>
    </row>
    <row r="50" spans="2:35" x14ac:dyDescent="0.3">
      <c r="B50" s="206">
        <v>47</v>
      </c>
      <c r="C50" s="229"/>
      <c r="E50" s="206">
        <v>47</v>
      </c>
      <c r="F50" s="252"/>
      <c r="G50" s="253"/>
      <c r="N50" s="2"/>
      <c r="U50" s="230"/>
      <c r="V50" s="230"/>
      <c r="W50" s="230"/>
      <c r="X50" s="230"/>
      <c r="Y50" s="230"/>
      <c r="Z50" s="230"/>
    </row>
    <row r="51" spans="2:35" x14ac:dyDescent="0.3">
      <c r="B51" s="206">
        <v>48</v>
      </c>
      <c r="C51" s="229"/>
      <c r="E51" s="206">
        <v>48</v>
      </c>
      <c r="F51" s="252"/>
      <c r="G51" s="253"/>
      <c r="N51" s="2"/>
      <c r="U51" s="230"/>
      <c r="V51" s="230"/>
      <c r="W51" s="230"/>
      <c r="X51" s="230"/>
      <c r="Y51" s="230"/>
      <c r="Z51" s="230"/>
    </row>
    <row r="52" spans="2:35" x14ac:dyDescent="0.3">
      <c r="B52" s="206">
        <v>49</v>
      </c>
      <c r="C52" s="229"/>
      <c r="E52" s="206">
        <v>49</v>
      </c>
      <c r="F52" s="252"/>
      <c r="G52" s="253"/>
      <c r="N52" s="2"/>
      <c r="U52" s="230"/>
      <c r="V52" s="230"/>
      <c r="W52" s="230"/>
      <c r="X52" s="230"/>
      <c r="Y52" s="230"/>
      <c r="Z52" s="230"/>
    </row>
    <row r="53" spans="2:35" x14ac:dyDescent="0.3">
      <c r="B53" s="206">
        <v>50</v>
      </c>
      <c r="C53" s="229"/>
      <c r="E53" s="206">
        <v>50</v>
      </c>
      <c r="F53" s="252"/>
      <c r="G53" s="253"/>
      <c r="N53" s="2"/>
      <c r="U53" s="230"/>
      <c r="V53" s="230"/>
      <c r="W53" s="230"/>
      <c r="X53" s="230"/>
      <c r="Y53" s="230"/>
      <c r="Z53" s="230"/>
    </row>
    <row r="54" spans="2:35" x14ac:dyDescent="0.3">
      <c r="B54" s="206">
        <v>51</v>
      </c>
      <c r="C54" s="229"/>
      <c r="E54" s="206">
        <v>51</v>
      </c>
      <c r="F54" s="252"/>
      <c r="G54" s="253"/>
      <c r="N54" s="2"/>
      <c r="U54" s="230"/>
      <c r="V54" s="230"/>
      <c r="W54" s="230"/>
      <c r="X54" s="230"/>
      <c r="Y54" s="230"/>
      <c r="Z54" s="230"/>
    </row>
    <row r="55" spans="2:35" x14ac:dyDescent="0.3">
      <c r="B55" s="206">
        <v>52</v>
      </c>
      <c r="C55" s="229"/>
      <c r="E55" s="206">
        <v>52</v>
      </c>
      <c r="F55" s="252"/>
      <c r="G55" s="253"/>
      <c r="N55" s="2"/>
      <c r="U55" s="230"/>
      <c r="V55" s="230"/>
      <c r="W55" s="230"/>
      <c r="X55" s="230"/>
      <c r="Y55" s="230"/>
      <c r="Z55" s="230"/>
    </row>
    <row r="56" spans="2:35" x14ac:dyDescent="0.3">
      <c r="B56" s="206">
        <v>53</v>
      </c>
      <c r="C56" s="229"/>
      <c r="E56" s="206">
        <v>53</v>
      </c>
      <c r="F56" s="252"/>
      <c r="G56" s="253"/>
      <c r="N56" s="2"/>
      <c r="U56" s="230"/>
      <c r="V56" s="230"/>
      <c r="W56" s="230"/>
      <c r="X56" s="230"/>
      <c r="Y56" s="230"/>
      <c r="Z56" s="230"/>
    </row>
    <row r="57" spans="2:35" x14ac:dyDescent="0.3">
      <c r="B57" s="206">
        <v>54</v>
      </c>
      <c r="C57" s="229"/>
      <c r="E57" s="206">
        <v>54</v>
      </c>
      <c r="F57" s="252"/>
      <c r="G57" s="253"/>
      <c r="N57" s="2"/>
      <c r="U57" s="230"/>
      <c r="V57" s="230"/>
      <c r="W57" s="230"/>
      <c r="X57" s="230"/>
      <c r="Y57" s="230"/>
      <c r="Z57" s="230"/>
    </row>
    <row r="58" spans="2:35" x14ac:dyDescent="0.3">
      <c r="B58" s="206">
        <v>55</v>
      </c>
      <c r="C58" s="229"/>
      <c r="E58" s="206">
        <v>55</v>
      </c>
      <c r="F58" s="252"/>
      <c r="G58" s="253"/>
      <c r="N58" s="2"/>
      <c r="U58" s="230"/>
      <c r="V58" s="230"/>
      <c r="W58" s="230"/>
      <c r="X58" s="230"/>
      <c r="Y58" s="230"/>
      <c r="Z58" s="230"/>
    </row>
    <row r="59" spans="2:35" x14ac:dyDescent="0.3">
      <c r="B59" s="206">
        <v>56</v>
      </c>
      <c r="C59" s="229"/>
      <c r="E59" s="206">
        <v>56</v>
      </c>
      <c r="F59" s="252"/>
      <c r="G59" s="253"/>
      <c r="N59" s="2"/>
      <c r="U59" s="230"/>
      <c r="V59" s="230"/>
      <c r="W59" s="230"/>
      <c r="X59" s="230"/>
      <c r="Y59" s="230"/>
      <c r="Z59" s="230"/>
    </row>
    <row r="60" spans="2:35" x14ac:dyDescent="0.3">
      <c r="B60" s="206">
        <v>57</v>
      </c>
      <c r="C60" s="229"/>
      <c r="E60" s="206">
        <v>57</v>
      </c>
      <c r="F60" s="252"/>
      <c r="G60" s="253"/>
      <c r="N60" s="2"/>
      <c r="U60" s="230"/>
      <c r="V60" s="230"/>
      <c r="W60" s="230"/>
      <c r="X60" s="230"/>
      <c r="Y60" s="230"/>
      <c r="Z60" s="230"/>
    </row>
    <row r="61" spans="2:35" x14ac:dyDescent="0.3">
      <c r="B61" s="206">
        <v>58</v>
      </c>
      <c r="C61" s="229"/>
      <c r="E61" s="206">
        <v>58</v>
      </c>
      <c r="F61" s="252"/>
      <c r="G61" s="253"/>
      <c r="N61" s="2"/>
      <c r="U61" s="230"/>
      <c r="V61" s="230"/>
      <c r="W61" s="230"/>
      <c r="X61" s="230"/>
      <c r="Y61" s="230"/>
      <c r="Z61" s="230"/>
    </row>
    <row r="62" spans="2:35" x14ac:dyDescent="0.3">
      <c r="B62" s="206">
        <v>59</v>
      </c>
      <c r="C62" s="229"/>
      <c r="E62" s="206">
        <v>59</v>
      </c>
      <c r="F62" s="252"/>
      <c r="G62" s="253"/>
      <c r="N62" s="2"/>
      <c r="U62" s="230"/>
      <c r="V62" s="230"/>
      <c r="W62" s="230"/>
      <c r="X62" s="230"/>
      <c r="Y62" s="230"/>
      <c r="Z62" s="230"/>
    </row>
    <row r="63" spans="2:35" ht="15" thickBot="1" x14ac:dyDescent="0.35">
      <c r="B63" s="206">
        <v>60</v>
      </c>
      <c r="C63" s="195"/>
      <c r="E63" s="206">
        <v>60</v>
      </c>
      <c r="F63" s="196"/>
      <c r="G63" s="197"/>
      <c r="H63">
        <f t="shared" si="1"/>
        <v>0</v>
      </c>
      <c r="N63" s="2"/>
      <c r="V63">
        <f>V20*0.244</f>
        <v>0</v>
      </c>
      <c r="W63" t="e">
        <f>W20*0.135</f>
        <v>#DIV/0!</v>
      </c>
      <c r="X63">
        <f>X20*0.135</f>
        <v>0</v>
      </c>
      <c r="Y63">
        <f>Y20*0.135</f>
        <v>0</v>
      </c>
      <c r="Z63">
        <f>Z20*0.073</f>
        <v>0</v>
      </c>
      <c r="AA63">
        <v>6253</v>
      </c>
      <c r="AB63" t="s">
        <v>15</v>
      </c>
      <c r="AC63">
        <v>8.7175634266704218</v>
      </c>
      <c r="AD63">
        <v>0.08</v>
      </c>
      <c r="AE63">
        <f t="shared" si="2"/>
        <v>0</v>
      </c>
      <c r="AF63">
        <f t="shared" si="3"/>
        <v>0</v>
      </c>
      <c r="AI63">
        <f t="shared" si="4"/>
        <v>0</v>
      </c>
    </row>
    <row r="64" spans="2:35" x14ac:dyDescent="0.3">
      <c r="AA64">
        <v>4894</v>
      </c>
      <c r="AB64" t="s">
        <v>16</v>
      </c>
      <c r="AC64">
        <v>9.9495585945947543E-3</v>
      </c>
      <c r="AD64">
        <v>4.5999999999999996</v>
      </c>
      <c r="AE64">
        <f t="shared" si="2"/>
        <v>0</v>
      </c>
      <c r="AF64">
        <f t="shared" si="3"/>
        <v>0</v>
      </c>
      <c r="AI64">
        <f t="shared" si="4"/>
        <v>0</v>
      </c>
    </row>
    <row r="65" spans="22:35" x14ac:dyDescent="0.3">
      <c r="AA65">
        <v>4896</v>
      </c>
      <c r="AB65" t="s">
        <v>17</v>
      </c>
      <c r="AC65">
        <v>3.8773408832642416E-3</v>
      </c>
      <c r="AD65">
        <v>5.0999999999999996</v>
      </c>
      <c r="AE65">
        <f t="shared" si="2"/>
        <v>0</v>
      </c>
      <c r="AF65">
        <f t="shared" si="3"/>
        <v>0</v>
      </c>
      <c r="AI65">
        <f t="shared" si="4"/>
        <v>0</v>
      </c>
    </row>
    <row r="66" spans="22:35" x14ac:dyDescent="0.3">
      <c r="AA66">
        <v>7765</v>
      </c>
      <c r="AB66" t="s">
        <v>18</v>
      </c>
      <c r="AC66">
        <v>1.1809473519269423E-2</v>
      </c>
      <c r="AD66">
        <v>4.7</v>
      </c>
      <c r="AE66">
        <f t="shared" si="2"/>
        <v>0</v>
      </c>
      <c r="AF66">
        <f t="shared" si="3"/>
        <v>0</v>
      </c>
      <c r="AI66">
        <f t="shared" si="4"/>
        <v>0</v>
      </c>
    </row>
    <row r="67" spans="22:35" x14ac:dyDescent="0.3">
      <c r="V67" t="s">
        <v>299</v>
      </c>
      <c r="W67">
        <f>ROUNDUP(SQRT(Q4)*IF(Q14=1,4,IF(Q14&gt;=2,Q14+4,0))*IF(Q12="PASARELAS",16.6,IF(Q12="PAS PLAT GUARD",16.6+21.7+12.4,0))*Q13,1)</f>
        <v>0</v>
      </c>
      <c r="AA67">
        <v>1345</v>
      </c>
      <c r="AB67" t="s">
        <v>19</v>
      </c>
      <c r="AC67">
        <v>8.3044482614032349E-3</v>
      </c>
      <c r="AD67">
        <v>23.6</v>
      </c>
      <c r="AE67">
        <f t="shared" si="2"/>
        <v>0</v>
      </c>
      <c r="AF67">
        <f t="shared" si="3"/>
        <v>0</v>
      </c>
      <c r="AH67">
        <v>7.2599999999999998E-2</v>
      </c>
      <c r="AI67">
        <f t="shared" si="4"/>
        <v>0</v>
      </c>
    </row>
    <row r="68" spans="22:35" x14ac:dyDescent="0.3">
      <c r="V68" t="s">
        <v>300</v>
      </c>
      <c r="W68">
        <f>ROUNDUP(SQRT(Q4)*IF(Q14=1,4,IF(Q14&gt;=2,Q14+4,0))*IF(Q12="PASARELAS",0.078,IF(Q12="PAS PLAT GUARD",0.078+0.055+0.046,0))*Q13,1)</f>
        <v>0</v>
      </c>
      <c r="AA68">
        <v>1346</v>
      </c>
      <c r="AB68" t="s">
        <v>20</v>
      </c>
      <c r="AC68">
        <v>4.3718051063851406E-3</v>
      </c>
      <c r="AD68">
        <v>0.35</v>
      </c>
      <c r="AE68">
        <f t="shared" si="2"/>
        <v>0</v>
      </c>
      <c r="AF68">
        <f t="shared" si="3"/>
        <v>0</v>
      </c>
      <c r="AI68">
        <f t="shared" si="4"/>
        <v>0</v>
      </c>
    </row>
    <row r="69" spans="22:35" x14ac:dyDescent="0.3">
      <c r="AA69">
        <v>1347</v>
      </c>
      <c r="AB69" t="s">
        <v>21</v>
      </c>
      <c r="AC69">
        <v>4.3880717417473878E-3</v>
      </c>
      <c r="AD69">
        <v>0.15</v>
      </c>
      <c r="AE69">
        <f t="shared" si="2"/>
        <v>0</v>
      </c>
      <c r="AF69">
        <f t="shared" si="3"/>
        <v>0</v>
      </c>
      <c r="AI69">
        <f t="shared" si="4"/>
        <v>0</v>
      </c>
    </row>
    <row r="70" spans="22:35" x14ac:dyDescent="0.3">
      <c r="AA70">
        <v>144</v>
      </c>
      <c r="AB70" t="s">
        <v>22</v>
      </c>
      <c r="AC70">
        <v>4.4920291828855303E-3</v>
      </c>
      <c r="AD70">
        <v>0.15</v>
      </c>
      <c r="AE70">
        <f t="shared" si="2"/>
        <v>0</v>
      </c>
      <c r="AF70">
        <f t="shared" si="3"/>
        <v>0</v>
      </c>
      <c r="AI70">
        <f t="shared" si="4"/>
        <v>0</v>
      </c>
    </row>
    <row r="71" spans="22:35" x14ac:dyDescent="0.3">
      <c r="AA71">
        <v>3783</v>
      </c>
      <c r="AB71" t="s">
        <v>23</v>
      </c>
      <c r="AC71">
        <v>0.86535162760478823</v>
      </c>
      <c r="AD71">
        <v>0.08</v>
      </c>
      <c r="AE71">
        <f t="shared" si="2"/>
        <v>0</v>
      </c>
      <c r="AF71">
        <f t="shared" si="3"/>
        <v>0</v>
      </c>
      <c r="AI71">
        <f t="shared" si="4"/>
        <v>0</v>
      </c>
    </row>
    <row r="72" spans="22:35" x14ac:dyDescent="0.3">
      <c r="AA72">
        <v>917</v>
      </c>
      <c r="AB72" t="s">
        <v>24</v>
      </c>
      <c r="AC72">
        <v>6.4559351573753299</v>
      </c>
      <c r="AD72">
        <v>0.12</v>
      </c>
      <c r="AE72">
        <f t="shared" si="2"/>
        <v>0</v>
      </c>
      <c r="AF72">
        <f t="shared" si="3"/>
        <v>0</v>
      </c>
      <c r="AI72">
        <f t="shared" si="4"/>
        <v>0</v>
      </c>
    </row>
    <row r="73" spans="22:35" x14ac:dyDescent="0.3">
      <c r="AA73">
        <v>921</v>
      </c>
      <c r="AB73" t="s">
        <v>25</v>
      </c>
      <c r="AC73">
        <v>3.1864147970408499E-2</v>
      </c>
      <c r="AD73">
        <v>0.23</v>
      </c>
      <c r="AE73">
        <f t="shared" si="2"/>
        <v>0</v>
      </c>
      <c r="AF73">
        <f t="shared" si="3"/>
        <v>0</v>
      </c>
      <c r="AI73">
        <f t="shared" si="4"/>
        <v>0</v>
      </c>
    </row>
    <row r="74" spans="22:35" x14ac:dyDescent="0.3">
      <c r="AA74">
        <v>899</v>
      </c>
      <c r="AB74" t="s">
        <v>26</v>
      </c>
      <c r="AC74">
        <v>3.2567993776874818E-2</v>
      </c>
      <c r="AD74">
        <v>0.23</v>
      </c>
      <c r="AE74">
        <f t="shared" si="2"/>
        <v>0</v>
      </c>
      <c r="AF74">
        <f t="shared" si="3"/>
        <v>0</v>
      </c>
      <c r="AI74">
        <f t="shared" si="4"/>
        <v>0</v>
      </c>
    </row>
    <row r="75" spans="22:35" x14ac:dyDescent="0.3">
      <c r="AA75">
        <v>906</v>
      </c>
      <c r="AB75" t="s">
        <v>27</v>
      </c>
      <c r="AC75">
        <v>5.1713610441496929E-2</v>
      </c>
      <c r="AD75">
        <v>0.14000000000000001</v>
      </c>
      <c r="AE75">
        <f t="shared" si="2"/>
        <v>0</v>
      </c>
      <c r="AF75">
        <f t="shared" si="3"/>
        <v>0</v>
      </c>
      <c r="AI75">
        <f t="shared" si="4"/>
        <v>0</v>
      </c>
    </row>
    <row r="76" spans="22:35" x14ac:dyDescent="0.3">
      <c r="AA76">
        <v>4849</v>
      </c>
      <c r="AB76" t="s">
        <v>28</v>
      </c>
      <c r="AC76">
        <v>0.88803857079214943</v>
      </c>
      <c r="AD76">
        <v>1</v>
      </c>
      <c r="AE76">
        <f t="shared" si="2"/>
        <v>0</v>
      </c>
      <c r="AF76">
        <f t="shared" si="3"/>
        <v>0</v>
      </c>
      <c r="AI76">
        <f t="shared" si="4"/>
        <v>0</v>
      </c>
    </row>
    <row r="77" spans="22:35" x14ac:dyDescent="0.3">
      <c r="AA77">
        <v>4848</v>
      </c>
      <c r="AB77" t="s">
        <v>29</v>
      </c>
      <c r="AC77">
        <v>0.88803857079214943</v>
      </c>
      <c r="AD77">
        <v>1</v>
      </c>
      <c r="AE77">
        <f t="shared" si="2"/>
        <v>0</v>
      </c>
      <c r="AF77">
        <f t="shared" si="3"/>
        <v>0</v>
      </c>
      <c r="AI77">
        <f t="shared" si="4"/>
        <v>0</v>
      </c>
    </row>
    <row r="78" spans="22:35" x14ac:dyDescent="0.3">
      <c r="AA78">
        <v>4821</v>
      </c>
      <c r="AB78" t="s">
        <v>30</v>
      </c>
      <c r="AC78">
        <v>3.7160414683215679E-3</v>
      </c>
      <c r="AD78">
        <v>4.8</v>
      </c>
      <c r="AE78">
        <f t="shared" si="2"/>
        <v>0</v>
      </c>
      <c r="AF78">
        <f t="shared" si="3"/>
        <v>0</v>
      </c>
      <c r="AI78">
        <f t="shared" si="4"/>
        <v>0</v>
      </c>
    </row>
    <row r="79" spans="22:35" x14ac:dyDescent="0.3">
      <c r="AA79">
        <v>951</v>
      </c>
      <c r="AB79" t="s">
        <v>31</v>
      </c>
      <c r="AC79">
        <v>1.4449657205151463E-2</v>
      </c>
      <c r="AD79">
        <v>5.6</v>
      </c>
      <c r="AE79">
        <f t="shared" si="2"/>
        <v>0</v>
      </c>
      <c r="AF79">
        <f t="shared" si="3"/>
        <v>0</v>
      </c>
      <c r="AI79">
        <f t="shared" si="4"/>
        <v>0</v>
      </c>
    </row>
    <row r="80" spans="22:35" x14ac:dyDescent="0.3">
      <c r="AA80">
        <v>950</v>
      </c>
      <c r="AB80" t="s">
        <v>32</v>
      </c>
      <c r="AC80">
        <v>2.1674485807727191E-2</v>
      </c>
      <c r="AD80">
        <v>2.4</v>
      </c>
      <c r="AE80">
        <f t="shared" si="2"/>
        <v>0</v>
      </c>
      <c r="AF80">
        <f t="shared" si="3"/>
        <v>0</v>
      </c>
      <c r="AI80">
        <f t="shared" si="4"/>
        <v>0</v>
      </c>
    </row>
    <row r="81" spans="27:35" x14ac:dyDescent="0.3">
      <c r="AA81">
        <v>1001</v>
      </c>
      <c r="AB81" t="s">
        <v>33</v>
      </c>
      <c r="AC81">
        <v>12.821958363525759</v>
      </c>
      <c r="AD81">
        <v>0.01</v>
      </c>
      <c r="AE81">
        <f>ROUNDUP($AF$16*AC81/1500,0)*1500</f>
        <v>0</v>
      </c>
      <c r="AF81">
        <f t="shared" si="3"/>
        <v>0</v>
      </c>
      <c r="AI81">
        <f t="shared" si="4"/>
        <v>0</v>
      </c>
    </row>
    <row r="82" spans="27:35" x14ac:dyDescent="0.3">
      <c r="AA82">
        <v>1003</v>
      </c>
      <c r="AB82" t="s">
        <v>34</v>
      </c>
      <c r="AC82">
        <v>8.2339994299648467</v>
      </c>
      <c r="AD82">
        <v>0.03</v>
      </c>
      <c r="AE82">
        <f>ROUNDUP($AF$16*AC82/700,0)*700</f>
        <v>0</v>
      </c>
      <c r="AF82">
        <f t="shared" si="3"/>
        <v>0</v>
      </c>
      <c r="AI82">
        <f t="shared" si="4"/>
        <v>0</v>
      </c>
    </row>
    <row r="83" spans="27:35" x14ac:dyDescent="0.3">
      <c r="AA83">
        <v>1004</v>
      </c>
      <c r="AB83" t="s">
        <v>35</v>
      </c>
      <c r="AC83">
        <v>23.423352560032306</v>
      </c>
      <c r="AD83">
        <v>0.01</v>
      </c>
      <c r="AE83">
        <f>ROUNDUP($AF$16*AC83/3500,0)*3500</f>
        <v>0</v>
      </c>
      <c r="AF83">
        <f t="shared" si="3"/>
        <v>0</v>
      </c>
      <c r="AI83">
        <f t="shared" si="4"/>
        <v>0</v>
      </c>
    </row>
    <row r="84" spans="27:35" x14ac:dyDescent="0.3">
      <c r="AA84">
        <v>2651</v>
      </c>
      <c r="AB84" t="s">
        <v>36</v>
      </c>
      <c r="AC84">
        <v>0.40190158647739738</v>
      </c>
      <c r="AD84">
        <v>0.18</v>
      </c>
      <c r="AE84">
        <f>ROUNDUP($AF$16*AC84,0)</f>
        <v>0</v>
      </c>
      <c r="AF84">
        <f t="shared" si="3"/>
        <v>0</v>
      </c>
      <c r="AI84">
        <f t="shared" si="4"/>
        <v>0</v>
      </c>
    </row>
    <row r="85" spans="27:35" x14ac:dyDescent="0.3">
      <c r="AA85">
        <v>1005</v>
      </c>
      <c r="AB85" t="s">
        <v>37</v>
      </c>
      <c r="AC85">
        <v>2.6825149150535269E-3</v>
      </c>
      <c r="AD85">
        <v>11</v>
      </c>
      <c r="AE85">
        <f>ROUNDUP($AF$16*AC85,0)</f>
        <v>0</v>
      </c>
      <c r="AF85">
        <f t="shared" si="3"/>
        <v>0</v>
      </c>
      <c r="AI85">
        <f t="shared" si="4"/>
        <v>0</v>
      </c>
    </row>
    <row r="86" spans="27:35" x14ac:dyDescent="0.3">
      <c r="AA86">
        <v>999</v>
      </c>
      <c r="AB86" t="s">
        <v>38</v>
      </c>
      <c r="AC86">
        <v>20.546084287539358</v>
      </c>
      <c r="AD86">
        <v>0.01</v>
      </c>
      <c r="AE86">
        <f>ROUNDUP($AF$16*AC86/4000,0)*4000</f>
        <v>0</v>
      </c>
      <c r="AF86">
        <f t="shared" si="3"/>
        <v>0</v>
      </c>
      <c r="AI86">
        <f t="shared" si="4"/>
        <v>0</v>
      </c>
    </row>
    <row r="87" spans="27:35" x14ac:dyDescent="0.3">
      <c r="AA87">
        <v>1000</v>
      </c>
      <c r="AB87" t="s">
        <v>39</v>
      </c>
      <c r="AC87">
        <v>17.094975753257003</v>
      </c>
      <c r="AD87">
        <v>0.01</v>
      </c>
      <c r="AE87">
        <f>ROUNDUP($AF$16*AC87/1500,0)*1500</f>
        <v>0</v>
      </c>
      <c r="AF87">
        <f t="shared" si="3"/>
        <v>0</v>
      </c>
      <c r="AI87">
        <f t="shared" si="4"/>
        <v>0</v>
      </c>
    </row>
    <row r="88" spans="27:35" x14ac:dyDescent="0.3">
      <c r="AB88" t="s">
        <v>2</v>
      </c>
      <c r="AC88">
        <v>6.106329062667031E-3</v>
      </c>
      <c r="AD88">
        <v>46</v>
      </c>
      <c r="AE88">
        <f>ROUNDUP($AF$16*AC88,0)</f>
        <v>0</v>
      </c>
      <c r="AF88">
        <f t="shared" si="3"/>
        <v>0</v>
      </c>
      <c r="AH88">
        <v>0.35599999999999998</v>
      </c>
      <c r="AI88">
        <f t="shared" si="4"/>
        <v>0</v>
      </c>
    </row>
    <row r="90" spans="27:35" x14ac:dyDescent="0.3">
      <c r="AB90" t="s">
        <v>40</v>
      </c>
    </row>
    <row r="91" spans="27:35" x14ac:dyDescent="0.3">
      <c r="AB91" t="s">
        <v>41</v>
      </c>
      <c r="AC91" t="s">
        <v>297</v>
      </c>
      <c r="AD91" t="s">
        <v>295</v>
      </c>
      <c r="AE91" t="s">
        <v>296</v>
      </c>
    </row>
    <row r="92" spans="27:35" x14ac:dyDescent="0.3">
      <c r="AA92">
        <v>1015</v>
      </c>
      <c r="AB92" t="s">
        <v>42</v>
      </c>
      <c r="AC92">
        <v>7.4544543978920172E-2</v>
      </c>
      <c r="AD92">
        <v>5.0999999999999996</v>
      </c>
      <c r="AE92">
        <f>AD92*AC92</f>
        <v>0.38017717429249287</v>
      </c>
      <c r="AF92">
        <f>$AF$16*AE92</f>
        <v>0</v>
      </c>
      <c r="AI92">
        <f>AC92*AH92</f>
        <v>0</v>
      </c>
    </row>
    <row r="93" spans="27:35" x14ac:dyDescent="0.3">
      <c r="AA93">
        <v>1015</v>
      </c>
      <c r="AB93" t="s">
        <v>43</v>
      </c>
      <c r="AI93">
        <f t="shared" ref="AI93:AI136" si="5">AC93*AH93</f>
        <v>0</v>
      </c>
    </row>
    <row r="94" spans="27:35" x14ac:dyDescent="0.3">
      <c r="AA94">
        <v>966</v>
      </c>
      <c r="AB94" t="s">
        <v>44</v>
      </c>
      <c r="AC94">
        <v>7.516687506609683E-2</v>
      </c>
      <c r="AD94">
        <v>7.9</v>
      </c>
      <c r="AE94">
        <f t="shared" ref="AE94:AE135" si="6">AD94*AC94</f>
        <v>0.59381831302216503</v>
      </c>
      <c r="AF94">
        <f>$AF$16*AE94</f>
        <v>0</v>
      </c>
      <c r="AI94">
        <f t="shared" si="5"/>
        <v>0</v>
      </c>
    </row>
    <row r="95" spans="27:35" x14ac:dyDescent="0.3">
      <c r="AA95">
        <v>967</v>
      </c>
      <c r="AB95" t="s">
        <v>45</v>
      </c>
      <c r="AC95">
        <v>9.362938827511974E-2</v>
      </c>
      <c r="AD95">
        <v>0.7</v>
      </c>
      <c r="AE95">
        <f t="shared" si="6"/>
        <v>6.554057179258381E-2</v>
      </c>
      <c r="AF95">
        <f>$AF$16*AE95</f>
        <v>0</v>
      </c>
      <c r="AI95">
        <f t="shared" si="5"/>
        <v>0</v>
      </c>
    </row>
    <row r="96" spans="27:35" x14ac:dyDescent="0.3">
      <c r="AA96">
        <v>2663</v>
      </c>
      <c r="AB96" t="s">
        <v>46</v>
      </c>
      <c r="AC96">
        <v>4.1658800596289485</v>
      </c>
      <c r="AD96">
        <f>14/120</f>
        <v>0.11666666666666667</v>
      </c>
      <c r="AE96">
        <f t="shared" si="6"/>
        <v>0.48601934029004401</v>
      </c>
      <c r="AF96">
        <f>$AF$16*AE96</f>
        <v>0</v>
      </c>
      <c r="AH96">
        <v>4.0000000000000001E-3</v>
      </c>
      <c r="AI96">
        <f t="shared" si="5"/>
        <v>1.6663520238515795E-2</v>
      </c>
    </row>
    <row r="97" spans="27:35" x14ac:dyDescent="0.3">
      <c r="AA97">
        <v>5593</v>
      </c>
      <c r="AB97" t="s">
        <v>47</v>
      </c>
      <c r="AC97">
        <v>0.84579387717046484</v>
      </c>
      <c r="AD97">
        <f>17.1/120</f>
        <v>0.14250000000000002</v>
      </c>
      <c r="AE97">
        <f t="shared" si="6"/>
        <v>0.12052562749679126</v>
      </c>
      <c r="AF97">
        <f>$AF$16*AE97</f>
        <v>0</v>
      </c>
      <c r="AH97">
        <v>4.0000000000000001E-3</v>
      </c>
      <c r="AI97">
        <f>AC97*AH97</f>
        <v>3.3831755086818592E-3</v>
      </c>
    </row>
    <row r="98" spans="27:35" x14ac:dyDescent="0.3">
      <c r="AA98">
        <v>3693</v>
      </c>
      <c r="AB98" t="s">
        <v>48</v>
      </c>
      <c r="AC98">
        <v>0.29404315002202913</v>
      </c>
      <c r="AD98">
        <f>37.8/300</f>
        <v>0.126</v>
      </c>
      <c r="AE98">
        <f t="shared" si="6"/>
        <v>3.7049436902775672E-2</v>
      </c>
      <c r="AF98">
        <f>$AF$16*AE98</f>
        <v>0</v>
      </c>
      <c r="AH98">
        <v>4.0000000000000001E-3</v>
      </c>
      <c r="AI98">
        <f t="shared" si="5"/>
        <v>1.1761726000881166E-3</v>
      </c>
    </row>
    <row r="99" spans="27:35" x14ac:dyDescent="0.3">
      <c r="AA99">
        <v>3689</v>
      </c>
      <c r="AB99" t="s">
        <v>49</v>
      </c>
      <c r="AH99">
        <v>4.0000000000000001E-3</v>
      </c>
      <c r="AI99">
        <f t="shared" si="5"/>
        <v>0</v>
      </c>
    </row>
    <row r="100" spans="27:35" x14ac:dyDescent="0.3">
      <c r="AA100">
        <v>60</v>
      </c>
      <c r="AB100" t="s">
        <v>50</v>
      </c>
      <c r="AC100">
        <v>0.356388088376561</v>
      </c>
      <c r="AD100">
        <f>25.1/100</f>
        <v>0.251</v>
      </c>
      <c r="AE100">
        <f t="shared" si="6"/>
        <v>8.9453410182516804E-2</v>
      </c>
      <c r="AF100">
        <f>$AF$16*AE100</f>
        <v>0</v>
      </c>
      <c r="AH100">
        <v>4.0000000000000001E-3</v>
      </c>
      <c r="AI100">
        <f t="shared" si="5"/>
        <v>1.4255523535062441E-3</v>
      </c>
    </row>
    <row r="101" spans="27:35" x14ac:dyDescent="0.3">
      <c r="AA101">
        <v>883</v>
      </c>
      <c r="AB101" t="s">
        <v>51</v>
      </c>
      <c r="AC101">
        <v>5.2479609328290895</v>
      </c>
      <c r="AD101">
        <f>31.15/300</f>
        <v>0.10383333333333333</v>
      </c>
      <c r="AE101">
        <f t="shared" si="6"/>
        <v>0.54491327685875379</v>
      </c>
      <c r="AF101">
        <f>$AF$16*AE101</f>
        <v>0</v>
      </c>
      <c r="AH101">
        <v>4.0000000000000001E-3</v>
      </c>
      <c r="AI101">
        <f t="shared" si="5"/>
        <v>2.0991843731316358E-2</v>
      </c>
    </row>
    <row r="102" spans="27:35" x14ac:dyDescent="0.3">
      <c r="AA102">
        <v>1016</v>
      </c>
      <c r="AB102" t="s">
        <v>52</v>
      </c>
      <c r="AH102">
        <v>2.5000000000000001E-2</v>
      </c>
      <c r="AI102">
        <f t="shared" si="5"/>
        <v>0</v>
      </c>
    </row>
    <row r="103" spans="27:35" x14ac:dyDescent="0.3">
      <c r="AA103">
        <v>1016</v>
      </c>
      <c r="AB103" t="s">
        <v>53</v>
      </c>
      <c r="AH103">
        <v>2.5000000000000001E-2</v>
      </c>
      <c r="AI103">
        <f t="shared" si="5"/>
        <v>0</v>
      </c>
    </row>
    <row r="104" spans="27:35" x14ac:dyDescent="0.3">
      <c r="AA104">
        <v>1016</v>
      </c>
      <c r="AB104" t="s">
        <v>54</v>
      </c>
      <c r="AC104">
        <v>2.145498213332258E-2</v>
      </c>
      <c r="AD104">
        <v>4.4000000000000004</v>
      </c>
      <c r="AE104">
        <f t="shared" si="6"/>
        <v>9.4401921386619361E-2</v>
      </c>
      <c r="AF104">
        <f t="shared" ref="AF104:AF115" si="7">$AF$16*AE104</f>
        <v>0</v>
      </c>
      <c r="AH104">
        <v>2.5000000000000001E-2</v>
      </c>
      <c r="AI104">
        <f t="shared" si="5"/>
        <v>5.3637455333306453E-4</v>
      </c>
    </row>
    <row r="105" spans="27:35" x14ac:dyDescent="0.3">
      <c r="AA105">
        <v>2612</v>
      </c>
      <c r="AB105" t="s">
        <v>55</v>
      </c>
      <c r="AC105">
        <v>0.44285629667540061</v>
      </c>
      <c r="AD105">
        <v>0.6</v>
      </c>
      <c r="AE105">
        <f t="shared" si="6"/>
        <v>0.26571377800524038</v>
      </c>
      <c r="AF105">
        <f t="shared" si="7"/>
        <v>0</v>
      </c>
      <c r="AI105">
        <f t="shared" si="5"/>
        <v>0</v>
      </c>
    </row>
    <row r="106" spans="27:35" x14ac:dyDescent="0.3">
      <c r="AA106">
        <v>968</v>
      </c>
      <c r="AB106" t="s">
        <v>56</v>
      </c>
      <c r="AC106">
        <v>0.14182475320646629</v>
      </c>
      <c r="AD106">
        <v>0.9</v>
      </c>
      <c r="AE106">
        <f t="shared" si="6"/>
        <v>0.12764227788581967</v>
      </c>
      <c r="AF106">
        <f t="shared" si="7"/>
        <v>0</v>
      </c>
      <c r="AI106">
        <f t="shared" si="5"/>
        <v>0</v>
      </c>
    </row>
    <row r="107" spans="27:35" x14ac:dyDescent="0.3">
      <c r="AA107">
        <v>3821</v>
      </c>
      <c r="AB107" t="s">
        <v>57</v>
      </c>
      <c r="AC107">
        <v>2.0964360587002098E-2</v>
      </c>
      <c r="AD107">
        <v>10.3</v>
      </c>
      <c r="AE107">
        <f t="shared" si="6"/>
        <v>0.21593291404612161</v>
      </c>
      <c r="AF107">
        <f t="shared" si="7"/>
        <v>0</v>
      </c>
      <c r="AH107">
        <v>1.0999999999999999E-2</v>
      </c>
      <c r="AI107">
        <f t="shared" si="5"/>
        <v>2.3060796645702305E-4</v>
      </c>
    </row>
    <row r="108" spans="27:35" x14ac:dyDescent="0.3">
      <c r="AA108">
        <v>960</v>
      </c>
      <c r="AB108" t="s">
        <v>58</v>
      </c>
      <c r="AC108">
        <v>0.11842139943752764</v>
      </c>
      <c r="AD108">
        <v>1.6</v>
      </c>
      <c r="AE108">
        <f t="shared" si="6"/>
        <v>0.18947423910004424</v>
      </c>
      <c r="AF108">
        <f t="shared" si="7"/>
        <v>0</v>
      </c>
      <c r="AH108">
        <v>4.0000000000000001E-3</v>
      </c>
      <c r="AI108">
        <f t="shared" si="5"/>
        <v>4.7368559775011053E-4</v>
      </c>
    </row>
    <row r="109" spans="27:35" x14ac:dyDescent="0.3">
      <c r="AA109">
        <v>959</v>
      </c>
      <c r="AB109" t="s">
        <v>59</v>
      </c>
      <c r="AC109">
        <v>7.9403307137228166E-2</v>
      </c>
      <c r="AD109">
        <v>1.5</v>
      </c>
      <c r="AE109">
        <f t="shared" si="6"/>
        <v>0.11910496070584226</v>
      </c>
      <c r="AF109">
        <f t="shared" si="7"/>
        <v>0</v>
      </c>
      <c r="AH109">
        <v>4.0000000000000001E-3</v>
      </c>
      <c r="AI109">
        <f t="shared" si="5"/>
        <v>3.1761322854891266E-4</v>
      </c>
    </row>
    <row r="110" spans="27:35" x14ac:dyDescent="0.3">
      <c r="AA110">
        <v>2622</v>
      </c>
      <c r="AB110" t="s">
        <v>60</v>
      </c>
      <c r="AC110">
        <v>4.5625427204374569E-2</v>
      </c>
      <c r="AD110">
        <v>1.5</v>
      </c>
      <c r="AE110">
        <f t="shared" si="6"/>
        <v>6.8438140806561854E-2</v>
      </c>
      <c r="AF110">
        <f t="shared" si="7"/>
        <v>0</v>
      </c>
      <c r="AH110">
        <v>4.0000000000000001E-3</v>
      </c>
      <c r="AI110">
        <f t="shared" si="5"/>
        <v>1.8250170881749827E-4</v>
      </c>
    </row>
    <row r="111" spans="27:35" x14ac:dyDescent="0.3">
      <c r="AA111">
        <v>2623</v>
      </c>
      <c r="AB111" t="s">
        <v>61</v>
      </c>
      <c r="AC111">
        <v>0.21818680255972212</v>
      </c>
      <c r="AD111">
        <v>0.9</v>
      </c>
      <c r="AE111">
        <f t="shared" si="6"/>
        <v>0.19636812230374992</v>
      </c>
      <c r="AF111">
        <f t="shared" si="7"/>
        <v>0</v>
      </c>
      <c r="AH111">
        <v>4.0000000000000001E-3</v>
      </c>
      <c r="AI111">
        <f t="shared" si="5"/>
        <v>8.7274721023888847E-4</v>
      </c>
    </row>
    <row r="112" spans="27:35" x14ac:dyDescent="0.3">
      <c r="AA112">
        <v>1017</v>
      </c>
      <c r="AB112" t="s">
        <v>62</v>
      </c>
      <c r="AC112">
        <v>8.4215455304086126E-2</v>
      </c>
      <c r="AD112">
        <v>12.4</v>
      </c>
      <c r="AE112">
        <f t="shared" si="6"/>
        <v>1.044271645770668</v>
      </c>
      <c r="AF112">
        <f t="shared" si="7"/>
        <v>0</v>
      </c>
      <c r="AH112">
        <v>5.0000000000000001E-3</v>
      </c>
      <c r="AI112">
        <f t="shared" si="5"/>
        <v>4.2107727652043064E-4</v>
      </c>
    </row>
    <row r="113" spans="27:35" x14ac:dyDescent="0.3">
      <c r="AA113">
        <v>974</v>
      </c>
      <c r="AB113" t="s">
        <v>63</v>
      </c>
      <c r="AC113">
        <v>4.9578013919243713E-2</v>
      </c>
      <c r="AD113">
        <v>2.5</v>
      </c>
      <c r="AE113">
        <f t="shared" si="6"/>
        <v>0.12394503479810928</v>
      </c>
      <c r="AF113">
        <f t="shared" si="7"/>
        <v>0</v>
      </c>
      <c r="AH113">
        <v>1.7000000000000001E-2</v>
      </c>
      <c r="AI113">
        <f t="shared" si="5"/>
        <v>8.428262366271432E-4</v>
      </c>
    </row>
    <row r="114" spans="27:35" x14ac:dyDescent="0.3">
      <c r="AA114">
        <v>981</v>
      </c>
      <c r="AB114" t="s">
        <v>64</v>
      </c>
      <c r="AC114">
        <v>6.2893081761006293E-3</v>
      </c>
      <c r="AD114">
        <v>6.1</v>
      </c>
      <c r="AE114">
        <f t="shared" si="6"/>
        <v>3.8364779874213835E-2</v>
      </c>
      <c r="AF114">
        <f t="shared" si="7"/>
        <v>0</v>
      </c>
      <c r="AH114">
        <v>1.7000000000000001E-2</v>
      </c>
      <c r="AI114">
        <f t="shared" si="5"/>
        <v>1.0691823899371071E-4</v>
      </c>
    </row>
    <row r="115" spans="27:35" x14ac:dyDescent="0.3">
      <c r="AA115">
        <v>2610</v>
      </c>
      <c r="AB115" t="s">
        <v>65</v>
      </c>
      <c r="AC115">
        <v>9.6016169519486258E-2</v>
      </c>
      <c r="AD115">
        <v>14.7</v>
      </c>
      <c r="AE115">
        <v>0</v>
      </c>
      <c r="AF115">
        <f t="shared" si="7"/>
        <v>0</v>
      </c>
      <c r="AH115">
        <v>7.8E-2</v>
      </c>
      <c r="AI115">
        <f t="shared" si="5"/>
        <v>7.4892612225199284E-3</v>
      </c>
    </row>
    <row r="116" spans="27:35" x14ac:dyDescent="0.3">
      <c r="AA116">
        <v>2610</v>
      </c>
      <c r="AB116" t="s">
        <v>66</v>
      </c>
      <c r="AI116">
        <f t="shared" si="5"/>
        <v>0</v>
      </c>
    </row>
    <row r="117" spans="27:35" x14ac:dyDescent="0.3">
      <c r="AB117" t="s">
        <v>67</v>
      </c>
      <c r="AI117">
        <f t="shared" si="5"/>
        <v>0</v>
      </c>
    </row>
    <row r="118" spans="27:35" x14ac:dyDescent="0.3">
      <c r="AA118">
        <v>2611</v>
      </c>
      <c r="AB118" t="s">
        <v>68</v>
      </c>
      <c r="AC118">
        <v>5.4844289961149179E-2</v>
      </c>
      <c r="AD118">
        <v>16.399999999999999</v>
      </c>
      <c r="AE118">
        <v>0</v>
      </c>
      <c r="AF118">
        <f>$AF$16*AE118</f>
        <v>0</v>
      </c>
      <c r="AH118">
        <v>0.156</v>
      </c>
      <c r="AI118">
        <f t="shared" si="5"/>
        <v>8.5557092339392724E-3</v>
      </c>
    </row>
    <row r="119" spans="27:35" x14ac:dyDescent="0.3">
      <c r="AA119">
        <v>2611</v>
      </c>
      <c r="AB119" t="s">
        <v>69</v>
      </c>
      <c r="AI119">
        <f t="shared" si="5"/>
        <v>0</v>
      </c>
    </row>
    <row r="120" spans="27:35" x14ac:dyDescent="0.3">
      <c r="AA120">
        <v>2611</v>
      </c>
      <c r="AB120" t="s">
        <v>70</v>
      </c>
      <c r="AC120">
        <v>6.858216547868505E-2</v>
      </c>
      <c r="AD120">
        <v>16.399999999999999</v>
      </c>
      <c r="AE120">
        <v>0</v>
      </c>
      <c r="AF120">
        <f>$AF$16*AE120</f>
        <v>0</v>
      </c>
      <c r="AH120">
        <v>7.8E-2</v>
      </c>
      <c r="AI120">
        <f t="shared" si="5"/>
        <v>5.3494089073374343E-3</v>
      </c>
    </row>
    <row r="121" spans="27:35" x14ac:dyDescent="0.3">
      <c r="AA121">
        <v>2611</v>
      </c>
      <c r="AB121" t="s">
        <v>71</v>
      </c>
      <c r="AI121">
        <f t="shared" si="5"/>
        <v>0</v>
      </c>
    </row>
    <row r="122" spans="27:35" x14ac:dyDescent="0.3">
      <c r="AA122">
        <v>2611</v>
      </c>
      <c r="AB122" t="s">
        <v>72</v>
      </c>
      <c r="AI122">
        <f t="shared" si="5"/>
        <v>0</v>
      </c>
    </row>
    <row r="123" spans="27:35" x14ac:dyDescent="0.3">
      <c r="AA123">
        <v>6651</v>
      </c>
      <c r="AB123" t="s">
        <v>73</v>
      </c>
      <c r="AC123">
        <v>1.4753496920188866E-2</v>
      </c>
      <c r="AD123">
        <v>13.3</v>
      </c>
      <c r="AE123">
        <v>0</v>
      </c>
      <c r="AF123">
        <f t="shared" ref="AF123:AF129" si="8">$AF$16*AE123</f>
        <v>0</v>
      </c>
      <c r="AH123">
        <v>5.4600000000000003E-2</v>
      </c>
      <c r="AI123">
        <f t="shared" si="5"/>
        <v>8.0554093184231207E-4</v>
      </c>
    </row>
    <row r="124" spans="27:35" x14ac:dyDescent="0.3">
      <c r="AA124">
        <v>6652</v>
      </c>
      <c r="AB124" t="s">
        <v>74</v>
      </c>
      <c r="AC124">
        <v>3.5852763950746658E-2</v>
      </c>
      <c r="AD124">
        <v>18.2</v>
      </c>
      <c r="AE124">
        <v>0</v>
      </c>
      <c r="AF124">
        <f t="shared" si="8"/>
        <v>0</v>
      </c>
      <c r="AH124">
        <v>5.4600000000000003E-2</v>
      </c>
      <c r="AI124">
        <f t="shared" si="5"/>
        <v>1.9575609117107678E-3</v>
      </c>
    </row>
    <row r="125" spans="27:35" x14ac:dyDescent="0.3">
      <c r="AA125">
        <v>6653</v>
      </c>
      <c r="AB125" t="s">
        <v>75</v>
      </c>
      <c r="AC125">
        <v>0.10850194979195435</v>
      </c>
      <c r="AD125">
        <v>23</v>
      </c>
      <c r="AE125">
        <v>0</v>
      </c>
      <c r="AF125">
        <f t="shared" si="8"/>
        <v>0</v>
      </c>
      <c r="AH125">
        <v>5.4600000000000003E-2</v>
      </c>
      <c r="AI125">
        <f t="shared" si="5"/>
        <v>5.9242064586407074E-3</v>
      </c>
    </row>
    <row r="126" spans="27:35" x14ac:dyDescent="0.3">
      <c r="AA126">
        <v>6654</v>
      </c>
      <c r="AB126" t="s">
        <v>76</v>
      </c>
      <c r="AC126">
        <v>2.7773734178254121E-2</v>
      </c>
      <c r="AD126">
        <v>27.9</v>
      </c>
      <c r="AE126">
        <v>0</v>
      </c>
      <c r="AF126">
        <f t="shared" si="8"/>
        <v>0</v>
      </c>
      <c r="AH126">
        <v>5.4600000000000003E-2</v>
      </c>
      <c r="AI126">
        <f t="shared" si="5"/>
        <v>1.516445886132675E-3</v>
      </c>
    </row>
    <row r="127" spans="27:35" x14ac:dyDescent="0.3">
      <c r="AA127">
        <v>6655</v>
      </c>
      <c r="AB127" t="s">
        <v>77</v>
      </c>
      <c r="AC127">
        <v>2.0778613418534549E-2</v>
      </c>
      <c r="AD127">
        <v>37.200000000000003</v>
      </c>
      <c r="AE127">
        <v>0</v>
      </c>
      <c r="AF127">
        <f t="shared" si="8"/>
        <v>0</v>
      </c>
      <c r="AH127">
        <v>5.4600000000000003E-2</v>
      </c>
      <c r="AI127">
        <f t="shared" si="5"/>
        <v>1.1345122926519865E-3</v>
      </c>
    </row>
    <row r="128" spans="27:35" x14ac:dyDescent="0.3">
      <c r="AA128">
        <v>2611</v>
      </c>
      <c r="AB128" t="s">
        <v>78</v>
      </c>
      <c r="AC128">
        <v>1.8623130536835727E-2</v>
      </c>
      <c r="AD128">
        <v>21.3</v>
      </c>
      <c r="AE128">
        <v>0</v>
      </c>
      <c r="AF128">
        <f t="shared" si="8"/>
        <v>0</v>
      </c>
      <c r="AI128">
        <f t="shared" si="5"/>
        <v>0</v>
      </c>
    </row>
    <row r="129" spans="27:35" x14ac:dyDescent="0.3">
      <c r="AA129">
        <v>2611</v>
      </c>
      <c r="AB129" t="s">
        <v>79</v>
      </c>
      <c r="AF129">
        <f t="shared" si="8"/>
        <v>0</v>
      </c>
      <c r="AI129">
        <f t="shared" si="5"/>
        <v>0</v>
      </c>
    </row>
    <row r="130" spans="27:35" x14ac:dyDescent="0.3">
      <c r="AA130">
        <v>2611</v>
      </c>
      <c r="AB130" t="s">
        <v>80</v>
      </c>
      <c r="AI130">
        <f t="shared" si="5"/>
        <v>0</v>
      </c>
    </row>
    <row r="131" spans="27:35" x14ac:dyDescent="0.3">
      <c r="AA131">
        <v>3363</v>
      </c>
      <c r="AB131" t="s">
        <v>81</v>
      </c>
      <c r="AC131">
        <v>6.8102665572076518E-2</v>
      </c>
      <c r="AD131">
        <v>4.5</v>
      </c>
      <c r="AE131">
        <f t="shared" si="6"/>
        <v>0.30646199507434435</v>
      </c>
      <c r="AF131">
        <f t="shared" ref="AF131:AF136" si="9">$AF$16*AE131</f>
        <v>0</v>
      </c>
      <c r="AI131">
        <f t="shared" si="5"/>
        <v>0</v>
      </c>
    </row>
    <row r="132" spans="27:35" x14ac:dyDescent="0.3">
      <c r="AA132">
        <v>3315</v>
      </c>
      <c r="AB132" t="s">
        <v>82</v>
      </c>
      <c r="AC132">
        <v>4.9126726872062839E-3</v>
      </c>
      <c r="AD132">
        <v>8</v>
      </c>
      <c r="AE132">
        <f t="shared" si="6"/>
        <v>3.9301381497650272E-2</v>
      </c>
      <c r="AF132">
        <f t="shared" si="9"/>
        <v>0</v>
      </c>
      <c r="AI132">
        <f t="shared" si="5"/>
        <v>0</v>
      </c>
    </row>
    <row r="133" spans="27:35" x14ac:dyDescent="0.3">
      <c r="AA133">
        <v>888</v>
      </c>
      <c r="AB133" t="s">
        <v>83</v>
      </c>
      <c r="AC133">
        <v>0.45759100541015407</v>
      </c>
      <c r="AD133">
        <f>19.1/100</f>
        <v>0.191</v>
      </c>
      <c r="AE133">
        <f t="shared" si="6"/>
        <v>8.7399882033339427E-2</v>
      </c>
      <c r="AF133">
        <f t="shared" si="9"/>
        <v>0</v>
      </c>
      <c r="AI133">
        <f t="shared" si="5"/>
        <v>0</v>
      </c>
    </row>
    <row r="134" spans="27:35" x14ac:dyDescent="0.3">
      <c r="AA134">
        <v>5169</v>
      </c>
      <c r="AB134" t="s">
        <v>84</v>
      </c>
      <c r="AC134">
        <v>3.9944266260055735E-3</v>
      </c>
      <c r="AD134">
        <v>6.1</v>
      </c>
      <c r="AE134">
        <f t="shared" si="6"/>
        <v>2.4366002418633997E-2</v>
      </c>
      <c r="AF134">
        <f t="shared" si="9"/>
        <v>0</v>
      </c>
      <c r="AI134">
        <f t="shared" si="5"/>
        <v>0</v>
      </c>
    </row>
    <row r="135" spans="27:35" x14ac:dyDescent="0.3">
      <c r="AA135">
        <v>5345</v>
      </c>
      <c r="AB135" t="s">
        <v>85</v>
      </c>
      <c r="AC135">
        <v>7.2624743677375259E-3</v>
      </c>
      <c r="AD135">
        <v>11</v>
      </c>
      <c r="AE135">
        <f t="shared" si="6"/>
        <v>7.9887218045112784E-2</v>
      </c>
      <c r="AF135">
        <f t="shared" si="9"/>
        <v>0</v>
      </c>
      <c r="AI135">
        <f t="shared" si="5"/>
        <v>0</v>
      </c>
    </row>
    <row r="136" spans="27:35" x14ac:dyDescent="0.3">
      <c r="AA136">
        <v>4526</v>
      </c>
      <c r="AB136" t="s">
        <v>86</v>
      </c>
      <c r="AC136">
        <v>0.45302887901572109</v>
      </c>
      <c r="AD136">
        <v>12.3</v>
      </c>
      <c r="AE136">
        <v>0</v>
      </c>
      <c r="AF136">
        <f t="shared" si="9"/>
        <v>0</v>
      </c>
      <c r="AI136">
        <f t="shared" si="5"/>
        <v>0</v>
      </c>
    </row>
  </sheetData>
  <sheetProtection algorithmName="SHA-512" hashValue="wMRHTASXTZ/CsJ3trJeMoDNK7a5gw5Wocyol3QHpyiFP+aZVTz/Bt2+WcLqPyNu/iP/0G/tsdOPbURBL/6nFuA==" saltValue="puoPmj2CSxoZNpqKHNbR2g==" spinCount="100000" sheet="1" objects="1" scenarios="1"/>
  <protectedRanges>
    <protectedRange sqref="C4:C63 Q4:Q14 K4:M37 F4:G63" name="Rango1"/>
  </protectedRanges>
  <mergeCells count="3">
    <mergeCell ref="B2:C2"/>
    <mergeCell ref="E2:G2"/>
    <mergeCell ref="J2:M2"/>
  </mergeCells>
  <dataValidations count="4">
    <dataValidation type="list" allowBlank="1" showInputMessage="1" showErrorMessage="1" sqref="R5">
      <formula1>$AE$4:$AE$5</formula1>
    </dataValidation>
    <dataValidation type="list" allowBlank="1" showInputMessage="1" showErrorMessage="1" sqref="Q10">
      <formula1>$AC$4:$AC$5</formula1>
    </dataValidation>
    <dataValidation type="list" allowBlank="1" showInputMessage="1" showErrorMessage="1" sqref="Q11">
      <formula1>$AC$5:$AC$7</formula1>
    </dataValidation>
    <dataValidation type="list" allowBlank="1" showInputMessage="1" showErrorMessage="1" sqref="Q12">
      <formula1>$AC$8:$AC$10</formula1>
    </dataValidation>
  </dataValidations>
  <pageMargins left="0.7" right="0.7" top="0.75" bottom="0.75" header="0.3" footer="0.3"/>
  <pageSetup scale="5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136"/>
  <sheetViews>
    <sheetView view="pageBreakPreview" zoomScaleNormal="100" zoomScaleSheetLayoutView="100" workbookViewId="0">
      <selection activeCell="C4" sqref="C4"/>
    </sheetView>
  </sheetViews>
  <sheetFormatPr baseColWidth="10" defaultRowHeight="14.4" x14ac:dyDescent="0.3"/>
  <cols>
    <col min="1" max="1" width="4.6640625" customWidth="1"/>
    <col min="2" max="2" width="4.6640625" bestFit="1" customWidth="1"/>
    <col min="3" max="3" width="11.6640625" customWidth="1"/>
    <col min="4" max="4" width="4.6640625" customWidth="1"/>
    <col min="5" max="5" width="4.6640625" bestFit="1" customWidth="1"/>
    <col min="6" max="7" width="11.6640625" customWidth="1"/>
    <col min="8" max="8" width="11.5546875" hidden="1" customWidth="1"/>
    <col min="9" max="9" width="4.6640625" customWidth="1"/>
    <col min="10" max="10" width="4.6640625" bestFit="1" customWidth="1"/>
    <col min="11" max="11" width="11.6640625" customWidth="1"/>
    <col min="12" max="13" width="7.6640625" customWidth="1"/>
    <col min="14" max="14" width="3.44140625" hidden="1" customWidth="1"/>
    <col min="15" max="15" width="4.6640625" customWidth="1"/>
    <col min="16" max="16" width="18.33203125" customWidth="1"/>
    <col min="17" max="17" width="14.109375" bestFit="1" customWidth="1"/>
    <col min="18" max="18" width="8.109375" bestFit="1" customWidth="1"/>
    <col min="19" max="19" width="4.6640625" customWidth="1"/>
    <col min="20" max="20" width="10.33203125" customWidth="1"/>
    <col min="21" max="26" width="11.5546875" customWidth="1"/>
    <col min="27" max="27" width="5" customWidth="1"/>
    <col min="28" max="28" width="26.33203125" customWidth="1"/>
    <col min="29" max="35" width="11.5546875" customWidth="1"/>
  </cols>
  <sheetData>
    <row r="1" spans="2:33" ht="15" thickBot="1" x14ac:dyDescent="0.35"/>
    <row r="2" spans="2:33" x14ac:dyDescent="0.3">
      <c r="B2" s="317" t="s">
        <v>89</v>
      </c>
      <c r="C2" s="318"/>
      <c r="E2" s="317" t="s">
        <v>99</v>
      </c>
      <c r="F2" s="319"/>
      <c r="G2" s="318"/>
      <c r="J2" s="317" t="s">
        <v>279</v>
      </c>
      <c r="K2" s="319"/>
      <c r="L2" s="319"/>
      <c r="M2" s="318"/>
    </row>
    <row r="3" spans="2:33" ht="29.4" customHeight="1" thickBot="1" x14ac:dyDescent="0.35">
      <c r="B3" s="233" t="s">
        <v>90</v>
      </c>
      <c r="C3" s="234" t="s">
        <v>287</v>
      </c>
      <c r="D3" s="235"/>
      <c r="E3" s="233" t="s">
        <v>90</v>
      </c>
      <c r="F3" s="242" t="s">
        <v>288</v>
      </c>
      <c r="G3" s="234" t="s">
        <v>289</v>
      </c>
      <c r="J3" s="232" t="s">
        <v>90</v>
      </c>
      <c r="K3" s="243" t="s">
        <v>301</v>
      </c>
      <c r="L3" s="243" t="s">
        <v>285</v>
      </c>
      <c r="M3" s="231" t="s">
        <v>286</v>
      </c>
      <c r="O3" s="244"/>
    </row>
    <row r="4" spans="2:33" x14ac:dyDescent="0.3">
      <c r="B4" s="206">
        <v>1</v>
      </c>
      <c r="C4" s="193"/>
      <c r="E4" s="206">
        <v>1</v>
      </c>
      <c r="F4" s="241"/>
      <c r="G4" s="193"/>
      <c r="H4">
        <f>SUM(F4:G4)*2*$Q$8/10000</f>
        <v>0</v>
      </c>
      <c r="J4" s="207">
        <v>1</v>
      </c>
      <c r="K4" s="190"/>
      <c r="L4" s="190"/>
      <c r="M4" s="194"/>
      <c r="N4">
        <f t="shared" ref="N4:N37" si="0">IF(ISERROR(AVERAGE(L4:M4)*K4/10000),0,AVERAGE(L4:M4)*K4/10000*2)</f>
        <v>0</v>
      </c>
      <c r="P4" s="209" t="s">
        <v>1</v>
      </c>
      <c r="Q4" s="205"/>
      <c r="R4" s="216" t="s">
        <v>277</v>
      </c>
      <c r="AC4" t="s">
        <v>95</v>
      </c>
      <c r="AD4" t="s">
        <v>159</v>
      </c>
      <c r="AE4" t="s">
        <v>6</v>
      </c>
    </row>
    <row r="5" spans="2:33" x14ac:dyDescent="0.3">
      <c r="B5" s="206">
        <v>2</v>
      </c>
      <c r="C5" s="193"/>
      <c r="E5" s="206">
        <v>2</v>
      </c>
      <c r="F5" s="241"/>
      <c r="G5" s="193"/>
      <c r="H5">
        <f t="shared" ref="H5:H63" si="1">SUM(F5:G5)*2*$Q$8/10000</f>
        <v>0</v>
      </c>
      <c r="J5" s="207">
        <v>2</v>
      </c>
      <c r="K5" s="190"/>
      <c r="L5" s="190"/>
      <c r="M5" s="194"/>
      <c r="N5">
        <f t="shared" si="0"/>
        <v>0</v>
      </c>
      <c r="P5" s="207" t="s">
        <v>290</v>
      </c>
      <c r="Q5" s="199"/>
      <c r="R5" s="246" t="str">
        <f>'EQUIPO BASE'!R5</f>
        <v>pesos</v>
      </c>
      <c r="AC5" t="s">
        <v>96</v>
      </c>
      <c r="AD5" t="s">
        <v>161</v>
      </c>
      <c r="AE5" t="s">
        <v>317</v>
      </c>
    </row>
    <row r="6" spans="2:33" x14ac:dyDescent="0.3">
      <c r="B6" s="206">
        <v>3</v>
      </c>
      <c r="C6" s="193"/>
      <c r="E6" s="206">
        <v>3</v>
      </c>
      <c r="F6" s="241"/>
      <c r="G6" s="193"/>
      <c r="H6">
        <f t="shared" si="1"/>
        <v>0</v>
      </c>
      <c r="J6" s="207">
        <v>3</v>
      </c>
      <c r="K6" s="190"/>
      <c r="L6" s="190"/>
      <c r="M6" s="194"/>
      <c r="N6">
        <f t="shared" si="0"/>
        <v>0</v>
      </c>
      <c r="P6" s="207" t="s">
        <v>91</v>
      </c>
      <c r="Q6" s="199"/>
      <c r="R6" s="216" t="s">
        <v>92</v>
      </c>
      <c r="AC6" t="s">
        <v>97</v>
      </c>
      <c r="AD6" t="s">
        <v>163</v>
      </c>
    </row>
    <row r="7" spans="2:33" x14ac:dyDescent="0.3">
      <c r="B7" s="206">
        <v>4</v>
      </c>
      <c r="C7" s="193"/>
      <c r="E7" s="206">
        <v>4</v>
      </c>
      <c r="F7" s="241"/>
      <c r="G7" s="193"/>
      <c r="H7">
        <f t="shared" si="1"/>
        <v>0</v>
      </c>
      <c r="J7" s="207">
        <v>4</v>
      </c>
      <c r="K7" s="190"/>
      <c r="L7" s="190"/>
      <c r="M7" s="194"/>
      <c r="N7">
        <f t="shared" si="0"/>
        <v>0</v>
      </c>
      <c r="P7" s="207" t="s">
        <v>93</v>
      </c>
      <c r="Q7" s="199"/>
      <c r="R7" s="216" t="s">
        <v>92</v>
      </c>
      <c r="AC7" t="s">
        <v>98</v>
      </c>
      <c r="AD7" t="s">
        <v>165</v>
      </c>
    </row>
    <row r="8" spans="2:33" x14ac:dyDescent="0.3">
      <c r="B8" s="206">
        <v>5</v>
      </c>
      <c r="C8" s="194"/>
      <c r="E8" s="206">
        <v>5</v>
      </c>
      <c r="F8" s="241"/>
      <c r="G8" s="193"/>
      <c r="H8">
        <f t="shared" si="1"/>
        <v>0</v>
      </c>
      <c r="J8" s="207">
        <v>5</v>
      </c>
      <c r="K8" s="190"/>
      <c r="L8" s="190"/>
      <c r="M8" s="194"/>
      <c r="N8">
        <f t="shared" si="0"/>
        <v>0</v>
      </c>
      <c r="P8" s="207" t="s">
        <v>219</v>
      </c>
      <c r="Q8" s="199"/>
      <c r="R8" s="216" t="s">
        <v>92</v>
      </c>
      <c r="AC8" t="s">
        <v>96</v>
      </c>
    </row>
    <row r="9" spans="2:33" x14ac:dyDescent="0.3">
      <c r="B9" s="206">
        <v>6</v>
      </c>
      <c r="C9" s="194"/>
      <c r="E9" s="206">
        <v>6</v>
      </c>
      <c r="F9" s="241"/>
      <c r="G9" s="193"/>
      <c r="H9">
        <f t="shared" si="1"/>
        <v>0</v>
      </c>
      <c r="J9" s="207">
        <v>6</v>
      </c>
      <c r="K9" s="190"/>
      <c r="L9" s="190"/>
      <c r="M9" s="194"/>
      <c r="N9">
        <f t="shared" si="0"/>
        <v>0</v>
      </c>
      <c r="P9" s="207" t="s">
        <v>3</v>
      </c>
      <c r="Q9" s="199"/>
      <c r="R9" s="216" t="s">
        <v>4</v>
      </c>
      <c r="AC9" t="s">
        <v>225</v>
      </c>
    </row>
    <row r="10" spans="2:33" x14ac:dyDescent="0.3">
      <c r="B10" s="206">
        <v>7</v>
      </c>
      <c r="C10" s="194"/>
      <c r="E10" s="206">
        <v>7</v>
      </c>
      <c r="F10" s="241"/>
      <c r="G10" s="193"/>
      <c r="H10">
        <f t="shared" si="1"/>
        <v>0</v>
      </c>
      <c r="J10" s="207">
        <v>7</v>
      </c>
      <c r="K10" s="190"/>
      <c r="L10" s="190"/>
      <c r="M10" s="194"/>
      <c r="N10">
        <f t="shared" si="0"/>
        <v>0</v>
      </c>
      <c r="P10" s="207" t="s">
        <v>0</v>
      </c>
      <c r="Q10" s="198" t="s">
        <v>95</v>
      </c>
      <c r="R10" s="223"/>
      <c r="AC10" t="s">
        <v>226</v>
      </c>
    </row>
    <row r="11" spans="2:33" x14ac:dyDescent="0.3">
      <c r="B11" s="206">
        <v>8</v>
      </c>
      <c r="C11" s="194"/>
      <c r="E11" s="206">
        <v>8</v>
      </c>
      <c r="F11" s="241"/>
      <c r="G11" s="193"/>
      <c r="H11">
        <f t="shared" si="1"/>
        <v>0</v>
      </c>
      <c r="J11" s="207">
        <v>8</v>
      </c>
      <c r="K11" s="190"/>
      <c r="L11" s="190"/>
      <c r="M11" s="194"/>
      <c r="N11">
        <f t="shared" si="0"/>
        <v>0</v>
      </c>
      <c r="P11" s="207" t="s">
        <v>2</v>
      </c>
      <c r="Q11" s="198" t="s">
        <v>96</v>
      </c>
      <c r="R11" s="223"/>
    </row>
    <row r="12" spans="2:33" x14ac:dyDescent="0.3">
      <c r="B12" s="206">
        <v>9</v>
      </c>
      <c r="C12" s="194"/>
      <c r="E12" s="206">
        <v>9</v>
      </c>
      <c r="F12" s="241"/>
      <c r="G12" s="193"/>
      <c r="H12">
        <f t="shared" si="1"/>
        <v>0</v>
      </c>
      <c r="J12" s="207">
        <v>9</v>
      </c>
      <c r="K12" s="190"/>
      <c r="L12" s="190"/>
      <c r="M12" s="194"/>
      <c r="N12">
        <f t="shared" si="0"/>
        <v>0</v>
      </c>
      <c r="P12" s="207" t="s">
        <v>87</v>
      </c>
      <c r="Q12" s="198" t="s">
        <v>96</v>
      </c>
      <c r="R12" s="223"/>
    </row>
    <row r="13" spans="2:33" x14ac:dyDescent="0.3">
      <c r="B13" s="206">
        <v>10</v>
      </c>
      <c r="C13" s="194"/>
      <c r="E13" s="206">
        <v>10</v>
      </c>
      <c r="F13" s="241"/>
      <c r="G13" s="193"/>
      <c r="H13">
        <f t="shared" si="1"/>
        <v>0</v>
      </c>
      <c r="J13" s="207">
        <v>10</v>
      </c>
      <c r="K13" s="190"/>
      <c r="L13" s="190"/>
      <c r="M13" s="194"/>
      <c r="N13">
        <f t="shared" si="0"/>
        <v>0</v>
      </c>
      <c r="P13" s="207" t="s">
        <v>284</v>
      </c>
      <c r="Q13" s="245"/>
      <c r="R13" s="223"/>
    </row>
    <row r="14" spans="2:33" ht="15" thickBot="1" x14ac:dyDescent="0.35">
      <c r="B14" s="206">
        <v>11</v>
      </c>
      <c r="C14" s="194"/>
      <c r="E14" s="206">
        <v>11</v>
      </c>
      <c r="F14" s="241"/>
      <c r="G14" s="193"/>
      <c r="H14">
        <f t="shared" si="1"/>
        <v>0</v>
      </c>
      <c r="J14" s="207">
        <v>11</v>
      </c>
      <c r="K14" s="241"/>
      <c r="L14" s="241"/>
      <c r="M14" s="193"/>
      <c r="N14">
        <f t="shared" si="0"/>
        <v>0</v>
      </c>
      <c r="P14" s="208" t="s">
        <v>224</v>
      </c>
      <c r="Q14" s="225"/>
      <c r="R14" s="224"/>
      <c r="V14" t="s">
        <v>220</v>
      </c>
      <c r="W14" t="s">
        <v>221</v>
      </c>
      <c r="X14" t="s">
        <v>222</v>
      </c>
      <c r="Y14" t="s">
        <v>223</v>
      </c>
      <c r="Z14" t="s">
        <v>37</v>
      </c>
    </row>
    <row r="15" spans="2:33" ht="15" thickBot="1" x14ac:dyDescent="0.35">
      <c r="B15" s="206">
        <v>12</v>
      </c>
      <c r="C15" s="194"/>
      <c r="E15" s="206">
        <v>12</v>
      </c>
      <c r="F15" s="241"/>
      <c r="G15" s="193"/>
      <c r="H15">
        <f t="shared" si="1"/>
        <v>0</v>
      </c>
      <c r="J15" s="207">
        <v>12</v>
      </c>
      <c r="K15" s="241"/>
      <c r="L15" s="241"/>
      <c r="M15" s="193"/>
      <c r="N15">
        <f t="shared" si="0"/>
        <v>0</v>
      </c>
      <c r="V15">
        <f>Q6+Q7</f>
        <v>0</v>
      </c>
      <c r="W15">
        <f>ROUNDUP(IF(C4&gt;0,(SUM(C4:C63)*(Q6+Q7)/10000)*2,Q4*IF(Q10="SI",4.8,3.8))-(SUM(F4:F63)*(Q6+Q7)/10000*2)+(SUM(Hoja2!CB4:CD129)/10000),1)</f>
        <v>0</v>
      </c>
      <c r="X15">
        <f>Q4*2</f>
        <v>0</v>
      </c>
      <c r="Y15">
        <f>Q4*2</f>
        <v>0</v>
      </c>
    </row>
    <row r="16" spans="2:33" x14ac:dyDescent="0.3">
      <c r="B16" s="206">
        <v>13</v>
      </c>
      <c r="C16" s="194"/>
      <c r="E16" s="206">
        <v>13</v>
      </c>
      <c r="F16" s="241"/>
      <c r="G16" s="193"/>
      <c r="H16">
        <f t="shared" si="1"/>
        <v>0</v>
      </c>
      <c r="J16" s="207">
        <v>13</v>
      </c>
      <c r="K16" s="190"/>
      <c r="L16" s="190"/>
      <c r="M16" s="194"/>
      <c r="N16">
        <f t="shared" si="0"/>
        <v>0</v>
      </c>
      <c r="P16" s="210" t="s">
        <v>5</v>
      </c>
      <c r="Q16" s="213">
        <f>ROUNDUP(IF(C4&gt;0,(SUM(C4:C63)*(Q6+IF(Q10="SI",Q7,10))/10000)*2+IF(Q10="si",Q4,0),Q4*IF(Q10="SI",4.8,3.8))+SUM(H4:H63)-(SUMPRODUCT(F4:F63,G4:G63)/10000*2),1)</f>
        <v>0</v>
      </c>
      <c r="R16" s="214" t="s">
        <v>277</v>
      </c>
      <c r="V16">
        <f>ROUNDUP(V15/30,0)</f>
        <v>0</v>
      </c>
      <c r="AF16">
        <f>Q16</f>
        <v>0</v>
      </c>
      <c r="AG16" t="s">
        <v>298</v>
      </c>
    </row>
    <row r="17" spans="2:35" ht="14.4" customHeight="1" x14ac:dyDescent="0.3">
      <c r="B17" s="206">
        <v>14</v>
      </c>
      <c r="C17" s="194"/>
      <c r="E17" s="206">
        <v>14</v>
      </c>
      <c r="F17" s="241"/>
      <c r="G17" s="193"/>
      <c r="H17">
        <f t="shared" si="1"/>
        <v>0</v>
      </c>
      <c r="J17" s="207">
        <v>14</v>
      </c>
      <c r="K17" s="190"/>
      <c r="L17" s="190"/>
      <c r="M17" s="194"/>
      <c r="N17">
        <f t="shared" si="0"/>
        <v>0</v>
      </c>
      <c r="P17" s="211" t="s">
        <v>280</v>
      </c>
      <c r="Q17" s="215">
        <f>ROUNDUP(SUM(N4:N37),1)</f>
        <v>0</v>
      </c>
      <c r="R17" s="216" t="s">
        <v>277</v>
      </c>
      <c r="V17">
        <f>ROUNDUP(SUM(C4:C63)/60,0)</f>
        <v>0</v>
      </c>
      <c r="AD17" t="s">
        <v>295</v>
      </c>
      <c r="AE17" t="s">
        <v>94</v>
      </c>
      <c r="AF17">
        <f>SUM(AF18:AF136)</f>
        <v>0</v>
      </c>
      <c r="AG17" t="s">
        <v>291</v>
      </c>
      <c r="AI17">
        <f>SUM(AI18:AI136)</f>
        <v>8.0357262294170256E-2</v>
      </c>
    </row>
    <row r="18" spans="2:35" x14ac:dyDescent="0.3">
      <c r="B18" s="206">
        <v>15</v>
      </c>
      <c r="C18" s="194"/>
      <c r="E18" s="206">
        <v>15</v>
      </c>
      <c r="F18" s="241"/>
      <c r="G18" s="193"/>
      <c r="H18">
        <f t="shared" si="1"/>
        <v>0</v>
      </c>
      <c r="J18" s="207">
        <v>15</v>
      </c>
      <c r="K18" s="190"/>
      <c r="L18" s="190"/>
      <c r="M18" s="194"/>
      <c r="N18">
        <f t="shared" si="0"/>
        <v>0</v>
      </c>
      <c r="P18" s="211" t="s">
        <v>7</v>
      </c>
      <c r="Q18" s="217">
        <f>Q16*Q5</f>
        <v>0</v>
      </c>
      <c r="R18" s="216" t="str">
        <f>R5</f>
        <v>pesos</v>
      </c>
      <c r="V18">
        <f>V17*V16*1.1</f>
        <v>0</v>
      </c>
      <c r="AA18">
        <v>4571</v>
      </c>
      <c r="AB18" t="s">
        <v>10</v>
      </c>
      <c r="AC18">
        <v>0.18583984208294502</v>
      </c>
      <c r="AD18">
        <v>1.6</v>
      </c>
      <c r="AE18">
        <f t="shared" ref="AE18:AE80" si="2">ROUNDUP($AF$16*AC18,0)</f>
        <v>0</v>
      </c>
      <c r="AF18">
        <f>AE18*AD18</f>
        <v>0</v>
      </c>
      <c r="AH18">
        <v>2.5000000000000001E-2</v>
      </c>
      <c r="AI18">
        <f>AH18*AE18</f>
        <v>0</v>
      </c>
    </row>
    <row r="19" spans="2:35" ht="15" thickBot="1" x14ac:dyDescent="0.35">
      <c r="B19" s="206">
        <v>16</v>
      </c>
      <c r="C19" s="194"/>
      <c r="E19" s="206">
        <v>16</v>
      </c>
      <c r="F19" s="241"/>
      <c r="G19" s="193"/>
      <c r="H19">
        <f t="shared" si="1"/>
        <v>0</v>
      </c>
      <c r="J19" s="207">
        <v>16</v>
      </c>
      <c r="K19" s="190"/>
      <c r="L19" s="190"/>
      <c r="M19" s="194"/>
      <c r="N19">
        <f t="shared" si="0"/>
        <v>0</v>
      </c>
      <c r="P19" s="211" t="s">
        <v>281</v>
      </c>
      <c r="Q19" s="217">
        <f>Q17*Q5</f>
        <v>0</v>
      </c>
      <c r="R19" s="216" t="str">
        <f>R5</f>
        <v>pesos</v>
      </c>
      <c r="V19">
        <f>V18*Q9</f>
        <v>0</v>
      </c>
      <c r="AA19">
        <v>3635</v>
      </c>
      <c r="AB19" t="s">
        <v>11</v>
      </c>
      <c r="AC19">
        <v>1.4449657205151463E-2</v>
      </c>
      <c r="AD19">
        <v>6.7</v>
      </c>
      <c r="AE19">
        <f t="shared" si="2"/>
        <v>0</v>
      </c>
      <c r="AF19">
        <f t="shared" ref="AF19:AF88" si="3">AE19*AD19</f>
        <v>0</v>
      </c>
      <c r="AH19">
        <v>2.5000000000000001E-2</v>
      </c>
      <c r="AI19">
        <f t="shared" ref="AI19:AI88" si="4">AH19*AE19</f>
        <v>0</v>
      </c>
    </row>
    <row r="20" spans="2:35" ht="15" thickBot="1" x14ac:dyDescent="0.35">
      <c r="B20" s="206">
        <v>17</v>
      </c>
      <c r="C20" s="194"/>
      <c r="E20" s="206">
        <v>17</v>
      </c>
      <c r="F20" s="241"/>
      <c r="G20" s="193"/>
      <c r="H20">
        <f t="shared" si="1"/>
        <v>0</v>
      </c>
      <c r="J20" s="207">
        <v>17</v>
      </c>
      <c r="K20" s="190"/>
      <c r="L20" s="190"/>
      <c r="M20" s="194"/>
      <c r="N20">
        <f t="shared" si="0"/>
        <v>0</v>
      </c>
      <c r="P20" s="211" t="s">
        <v>8</v>
      </c>
      <c r="Q20" s="217">
        <f>ROUNDUP(IF(ISERROR(SUM(V21:Z21)),0,SUM(V21:Z21)),1)</f>
        <v>0</v>
      </c>
      <c r="R20" s="216" t="str">
        <f>R5</f>
        <v>pesos</v>
      </c>
      <c r="U20" s="220" t="s">
        <v>293</v>
      </c>
      <c r="V20" s="221">
        <f>ROUNDUP(IF(OR(Q8=8,Q8=10,Q8=12,Q8=15),V19/IF(Q8=8,6110,IF(Q8=10,5000,IF(Q8=12,4231,IF(Q8=15,3438,0)))),V19*Q8/550/100),0)</f>
        <v>0</v>
      </c>
      <c r="W20" s="221" t="e">
        <f>ROUNDUP(W15*2*Q9/IF(Q8=8,3500,IF(Q8=10,1800,IF(Q8=12,1200,IF(Q8=15,700,0)))),0)</f>
        <v>#DIV/0!</v>
      </c>
      <c r="X20" s="221">
        <f>ROUNDUP(X15*Q9/4000,0)</f>
        <v>0</v>
      </c>
      <c r="Y20" s="221">
        <f>ROUNDUP(IF(Q7=10,Y15*Q9/4000,0),0)</f>
        <v>0</v>
      </c>
      <c r="Z20" s="222">
        <f>ROUNDUP((Q16/3000)*(Q9/5),0)</f>
        <v>0</v>
      </c>
      <c r="AA20">
        <v>948</v>
      </c>
      <c r="AB20" t="s">
        <v>12</v>
      </c>
      <c r="AC20">
        <v>2.1674485807727191E-2</v>
      </c>
      <c r="AD20">
        <v>1.45</v>
      </c>
      <c r="AE20">
        <f t="shared" si="2"/>
        <v>0</v>
      </c>
      <c r="AF20">
        <f t="shared" si="3"/>
        <v>0</v>
      </c>
      <c r="AI20">
        <f t="shared" si="4"/>
        <v>0</v>
      </c>
    </row>
    <row r="21" spans="2:35" ht="15" thickBot="1" x14ac:dyDescent="0.35">
      <c r="B21" s="206">
        <v>18</v>
      </c>
      <c r="C21" s="194"/>
      <c r="E21" s="206">
        <v>18</v>
      </c>
      <c r="F21" s="241"/>
      <c r="G21" s="193"/>
      <c r="H21">
        <f t="shared" si="1"/>
        <v>0</v>
      </c>
      <c r="J21" s="207">
        <v>18</v>
      </c>
      <c r="K21" s="190"/>
      <c r="L21" s="190"/>
      <c r="M21" s="194"/>
      <c r="N21">
        <f t="shared" si="0"/>
        <v>0</v>
      </c>
      <c r="P21" s="211" t="s">
        <v>9</v>
      </c>
      <c r="Q21" s="217">
        <f>ROUNDUP(SUM(Hoja2!CE14:CE24)/10000*Q5,1)</f>
        <v>0</v>
      </c>
      <c r="R21" s="216" t="str">
        <f>R5</f>
        <v>pesos</v>
      </c>
      <c r="U21" s="220" t="s">
        <v>292</v>
      </c>
      <c r="V21" s="221">
        <f>V20*IF(OR(Q8=8,Q8=10,Q8=12,Q8=15),59.62,54)</f>
        <v>0</v>
      </c>
      <c r="W21" s="221" t="e">
        <f>W20*IF(Q8=8,3500,IF(Q8=10,1800,IF(Q8=12,1200,IF(Q8=15,700,0))))*IF(R5="dolares",IF(Q8=8,0.06,IF(Q8=10,0.07,IF(Q8=12,0.11,IF(Q8=15,0.15,0)))),IF(Q8=8,120,IF(Q8=10,149,IF(Q8=12,221,IF(Q8=15,303,0)))))</f>
        <v>#DIV/0!</v>
      </c>
      <c r="X21" s="221">
        <f>X20*4000*IF(R5="dolares",0.06,128)</f>
        <v>0</v>
      </c>
      <c r="Y21" s="221">
        <f>Y20*1500*IF(R5="dolares",0.1,200)</f>
        <v>0</v>
      </c>
      <c r="Z21" s="222">
        <f>Z20*IF(R5="dolares",253.8,495000)</f>
        <v>0</v>
      </c>
      <c r="AA21">
        <v>4572</v>
      </c>
      <c r="AB21" t="s">
        <v>13</v>
      </c>
      <c r="AC21">
        <v>2.1721211457913945E-3</v>
      </c>
      <c r="AE21">
        <f t="shared" si="2"/>
        <v>0</v>
      </c>
      <c r="AF21">
        <f t="shared" si="3"/>
        <v>0</v>
      </c>
      <c r="AI21">
        <f t="shared" si="4"/>
        <v>0</v>
      </c>
    </row>
    <row r="22" spans="2:35" ht="15" thickBot="1" x14ac:dyDescent="0.35">
      <c r="B22" s="206">
        <v>19</v>
      </c>
      <c r="C22" s="194"/>
      <c r="E22" s="206">
        <v>19</v>
      </c>
      <c r="F22" s="241"/>
      <c r="G22" s="193"/>
      <c r="H22">
        <f t="shared" si="1"/>
        <v>0</v>
      </c>
      <c r="J22" s="207">
        <v>19</v>
      </c>
      <c r="K22" s="190"/>
      <c r="L22" s="190"/>
      <c r="M22" s="194"/>
      <c r="N22">
        <f t="shared" si="0"/>
        <v>0</v>
      </c>
      <c r="P22" s="212" t="s">
        <v>88</v>
      </c>
      <c r="Q22" s="219">
        <f>IF(Q12="NO",0,IF(Q13&lt;=((1/Q14)*2),0,ROUNDUP(SQRT(Q4)*IF(Q14=1,4,IF(Q14&gt;=2,ROUNDUP(Q14/2,0)*2+8,0))*(IF(Q14=1,IF(Q13&lt;=2,0,Q13-2),0)+IF(Q14=2,IF(Q13&lt;=1,0,Q13-1),0)+IF(Q14&gt;2,Q13-(2/Q14),0))*IF(R5="dolares",'Valor MTL sistema de seguridad'!D4,'Valor MTL sistema de seguridad'!C4),1))+ROUNDUP(SQRT(Q4)*IF(Q14=1,4,IF(Q14&gt;=2,ROUNDUP(Q14/2,0)*2+8,0))*Q13*IF(Q12="PAS PLAT GUARD",IF(R5="dolares",'Valor MTL sistema de seguridad'!D5+'Valor MTL sistema de seguridad'!D6,'Valor MTL sistema de seguridad'!C5+'Valor MTL sistema de seguridad'!C6),0),1)+IF(Q12="PAS PLAT GUARD",SQRT(Q4)*IF(Q14=1,4,3)*IF(R5="dolares",'Valor MTL sistema de seguridad'!D7,'Valor MTL sistema de seguridad'!C7),0))</f>
        <v>0</v>
      </c>
      <c r="R22" s="218" t="str">
        <f>R5</f>
        <v>pesos</v>
      </c>
      <c r="U22" s="220" t="s">
        <v>294</v>
      </c>
      <c r="V22" s="221">
        <f>V20*4.8</f>
        <v>0</v>
      </c>
      <c r="W22" s="221" t="e">
        <f>W20*700*0.03</f>
        <v>#DIV/0!</v>
      </c>
      <c r="X22" s="221">
        <f>X20*4000*0.01</f>
        <v>0</v>
      </c>
      <c r="Y22" s="221">
        <f>Y20*1500*0.01</f>
        <v>0</v>
      </c>
      <c r="Z22" s="222">
        <f>Z20*11</f>
        <v>0</v>
      </c>
      <c r="AA22">
        <v>922</v>
      </c>
      <c r="AB22" t="s">
        <v>14</v>
      </c>
      <c r="AC22">
        <v>0.49571576851557797</v>
      </c>
      <c r="AD22">
        <v>0.38</v>
      </c>
      <c r="AE22">
        <f t="shared" si="2"/>
        <v>0</v>
      </c>
      <c r="AF22">
        <f t="shared" si="3"/>
        <v>0</v>
      </c>
      <c r="AI22">
        <f t="shared" si="4"/>
        <v>0</v>
      </c>
    </row>
    <row r="23" spans="2:35" x14ac:dyDescent="0.3">
      <c r="B23" s="206">
        <v>20</v>
      </c>
      <c r="C23" s="229"/>
      <c r="E23" s="206">
        <v>20</v>
      </c>
      <c r="F23" s="241"/>
      <c r="G23" s="193"/>
      <c r="H23">
        <f t="shared" si="1"/>
        <v>0</v>
      </c>
      <c r="J23" s="207">
        <v>20</v>
      </c>
      <c r="K23" s="190"/>
      <c r="L23" s="190"/>
      <c r="M23" s="194"/>
      <c r="N23">
        <f t="shared" si="0"/>
        <v>0</v>
      </c>
      <c r="U23" s="230"/>
      <c r="V23" s="230"/>
      <c r="W23" s="230"/>
      <c r="X23" s="230"/>
      <c r="Y23" s="230"/>
      <c r="Z23" s="230"/>
    </row>
    <row r="24" spans="2:35" x14ac:dyDescent="0.3">
      <c r="B24" s="206">
        <v>21</v>
      </c>
      <c r="C24" s="229"/>
      <c r="E24" s="206">
        <v>21</v>
      </c>
      <c r="F24" s="241"/>
      <c r="G24" s="193"/>
      <c r="H24">
        <f t="shared" si="1"/>
        <v>0</v>
      </c>
      <c r="J24" s="207">
        <v>21</v>
      </c>
      <c r="K24" s="190"/>
      <c r="L24" s="190"/>
      <c r="M24" s="194"/>
      <c r="N24">
        <f t="shared" si="0"/>
        <v>0</v>
      </c>
      <c r="U24" s="230"/>
      <c r="V24" s="230"/>
      <c r="W24" s="230"/>
      <c r="X24" s="230"/>
      <c r="Y24" s="230"/>
      <c r="Z24" s="230"/>
    </row>
    <row r="25" spans="2:35" x14ac:dyDescent="0.3">
      <c r="B25" s="206">
        <v>22</v>
      </c>
      <c r="C25" s="229"/>
      <c r="E25" s="206">
        <v>22</v>
      </c>
      <c r="F25" s="241"/>
      <c r="G25" s="193"/>
      <c r="H25">
        <f t="shared" si="1"/>
        <v>0</v>
      </c>
      <c r="J25" s="207">
        <v>22</v>
      </c>
      <c r="K25" s="190"/>
      <c r="L25" s="190"/>
      <c r="M25" s="194"/>
      <c r="N25">
        <f t="shared" si="0"/>
        <v>0</v>
      </c>
      <c r="U25" s="230"/>
      <c r="V25" s="230"/>
      <c r="W25" s="230"/>
      <c r="X25" s="230"/>
      <c r="Y25" s="230"/>
      <c r="Z25" s="230"/>
    </row>
    <row r="26" spans="2:35" x14ac:dyDescent="0.3">
      <c r="B26" s="206">
        <v>23</v>
      </c>
      <c r="C26" s="229"/>
      <c r="E26" s="206">
        <v>23</v>
      </c>
      <c r="F26" s="241"/>
      <c r="G26" s="193"/>
      <c r="H26">
        <f t="shared" si="1"/>
        <v>0</v>
      </c>
      <c r="J26" s="207">
        <v>23</v>
      </c>
      <c r="K26" s="190"/>
      <c r="L26" s="190"/>
      <c r="M26" s="194"/>
      <c r="N26">
        <f t="shared" si="0"/>
        <v>0</v>
      </c>
      <c r="U26" s="230"/>
      <c r="V26" s="230"/>
      <c r="W26" s="230"/>
      <c r="X26" s="230"/>
      <c r="Y26" s="230"/>
      <c r="Z26" s="230"/>
    </row>
    <row r="27" spans="2:35" x14ac:dyDescent="0.3">
      <c r="B27" s="206">
        <v>24</v>
      </c>
      <c r="C27" s="229"/>
      <c r="E27" s="206">
        <v>24</v>
      </c>
      <c r="F27" s="241"/>
      <c r="G27" s="193"/>
      <c r="H27">
        <f t="shared" si="1"/>
        <v>0</v>
      </c>
      <c r="J27" s="207">
        <v>24</v>
      </c>
      <c r="K27" s="190"/>
      <c r="L27" s="190"/>
      <c r="M27" s="194"/>
      <c r="N27">
        <f t="shared" si="0"/>
        <v>0</v>
      </c>
      <c r="U27" s="230"/>
      <c r="V27" s="230"/>
      <c r="W27" s="230"/>
      <c r="X27" s="230"/>
      <c r="Y27" s="230"/>
      <c r="Z27" s="230"/>
    </row>
    <row r="28" spans="2:35" x14ac:dyDescent="0.3">
      <c r="B28" s="206">
        <v>25</v>
      </c>
      <c r="C28" s="229"/>
      <c r="E28" s="206">
        <v>25</v>
      </c>
      <c r="F28" s="241"/>
      <c r="G28" s="193"/>
      <c r="H28">
        <f t="shared" si="1"/>
        <v>0</v>
      </c>
      <c r="J28" s="207">
        <v>25</v>
      </c>
      <c r="K28" s="190"/>
      <c r="L28" s="190"/>
      <c r="M28" s="194"/>
      <c r="N28">
        <f t="shared" si="0"/>
        <v>0</v>
      </c>
      <c r="U28" s="230"/>
      <c r="V28" s="230"/>
      <c r="W28" s="230"/>
      <c r="X28" s="230"/>
      <c r="Y28" s="230"/>
      <c r="Z28" s="230"/>
    </row>
    <row r="29" spans="2:35" x14ac:dyDescent="0.3">
      <c r="B29" s="206">
        <v>26</v>
      </c>
      <c r="C29" s="229"/>
      <c r="E29" s="206">
        <v>26</v>
      </c>
      <c r="F29" s="241"/>
      <c r="G29" s="193"/>
      <c r="H29">
        <f t="shared" si="1"/>
        <v>0</v>
      </c>
      <c r="J29" s="207">
        <v>26</v>
      </c>
      <c r="K29" s="190"/>
      <c r="L29" s="190"/>
      <c r="M29" s="194"/>
      <c r="N29">
        <f t="shared" si="0"/>
        <v>0</v>
      </c>
      <c r="U29" s="230"/>
      <c r="V29" s="230"/>
      <c r="W29" s="230"/>
      <c r="X29" s="230"/>
      <c r="Y29" s="230"/>
      <c r="Z29" s="230"/>
    </row>
    <row r="30" spans="2:35" x14ac:dyDescent="0.3">
      <c r="B30" s="206">
        <v>27</v>
      </c>
      <c r="C30" s="229"/>
      <c r="E30" s="206">
        <v>27</v>
      </c>
      <c r="F30" s="241"/>
      <c r="G30" s="193"/>
      <c r="H30">
        <f t="shared" si="1"/>
        <v>0</v>
      </c>
      <c r="J30" s="207">
        <v>27</v>
      </c>
      <c r="K30" s="190"/>
      <c r="L30" s="190"/>
      <c r="M30" s="194"/>
      <c r="N30">
        <f t="shared" si="0"/>
        <v>0</v>
      </c>
      <c r="U30" s="230"/>
      <c r="V30" s="230"/>
      <c r="W30" s="230"/>
      <c r="X30" s="230"/>
      <c r="Y30" s="230"/>
      <c r="Z30" s="230"/>
    </row>
    <row r="31" spans="2:35" x14ac:dyDescent="0.3">
      <c r="B31" s="206">
        <v>28</v>
      </c>
      <c r="C31" s="229"/>
      <c r="E31" s="206">
        <v>28</v>
      </c>
      <c r="F31" s="241"/>
      <c r="G31" s="193"/>
      <c r="H31">
        <f t="shared" si="1"/>
        <v>0</v>
      </c>
      <c r="J31" s="207">
        <v>28</v>
      </c>
      <c r="K31" s="190"/>
      <c r="L31" s="190"/>
      <c r="M31" s="194"/>
      <c r="N31">
        <f t="shared" si="0"/>
        <v>0</v>
      </c>
      <c r="U31" s="230"/>
      <c r="V31" s="230"/>
      <c r="W31" s="230"/>
      <c r="X31" s="230"/>
      <c r="Y31" s="230"/>
      <c r="Z31" s="230"/>
    </row>
    <row r="32" spans="2:35" x14ac:dyDescent="0.3">
      <c r="B32" s="206">
        <v>29</v>
      </c>
      <c r="C32" s="229"/>
      <c r="E32" s="206">
        <v>29</v>
      </c>
      <c r="F32" s="241"/>
      <c r="G32" s="193"/>
      <c r="H32">
        <f t="shared" si="1"/>
        <v>0</v>
      </c>
      <c r="J32" s="207">
        <v>29</v>
      </c>
      <c r="K32" s="190"/>
      <c r="L32" s="190"/>
      <c r="M32" s="194"/>
      <c r="N32">
        <f t="shared" si="0"/>
        <v>0</v>
      </c>
      <c r="U32" s="230"/>
      <c r="V32" s="230"/>
      <c r="W32" s="230"/>
      <c r="X32" s="230"/>
      <c r="Y32" s="230"/>
      <c r="Z32" s="230"/>
    </row>
    <row r="33" spans="2:26" x14ac:dyDescent="0.3">
      <c r="B33" s="206">
        <v>30</v>
      </c>
      <c r="C33" s="229"/>
      <c r="E33" s="206">
        <v>30</v>
      </c>
      <c r="F33" s="241"/>
      <c r="G33" s="193"/>
      <c r="H33">
        <f t="shared" si="1"/>
        <v>0</v>
      </c>
      <c r="J33" s="207">
        <v>30</v>
      </c>
      <c r="K33" s="190"/>
      <c r="L33" s="190"/>
      <c r="M33" s="194"/>
      <c r="N33">
        <f t="shared" si="0"/>
        <v>0</v>
      </c>
      <c r="U33" s="230"/>
      <c r="V33" s="230"/>
      <c r="W33" s="230"/>
      <c r="X33" s="230"/>
      <c r="Y33" s="230"/>
      <c r="Z33" s="230"/>
    </row>
    <row r="34" spans="2:26" x14ac:dyDescent="0.3">
      <c r="B34" s="206">
        <v>31</v>
      </c>
      <c r="C34" s="229"/>
      <c r="E34" s="206">
        <v>31</v>
      </c>
      <c r="F34" s="241"/>
      <c r="G34" s="193"/>
      <c r="H34">
        <f t="shared" si="1"/>
        <v>0</v>
      </c>
      <c r="J34" s="207">
        <v>31</v>
      </c>
      <c r="K34" s="190"/>
      <c r="L34" s="190"/>
      <c r="M34" s="194"/>
      <c r="N34">
        <f t="shared" si="0"/>
        <v>0</v>
      </c>
      <c r="U34" s="230"/>
      <c r="V34" s="230"/>
      <c r="W34" s="230"/>
      <c r="X34" s="230"/>
      <c r="Y34" s="230"/>
      <c r="Z34" s="230"/>
    </row>
    <row r="35" spans="2:26" x14ac:dyDescent="0.3">
      <c r="B35" s="206">
        <v>32</v>
      </c>
      <c r="C35" s="229"/>
      <c r="E35" s="206">
        <v>32</v>
      </c>
      <c r="F35" s="241"/>
      <c r="G35" s="193"/>
      <c r="H35">
        <f t="shared" si="1"/>
        <v>0</v>
      </c>
      <c r="J35" s="207">
        <v>32</v>
      </c>
      <c r="K35" s="190"/>
      <c r="L35" s="190"/>
      <c r="M35" s="194"/>
      <c r="N35">
        <f t="shared" si="0"/>
        <v>0</v>
      </c>
      <c r="U35" s="230"/>
      <c r="V35" s="230"/>
      <c r="W35" s="230"/>
      <c r="X35" s="230"/>
      <c r="Y35" s="230"/>
      <c r="Z35" s="230"/>
    </row>
    <row r="36" spans="2:26" x14ac:dyDescent="0.3">
      <c r="B36" s="206">
        <v>33</v>
      </c>
      <c r="C36" s="229"/>
      <c r="E36" s="206">
        <v>33</v>
      </c>
      <c r="F36" s="241"/>
      <c r="G36" s="193"/>
      <c r="H36">
        <f t="shared" si="1"/>
        <v>0</v>
      </c>
      <c r="J36" s="207">
        <v>33</v>
      </c>
      <c r="K36" s="190"/>
      <c r="L36" s="190"/>
      <c r="M36" s="194"/>
      <c r="N36">
        <f t="shared" si="0"/>
        <v>0</v>
      </c>
      <c r="U36" s="230"/>
      <c r="V36" s="230"/>
      <c r="W36" s="230"/>
      <c r="X36" s="230"/>
      <c r="Y36" s="230"/>
      <c r="Z36" s="230"/>
    </row>
    <row r="37" spans="2:26" ht="15" thickBot="1" x14ac:dyDescent="0.35">
      <c r="B37" s="206">
        <v>34</v>
      </c>
      <c r="C37" s="229"/>
      <c r="E37" s="206">
        <v>34</v>
      </c>
      <c r="F37" s="241"/>
      <c r="G37" s="193"/>
      <c r="H37">
        <f t="shared" si="1"/>
        <v>0</v>
      </c>
      <c r="J37" s="208">
        <v>34</v>
      </c>
      <c r="K37" s="196"/>
      <c r="L37" s="196"/>
      <c r="M37" s="197"/>
      <c r="N37">
        <f t="shared" si="0"/>
        <v>0</v>
      </c>
      <c r="U37" s="230"/>
      <c r="V37" s="230"/>
      <c r="W37" s="230"/>
      <c r="X37" s="230"/>
      <c r="Y37" s="230"/>
      <c r="Z37" s="230"/>
    </row>
    <row r="38" spans="2:26" x14ac:dyDescent="0.3">
      <c r="B38" s="206">
        <v>35</v>
      </c>
      <c r="C38" s="229"/>
      <c r="E38" s="206">
        <v>35</v>
      </c>
      <c r="F38" s="241"/>
      <c r="G38" s="193"/>
      <c r="H38">
        <f t="shared" si="1"/>
        <v>0</v>
      </c>
      <c r="K38" s="2"/>
      <c r="L38" s="2"/>
      <c r="M38" s="2"/>
      <c r="N38" s="2"/>
      <c r="U38" s="230"/>
      <c r="V38" s="230"/>
      <c r="W38" s="230"/>
      <c r="X38" s="230"/>
      <c r="Y38" s="230"/>
      <c r="Z38" s="230"/>
    </row>
    <row r="39" spans="2:26" x14ac:dyDescent="0.3">
      <c r="B39" s="206">
        <v>36</v>
      </c>
      <c r="C39" s="229"/>
      <c r="E39" s="206">
        <v>36</v>
      </c>
      <c r="F39" s="241"/>
      <c r="G39" s="193"/>
      <c r="H39">
        <f t="shared" si="1"/>
        <v>0</v>
      </c>
      <c r="N39" s="2"/>
      <c r="U39" s="230"/>
      <c r="V39" s="230"/>
      <c r="W39" s="230"/>
      <c r="X39" s="230"/>
      <c r="Y39" s="230"/>
      <c r="Z39" s="230"/>
    </row>
    <row r="40" spans="2:26" x14ac:dyDescent="0.3">
      <c r="B40" s="206">
        <v>37</v>
      </c>
      <c r="C40" s="229"/>
      <c r="E40" s="206">
        <v>37</v>
      </c>
      <c r="F40" s="241"/>
      <c r="G40" s="193"/>
      <c r="H40">
        <f t="shared" si="1"/>
        <v>0</v>
      </c>
      <c r="N40" s="2"/>
      <c r="U40" s="230"/>
      <c r="V40" s="230"/>
      <c r="W40" s="230"/>
      <c r="X40" s="230"/>
      <c r="Y40" s="230"/>
      <c r="Z40" s="230"/>
    </row>
    <row r="41" spans="2:26" x14ac:dyDescent="0.3">
      <c r="B41" s="206">
        <v>38</v>
      </c>
      <c r="C41" s="229"/>
      <c r="E41" s="206">
        <v>38</v>
      </c>
      <c r="F41" s="241"/>
      <c r="G41" s="193"/>
      <c r="H41">
        <f t="shared" si="1"/>
        <v>0</v>
      </c>
      <c r="N41" s="2"/>
      <c r="U41" s="230"/>
      <c r="V41" s="230"/>
      <c r="W41" s="230"/>
      <c r="X41" s="230"/>
      <c r="Y41" s="230"/>
      <c r="Z41" s="230"/>
    </row>
    <row r="42" spans="2:26" x14ac:dyDescent="0.3">
      <c r="B42" s="206">
        <v>39</v>
      </c>
      <c r="C42" s="229"/>
      <c r="E42" s="206">
        <v>39</v>
      </c>
      <c r="F42" s="241"/>
      <c r="G42" s="193"/>
      <c r="H42">
        <f t="shared" si="1"/>
        <v>0</v>
      </c>
      <c r="N42" s="2"/>
      <c r="U42" s="230"/>
      <c r="V42" s="230"/>
      <c r="W42" s="230"/>
      <c r="X42" s="230"/>
      <c r="Y42" s="230"/>
      <c r="Z42" s="230"/>
    </row>
    <row r="43" spans="2:26" x14ac:dyDescent="0.3">
      <c r="B43" s="206">
        <v>40</v>
      </c>
      <c r="C43" s="229"/>
      <c r="E43" s="206">
        <v>40</v>
      </c>
      <c r="F43" s="252"/>
      <c r="G43" s="253"/>
      <c r="N43" s="2"/>
      <c r="U43" s="230"/>
      <c r="V43" s="230"/>
      <c r="W43" s="230"/>
      <c r="X43" s="230"/>
      <c r="Y43" s="230"/>
      <c r="Z43" s="230"/>
    </row>
    <row r="44" spans="2:26" x14ac:dyDescent="0.3">
      <c r="B44" s="206">
        <v>41</v>
      </c>
      <c r="C44" s="229"/>
      <c r="E44" s="206">
        <v>41</v>
      </c>
      <c r="F44" s="252"/>
      <c r="G44" s="253"/>
      <c r="N44" s="2"/>
      <c r="U44" s="230"/>
      <c r="V44" s="230"/>
      <c r="W44" s="230"/>
      <c r="X44" s="230"/>
      <c r="Y44" s="230"/>
      <c r="Z44" s="230"/>
    </row>
    <row r="45" spans="2:26" x14ac:dyDescent="0.3">
      <c r="B45" s="206">
        <v>42</v>
      </c>
      <c r="C45" s="229"/>
      <c r="E45" s="206">
        <v>42</v>
      </c>
      <c r="F45" s="252"/>
      <c r="G45" s="253"/>
      <c r="N45" s="2"/>
      <c r="U45" s="230"/>
      <c r="V45" s="230"/>
      <c r="W45" s="230"/>
      <c r="X45" s="230"/>
      <c r="Y45" s="230"/>
      <c r="Z45" s="230"/>
    </row>
    <row r="46" spans="2:26" x14ac:dyDescent="0.3">
      <c r="B46" s="206">
        <v>43</v>
      </c>
      <c r="C46" s="229"/>
      <c r="E46" s="206">
        <v>43</v>
      </c>
      <c r="F46" s="252"/>
      <c r="G46" s="253"/>
      <c r="N46" s="2"/>
      <c r="U46" s="230"/>
      <c r="V46" s="230"/>
      <c r="W46" s="230"/>
      <c r="X46" s="230"/>
      <c r="Y46" s="230"/>
      <c r="Z46" s="230"/>
    </row>
    <row r="47" spans="2:26" x14ac:dyDescent="0.3">
      <c r="B47" s="206">
        <v>44</v>
      </c>
      <c r="C47" s="229"/>
      <c r="E47" s="206">
        <v>44</v>
      </c>
      <c r="F47" s="252"/>
      <c r="G47" s="253"/>
      <c r="N47" s="2"/>
      <c r="U47" s="230"/>
      <c r="V47" s="230"/>
      <c r="W47" s="230"/>
      <c r="X47" s="230"/>
      <c r="Y47" s="230"/>
      <c r="Z47" s="230"/>
    </row>
    <row r="48" spans="2:26" x14ac:dyDescent="0.3">
      <c r="B48" s="206">
        <v>45</v>
      </c>
      <c r="C48" s="229"/>
      <c r="E48" s="206">
        <v>45</v>
      </c>
      <c r="F48" s="252"/>
      <c r="G48" s="253"/>
      <c r="N48" s="2"/>
      <c r="U48" s="230"/>
      <c r="V48" s="230"/>
      <c r="W48" s="230"/>
      <c r="X48" s="230"/>
      <c r="Y48" s="230"/>
      <c r="Z48" s="230"/>
    </row>
    <row r="49" spans="2:35" x14ac:dyDescent="0.3">
      <c r="B49" s="206">
        <v>46</v>
      </c>
      <c r="C49" s="229"/>
      <c r="E49" s="206">
        <v>46</v>
      </c>
      <c r="F49" s="252"/>
      <c r="G49" s="253"/>
      <c r="N49" s="2"/>
      <c r="U49" s="230"/>
      <c r="V49" s="230"/>
      <c r="W49" s="230"/>
      <c r="X49" s="230"/>
      <c r="Y49" s="230"/>
      <c r="Z49" s="230"/>
    </row>
    <row r="50" spans="2:35" x14ac:dyDescent="0.3">
      <c r="B50" s="206">
        <v>47</v>
      </c>
      <c r="C50" s="229"/>
      <c r="E50" s="206">
        <v>47</v>
      </c>
      <c r="F50" s="252"/>
      <c r="G50" s="253"/>
      <c r="N50" s="2"/>
      <c r="U50" s="230"/>
      <c r="V50" s="230"/>
      <c r="W50" s="230"/>
      <c r="X50" s="230"/>
      <c r="Y50" s="230"/>
      <c r="Z50" s="230"/>
    </row>
    <row r="51" spans="2:35" x14ac:dyDescent="0.3">
      <c r="B51" s="206">
        <v>48</v>
      </c>
      <c r="C51" s="229"/>
      <c r="E51" s="206">
        <v>48</v>
      </c>
      <c r="F51" s="252"/>
      <c r="G51" s="253"/>
      <c r="N51" s="2"/>
      <c r="U51" s="230"/>
      <c r="V51" s="230"/>
      <c r="W51" s="230"/>
      <c r="X51" s="230"/>
      <c r="Y51" s="230"/>
      <c r="Z51" s="230"/>
    </row>
    <row r="52" spans="2:35" x14ac:dyDescent="0.3">
      <c r="B52" s="206">
        <v>49</v>
      </c>
      <c r="C52" s="229"/>
      <c r="E52" s="206">
        <v>49</v>
      </c>
      <c r="F52" s="252"/>
      <c r="G52" s="253"/>
      <c r="N52" s="2"/>
      <c r="U52" s="230"/>
      <c r="V52" s="230"/>
      <c r="W52" s="230"/>
      <c r="X52" s="230"/>
      <c r="Y52" s="230"/>
      <c r="Z52" s="230"/>
    </row>
    <row r="53" spans="2:35" x14ac:dyDescent="0.3">
      <c r="B53" s="206">
        <v>50</v>
      </c>
      <c r="C53" s="229"/>
      <c r="E53" s="206">
        <v>50</v>
      </c>
      <c r="F53" s="252"/>
      <c r="G53" s="253"/>
      <c r="N53" s="2"/>
      <c r="U53" s="230"/>
      <c r="V53" s="230"/>
      <c r="W53" s="230"/>
      <c r="X53" s="230"/>
      <c r="Y53" s="230"/>
      <c r="Z53" s="230"/>
    </row>
    <row r="54" spans="2:35" x14ac:dyDescent="0.3">
      <c r="B54" s="206">
        <v>51</v>
      </c>
      <c r="C54" s="229"/>
      <c r="E54" s="206">
        <v>51</v>
      </c>
      <c r="F54" s="252"/>
      <c r="G54" s="253"/>
      <c r="N54" s="2"/>
      <c r="U54" s="230"/>
      <c r="V54" s="230"/>
      <c r="W54" s="230"/>
      <c r="X54" s="230"/>
      <c r="Y54" s="230"/>
      <c r="Z54" s="230"/>
    </row>
    <row r="55" spans="2:35" x14ac:dyDescent="0.3">
      <c r="B55" s="206">
        <v>52</v>
      </c>
      <c r="C55" s="229"/>
      <c r="E55" s="206">
        <v>52</v>
      </c>
      <c r="F55" s="252"/>
      <c r="G55" s="253"/>
      <c r="N55" s="2"/>
      <c r="U55" s="230"/>
      <c r="V55" s="230"/>
      <c r="W55" s="230"/>
      <c r="X55" s="230"/>
      <c r="Y55" s="230"/>
      <c r="Z55" s="230"/>
    </row>
    <row r="56" spans="2:35" x14ac:dyDescent="0.3">
      <c r="B56" s="206">
        <v>53</v>
      </c>
      <c r="C56" s="229"/>
      <c r="E56" s="206">
        <v>53</v>
      </c>
      <c r="F56" s="252"/>
      <c r="G56" s="253"/>
      <c r="N56" s="2"/>
      <c r="U56" s="230"/>
      <c r="V56" s="230"/>
      <c r="W56" s="230"/>
      <c r="X56" s="230"/>
      <c r="Y56" s="230"/>
      <c r="Z56" s="230"/>
    </row>
    <row r="57" spans="2:35" x14ac:dyDescent="0.3">
      <c r="B57" s="206">
        <v>54</v>
      </c>
      <c r="C57" s="229"/>
      <c r="E57" s="206">
        <v>54</v>
      </c>
      <c r="F57" s="252"/>
      <c r="G57" s="253"/>
      <c r="N57" s="2"/>
      <c r="U57" s="230"/>
      <c r="V57" s="230"/>
      <c r="W57" s="230"/>
      <c r="X57" s="230"/>
      <c r="Y57" s="230"/>
      <c r="Z57" s="230"/>
    </row>
    <row r="58" spans="2:35" x14ac:dyDescent="0.3">
      <c r="B58" s="206">
        <v>55</v>
      </c>
      <c r="C58" s="229"/>
      <c r="E58" s="206">
        <v>55</v>
      </c>
      <c r="F58" s="252"/>
      <c r="G58" s="253"/>
      <c r="N58" s="2"/>
      <c r="U58" s="230"/>
      <c r="V58" s="230"/>
      <c r="W58" s="230"/>
      <c r="X58" s="230"/>
      <c r="Y58" s="230"/>
      <c r="Z58" s="230"/>
    </row>
    <row r="59" spans="2:35" x14ac:dyDescent="0.3">
      <c r="B59" s="206">
        <v>56</v>
      </c>
      <c r="C59" s="229"/>
      <c r="E59" s="206">
        <v>56</v>
      </c>
      <c r="F59" s="252"/>
      <c r="G59" s="253"/>
      <c r="N59" s="2"/>
      <c r="U59" s="230"/>
      <c r="V59" s="230"/>
      <c r="W59" s="230"/>
      <c r="X59" s="230"/>
      <c r="Y59" s="230"/>
      <c r="Z59" s="230"/>
    </row>
    <row r="60" spans="2:35" x14ac:dyDescent="0.3">
      <c r="B60" s="206">
        <v>57</v>
      </c>
      <c r="C60" s="229"/>
      <c r="E60" s="206">
        <v>57</v>
      </c>
      <c r="F60" s="252"/>
      <c r="G60" s="253"/>
      <c r="N60" s="2"/>
      <c r="U60" s="230"/>
      <c r="V60" s="230"/>
      <c r="W60" s="230"/>
      <c r="X60" s="230"/>
      <c r="Y60" s="230"/>
      <c r="Z60" s="230"/>
    </row>
    <row r="61" spans="2:35" x14ac:dyDescent="0.3">
      <c r="B61" s="206">
        <v>58</v>
      </c>
      <c r="C61" s="229"/>
      <c r="E61" s="206">
        <v>58</v>
      </c>
      <c r="F61" s="252"/>
      <c r="G61" s="253"/>
      <c r="N61" s="2"/>
      <c r="U61" s="230"/>
      <c r="V61" s="230"/>
      <c r="W61" s="230"/>
      <c r="X61" s="230"/>
      <c r="Y61" s="230"/>
      <c r="Z61" s="230"/>
    </row>
    <row r="62" spans="2:35" x14ac:dyDescent="0.3">
      <c r="B62" s="206">
        <v>59</v>
      </c>
      <c r="C62" s="229"/>
      <c r="E62" s="206">
        <v>59</v>
      </c>
      <c r="F62" s="252"/>
      <c r="G62" s="253"/>
      <c r="N62" s="2"/>
      <c r="U62" s="230"/>
      <c r="V62" s="230"/>
      <c r="W62" s="230"/>
      <c r="X62" s="230"/>
      <c r="Y62" s="230"/>
      <c r="Z62" s="230"/>
    </row>
    <row r="63" spans="2:35" ht="15" thickBot="1" x14ac:dyDescent="0.35">
      <c r="B63" s="206">
        <v>60</v>
      </c>
      <c r="C63" s="195"/>
      <c r="E63" s="206">
        <v>60</v>
      </c>
      <c r="F63" s="196"/>
      <c r="G63" s="197"/>
      <c r="H63">
        <f t="shared" si="1"/>
        <v>0</v>
      </c>
      <c r="N63" s="2"/>
      <c r="V63">
        <f>V20*0.244</f>
        <v>0</v>
      </c>
      <c r="W63" t="e">
        <f>W20*0.135</f>
        <v>#DIV/0!</v>
      </c>
      <c r="X63">
        <f>X20*0.135</f>
        <v>0</v>
      </c>
      <c r="Y63">
        <f>Y20*0.135</f>
        <v>0</v>
      </c>
      <c r="Z63">
        <f>Z20*0.073</f>
        <v>0</v>
      </c>
      <c r="AA63">
        <v>6253</v>
      </c>
      <c r="AB63" t="s">
        <v>15</v>
      </c>
      <c r="AC63">
        <v>8.7175634266704218</v>
      </c>
      <c r="AD63">
        <v>0.08</v>
      </c>
      <c r="AE63">
        <f t="shared" si="2"/>
        <v>0</v>
      </c>
      <c r="AF63">
        <f t="shared" si="3"/>
        <v>0</v>
      </c>
      <c r="AI63">
        <f t="shared" si="4"/>
        <v>0</v>
      </c>
    </row>
    <row r="64" spans="2:35" x14ac:dyDescent="0.3">
      <c r="AA64">
        <v>4894</v>
      </c>
      <c r="AB64" t="s">
        <v>16</v>
      </c>
      <c r="AC64">
        <v>9.9495585945947543E-3</v>
      </c>
      <c r="AD64">
        <v>4.5999999999999996</v>
      </c>
      <c r="AE64">
        <f t="shared" si="2"/>
        <v>0</v>
      </c>
      <c r="AF64">
        <f t="shared" si="3"/>
        <v>0</v>
      </c>
      <c r="AI64">
        <f t="shared" si="4"/>
        <v>0</v>
      </c>
    </row>
    <row r="65" spans="22:35" x14ac:dyDescent="0.3">
      <c r="AA65">
        <v>4896</v>
      </c>
      <c r="AB65" t="s">
        <v>17</v>
      </c>
      <c r="AC65">
        <v>3.8773408832642416E-3</v>
      </c>
      <c r="AD65">
        <v>5.0999999999999996</v>
      </c>
      <c r="AE65">
        <f t="shared" si="2"/>
        <v>0</v>
      </c>
      <c r="AF65">
        <f t="shared" si="3"/>
        <v>0</v>
      </c>
      <c r="AI65">
        <f t="shared" si="4"/>
        <v>0</v>
      </c>
    </row>
    <row r="66" spans="22:35" x14ac:dyDescent="0.3">
      <c r="AA66">
        <v>7765</v>
      </c>
      <c r="AB66" t="s">
        <v>18</v>
      </c>
      <c r="AC66">
        <v>1.1809473519269423E-2</v>
      </c>
      <c r="AD66">
        <v>4.7</v>
      </c>
      <c r="AE66">
        <f t="shared" si="2"/>
        <v>0</v>
      </c>
      <c r="AF66">
        <f t="shared" si="3"/>
        <v>0</v>
      </c>
      <c r="AI66">
        <f t="shared" si="4"/>
        <v>0</v>
      </c>
    </row>
    <row r="67" spans="22:35" x14ac:dyDescent="0.3">
      <c r="V67" t="s">
        <v>299</v>
      </c>
      <c r="W67">
        <f>ROUNDUP(SQRT(Q4)*IF(Q14=1,4,IF(Q14&gt;=2,Q14+4,0))*IF(Q12="PASARELAS",16.6,IF(Q12="PAS PLAT GUARD",16.6+21.7+12.4,0))*Q13,1)</f>
        <v>0</v>
      </c>
      <c r="AA67">
        <v>1345</v>
      </c>
      <c r="AB67" t="s">
        <v>19</v>
      </c>
      <c r="AC67">
        <v>8.3044482614032349E-3</v>
      </c>
      <c r="AD67">
        <v>23.6</v>
      </c>
      <c r="AE67">
        <f t="shared" si="2"/>
        <v>0</v>
      </c>
      <c r="AF67">
        <f t="shared" si="3"/>
        <v>0</v>
      </c>
      <c r="AH67">
        <v>7.2599999999999998E-2</v>
      </c>
      <c r="AI67">
        <f t="shared" si="4"/>
        <v>0</v>
      </c>
    </row>
    <row r="68" spans="22:35" x14ac:dyDescent="0.3">
      <c r="V68" t="s">
        <v>300</v>
      </c>
      <c r="W68">
        <f>ROUNDUP(SQRT(Q4)*IF(Q14=1,4,IF(Q14&gt;=2,Q14+4,0))*IF(Q12="PASARELAS",0.078,IF(Q12="PAS PLAT GUARD",0.078+0.055+0.046,0))*Q13,1)</f>
        <v>0</v>
      </c>
      <c r="AA68">
        <v>1346</v>
      </c>
      <c r="AB68" t="s">
        <v>20</v>
      </c>
      <c r="AC68">
        <v>4.3718051063851406E-3</v>
      </c>
      <c r="AD68">
        <v>0.35</v>
      </c>
      <c r="AE68">
        <f t="shared" si="2"/>
        <v>0</v>
      </c>
      <c r="AF68">
        <f t="shared" si="3"/>
        <v>0</v>
      </c>
      <c r="AI68">
        <f t="shared" si="4"/>
        <v>0</v>
      </c>
    </row>
    <row r="69" spans="22:35" x14ac:dyDescent="0.3">
      <c r="AA69">
        <v>1347</v>
      </c>
      <c r="AB69" t="s">
        <v>21</v>
      </c>
      <c r="AC69">
        <v>4.3880717417473878E-3</v>
      </c>
      <c r="AD69">
        <v>0.15</v>
      </c>
      <c r="AE69">
        <f t="shared" si="2"/>
        <v>0</v>
      </c>
      <c r="AF69">
        <f t="shared" si="3"/>
        <v>0</v>
      </c>
      <c r="AI69">
        <f t="shared" si="4"/>
        <v>0</v>
      </c>
    </row>
    <row r="70" spans="22:35" x14ac:dyDescent="0.3">
      <c r="AA70">
        <v>144</v>
      </c>
      <c r="AB70" t="s">
        <v>22</v>
      </c>
      <c r="AC70">
        <v>4.4920291828855303E-3</v>
      </c>
      <c r="AD70">
        <v>0.15</v>
      </c>
      <c r="AE70">
        <f t="shared" si="2"/>
        <v>0</v>
      </c>
      <c r="AF70">
        <f t="shared" si="3"/>
        <v>0</v>
      </c>
      <c r="AI70">
        <f t="shared" si="4"/>
        <v>0</v>
      </c>
    </row>
    <row r="71" spans="22:35" x14ac:dyDescent="0.3">
      <c r="AA71">
        <v>3783</v>
      </c>
      <c r="AB71" t="s">
        <v>23</v>
      </c>
      <c r="AC71">
        <v>0.86535162760478823</v>
      </c>
      <c r="AD71">
        <v>0.08</v>
      </c>
      <c r="AE71">
        <f t="shared" si="2"/>
        <v>0</v>
      </c>
      <c r="AF71">
        <f t="shared" si="3"/>
        <v>0</v>
      </c>
      <c r="AI71">
        <f t="shared" si="4"/>
        <v>0</v>
      </c>
    </row>
    <row r="72" spans="22:35" x14ac:dyDescent="0.3">
      <c r="AA72">
        <v>917</v>
      </c>
      <c r="AB72" t="s">
        <v>24</v>
      </c>
      <c r="AC72">
        <v>6.4559351573753299</v>
      </c>
      <c r="AD72">
        <v>0.12</v>
      </c>
      <c r="AE72">
        <f t="shared" si="2"/>
        <v>0</v>
      </c>
      <c r="AF72">
        <f t="shared" si="3"/>
        <v>0</v>
      </c>
      <c r="AI72">
        <f t="shared" si="4"/>
        <v>0</v>
      </c>
    </row>
    <row r="73" spans="22:35" x14ac:dyDescent="0.3">
      <c r="AA73">
        <v>921</v>
      </c>
      <c r="AB73" t="s">
        <v>25</v>
      </c>
      <c r="AC73">
        <v>3.1864147970408499E-2</v>
      </c>
      <c r="AD73">
        <v>0.23</v>
      </c>
      <c r="AE73">
        <f t="shared" si="2"/>
        <v>0</v>
      </c>
      <c r="AF73">
        <f t="shared" si="3"/>
        <v>0</v>
      </c>
      <c r="AI73">
        <f t="shared" si="4"/>
        <v>0</v>
      </c>
    </row>
    <row r="74" spans="22:35" x14ac:dyDescent="0.3">
      <c r="AA74">
        <v>899</v>
      </c>
      <c r="AB74" t="s">
        <v>26</v>
      </c>
      <c r="AC74">
        <v>3.2567993776874818E-2</v>
      </c>
      <c r="AD74">
        <v>0.23</v>
      </c>
      <c r="AE74">
        <f t="shared" si="2"/>
        <v>0</v>
      </c>
      <c r="AF74">
        <f t="shared" si="3"/>
        <v>0</v>
      </c>
      <c r="AI74">
        <f t="shared" si="4"/>
        <v>0</v>
      </c>
    </row>
    <row r="75" spans="22:35" x14ac:dyDescent="0.3">
      <c r="AA75">
        <v>906</v>
      </c>
      <c r="AB75" t="s">
        <v>27</v>
      </c>
      <c r="AC75">
        <v>5.1713610441496929E-2</v>
      </c>
      <c r="AD75">
        <v>0.14000000000000001</v>
      </c>
      <c r="AE75">
        <f t="shared" si="2"/>
        <v>0</v>
      </c>
      <c r="AF75">
        <f t="shared" si="3"/>
        <v>0</v>
      </c>
      <c r="AI75">
        <f t="shared" si="4"/>
        <v>0</v>
      </c>
    </row>
    <row r="76" spans="22:35" x14ac:dyDescent="0.3">
      <c r="AA76">
        <v>4849</v>
      </c>
      <c r="AB76" t="s">
        <v>28</v>
      </c>
      <c r="AC76">
        <v>0.88803857079214943</v>
      </c>
      <c r="AD76">
        <v>1</v>
      </c>
      <c r="AE76">
        <f t="shared" si="2"/>
        <v>0</v>
      </c>
      <c r="AF76">
        <f t="shared" si="3"/>
        <v>0</v>
      </c>
      <c r="AI76">
        <f t="shared" si="4"/>
        <v>0</v>
      </c>
    </row>
    <row r="77" spans="22:35" x14ac:dyDescent="0.3">
      <c r="AA77">
        <v>4848</v>
      </c>
      <c r="AB77" t="s">
        <v>29</v>
      </c>
      <c r="AC77">
        <v>0.88803857079214943</v>
      </c>
      <c r="AD77">
        <v>1</v>
      </c>
      <c r="AE77">
        <f t="shared" si="2"/>
        <v>0</v>
      </c>
      <c r="AF77">
        <f t="shared" si="3"/>
        <v>0</v>
      </c>
      <c r="AI77">
        <f t="shared" si="4"/>
        <v>0</v>
      </c>
    </row>
    <row r="78" spans="22:35" x14ac:dyDescent="0.3">
      <c r="AA78">
        <v>4821</v>
      </c>
      <c r="AB78" t="s">
        <v>30</v>
      </c>
      <c r="AC78">
        <v>3.7160414683215679E-3</v>
      </c>
      <c r="AD78">
        <v>4.8</v>
      </c>
      <c r="AE78">
        <f t="shared" si="2"/>
        <v>0</v>
      </c>
      <c r="AF78">
        <f t="shared" si="3"/>
        <v>0</v>
      </c>
      <c r="AI78">
        <f t="shared" si="4"/>
        <v>0</v>
      </c>
    </row>
    <row r="79" spans="22:35" x14ac:dyDescent="0.3">
      <c r="AA79">
        <v>951</v>
      </c>
      <c r="AB79" t="s">
        <v>31</v>
      </c>
      <c r="AC79">
        <v>1.4449657205151463E-2</v>
      </c>
      <c r="AD79">
        <v>5.6</v>
      </c>
      <c r="AE79">
        <f t="shared" si="2"/>
        <v>0</v>
      </c>
      <c r="AF79">
        <f t="shared" si="3"/>
        <v>0</v>
      </c>
      <c r="AI79">
        <f t="shared" si="4"/>
        <v>0</v>
      </c>
    </row>
    <row r="80" spans="22:35" x14ac:dyDescent="0.3">
      <c r="AA80">
        <v>950</v>
      </c>
      <c r="AB80" t="s">
        <v>32</v>
      </c>
      <c r="AC80">
        <v>2.1674485807727191E-2</v>
      </c>
      <c r="AD80">
        <v>2.4</v>
      </c>
      <c r="AE80">
        <f t="shared" si="2"/>
        <v>0</v>
      </c>
      <c r="AF80">
        <f t="shared" si="3"/>
        <v>0</v>
      </c>
      <c r="AI80">
        <f t="shared" si="4"/>
        <v>0</v>
      </c>
    </row>
    <row r="81" spans="27:35" x14ac:dyDescent="0.3">
      <c r="AA81">
        <v>1001</v>
      </c>
      <c r="AB81" t="s">
        <v>33</v>
      </c>
      <c r="AC81">
        <v>12.821958363525759</v>
      </c>
      <c r="AD81">
        <v>0.01</v>
      </c>
      <c r="AE81">
        <f>ROUNDUP($AF$16*AC81/1500,0)*1500</f>
        <v>0</v>
      </c>
      <c r="AF81">
        <f t="shared" si="3"/>
        <v>0</v>
      </c>
      <c r="AI81">
        <f t="shared" si="4"/>
        <v>0</v>
      </c>
    </row>
    <row r="82" spans="27:35" x14ac:dyDescent="0.3">
      <c r="AA82">
        <v>1003</v>
      </c>
      <c r="AB82" t="s">
        <v>34</v>
      </c>
      <c r="AC82">
        <v>8.2339994299648467</v>
      </c>
      <c r="AD82">
        <v>0.03</v>
      </c>
      <c r="AE82">
        <f>ROUNDUP($AF$16*AC82/700,0)*700</f>
        <v>0</v>
      </c>
      <c r="AF82">
        <f t="shared" si="3"/>
        <v>0</v>
      </c>
      <c r="AI82">
        <f t="shared" si="4"/>
        <v>0</v>
      </c>
    </row>
    <row r="83" spans="27:35" x14ac:dyDescent="0.3">
      <c r="AA83">
        <v>1004</v>
      </c>
      <c r="AB83" t="s">
        <v>35</v>
      </c>
      <c r="AC83">
        <v>23.423352560032306</v>
      </c>
      <c r="AD83">
        <v>0.01</v>
      </c>
      <c r="AE83">
        <f>ROUNDUP($AF$16*AC83/3500,0)*3500</f>
        <v>0</v>
      </c>
      <c r="AF83">
        <f t="shared" si="3"/>
        <v>0</v>
      </c>
      <c r="AI83">
        <f t="shared" si="4"/>
        <v>0</v>
      </c>
    </row>
    <row r="84" spans="27:35" x14ac:dyDescent="0.3">
      <c r="AA84">
        <v>2651</v>
      </c>
      <c r="AB84" t="s">
        <v>36</v>
      </c>
      <c r="AC84">
        <v>0.40190158647739738</v>
      </c>
      <c r="AD84">
        <v>0.18</v>
      </c>
      <c r="AE84">
        <f>ROUNDUP($AF$16*AC84,0)</f>
        <v>0</v>
      </c>
      <c r="AF84">
        <f t="shared" si="3"/>
        <v>0</v>
      </c>
      <c r="AI84">
        <f t="shared" si="4"/>
        <v>0</v>
      </c>
    </row>
    <row r="85" spans="27:35" x14ac:dyDescent="0.3">
      <c r="AA85">
        <v>1005</v>
      </c>
      <c r="AB85" t="s">
        <v>37</v>
      </c>
      <c r="AC85">
        <v>2.6825149150535269E-3</v>
      </c>
      <c r="AD85">
        <v>11</v>
      </c>
      <c r="AE85">
        <f>ROUNDUP($AF$16*AC85,0)</f>
        <v>0</v>
      </c>
      <c r="AF85">
        <f t="shared" si="3"/>
        <v>0</v>
      </c>
      <c r="AI85">
        <f t="shared" si="4"/>
        <v>0</v>
      </c>
    </row>
    <row r="86" spans="27:35" x14ac:dyDescent="0.3">
      <c r="AA86">
        <v>999</v>
      </c>
      <c r="AB86" t="s">
        <v>38</v>
      </c>
      <c r="AC86">
        <v>20.546084287539358</v>
      </c>
      <c r="AD86">
        <v>0.01</v>
      </c>
      <c r="AE86">
        <f>ROUNDUP($AF$16*AC86/4000,0)*4000</f>
        <v>0</v>
      </c>
      <c r="AF86">
        <f t="shared" si="3"/>
        <v>0</v>
      </c>
      <c r="AI86">
        <f t="shared" si="4"/>
        <v>0</v>
      </c>
    </row>
    <row r="87" spans="27:35" x14ac:dyDescent="0.3">
      <c r="AA87">
        <v>1000</v>
      </c>
      <c r="AB87" t="s">
        <v>39</v>
      </c>
      <c r="AC87">
        <v>17.094975753257003</v>
      </c>
      <c r="AD87">
        <v>0.01</v>
      </c>
      <c r="AE87">
        <f>ROUNDUP($AF$16*AC87/1500,0)*1500</f>
        <v>0</v>
      </c>
      <c r="AF87">
        <f t="shared" si="3"/>
        <v>0</v>
      </c>
      <c r="AI87">
        <f t="shared" si="4"/>
        <v>0</v>
      </c>
    </row>
    <row r="88" spans="27:35" x14ac:dyDescent="0.3">
      <c r="AB88" t="s">
        <v>2</v>
      </c>
      <c r="AC88">
        <v>6.106329062667031E-3</v>
      </c>
      <c r="AD88">
        <v>46</v>
      </c>
      <c r="AE88">
        <f>ROUNDUP($AF$16*AC88,0)</f>
        <v>0</v>
      </c>
      <c r="AF88">
        <f t="shared" si="3"/>
        <v>0</v>
      </c>
      <c r="AH88">
        <v>0.35599999999999998</v>
      </c>
      <c r="AI88">
        <f t="shared" si="4"/>
        <v>0</v>
      </c>
    </row>
    <row r="90" spans="27:35" x14ac:dyDescent="0.3">
      <c r="AB90" t="s">
        <v>40</v>
      </c>
    </row>
    <row r="91" spans="27:35" x14ac:dyDescent="0.3">
      <c r="AB91" t="s">
        <v>41</v>
      </c>
      <c r="AC91" t="s">
        <v>297</v>
      </c>
      <c r="AD91" t="s">
        <v>295</v>
      </c>
      <c r="AE91" t="s">
        <v>296</v>
      </c>
    </row>
    <row r="92" spans="27:35" x14ac:dyDescent="0.3">
      <c r="AA92">
        <v>1015</v>
      </c>
      <c r="AB92" t="s">
        <v>42</v>
      </c>
      <c r="AC92">
        <v>7.4544543978920172E-2</v>
      </c>
      <c r="AD92">
        <v>5.0999999999999996</v>
      </c>
      <c r="AE92">
        <f>AD92*AC92</f>
        <v>0.38017717429249287</v>
      </c>
      <c r="AF92">
        <f>$AF$16*AE92</f>
        <v>0</v>
      </c>
      <c r="AI92">
        <f>AC92*AH92</f>
        <v>0</v>
      </c>
    </row>
    <row r="93" spans="27:35" x14ac:dyDescent="0.3">
      <c r="AA93">
        <v>1015</v>
      </c>
      <c r="AB93" t="s">
        <v>43</v>
      </c>
      <c r="AI93">
        <f t="shared" ref="AI93:AI136" si="5">AC93*AH93</f>
        <v>0</v>
      </c>
    </row>
    <row r="94" spans="27:35" x14ac:dyDescent="0.3">
      <c r="AA94">
        <v>966</v>
      </c>
      <c r="AB94" t="s">
        <v>44</v>
      </c>
      <c r="AC94">
        <v>7.516687506609683E-2</v>
      </c>
      <c r="AD94">
        <v>7.9</v>
      </c>
      <c r="AE94">
        <f t="shared" ref="AE94:AE135" si="6">AD94*AC94</f>
        <v>0.59381831302216503</v>
      </c>
      <c r="AF94">
        <f>$AF$16*AE94</f>
        <v>0</v>
      </c>
      <c r="AI94">
        <f t="shared" si="5"/>
        <v>0</v>
      </c>
    </row>
    <row r="95" spans="27:35" x14ac:dyDescent="0.3">
      <c r="AA95">
        <v>967</v>
      </c>
      <c r="AB95" t="s">
        <v>45</v>
      </c>
      <c r="AC95">
        <v>9.362938827511974E-2</v>
      </c>
      <c r="AD95">
        <v>0.7</v>
      </c>
      <c r="AE95">
        <f t="shared" si="6"/>
        <v>6.554057179258381E-2</v>
      </c>
      <c r="AF95">
        <f>$AF$16*AE95</f>
        <v>0</v>
      </c>
      <c r="AI95">
        <f t="shared" si="5"/>
        <v>0</v>
      </c>
    </row>
    <row r="96" spans="27:35" x14ac:dyDescent="0.3">
      <c r="AA96">
        <v>2663</v>
      </c>
      <c r="AB96" t="s">
        <v>46</v>
      </c>
      <c r="AC96">
        <v>4.1658800596289485</v>
      </c>
      <c r="AD96">
        <f>14/120</f>
        <v>0.11666666666666667</v>
      </c>
      <c r="AE96">
        <f t="shared" si="6"/>
        <v>0.48601934029004401</v>
      </c>
      <c r="AF96">
        <f>$AF$16*AE96</f>
        <v>0</v>
      </c>
      <c r="AH96">
        <v>4.0000000000000001E-3</v>
      </c>
      <c r="AI96">
        <f t="shared" si="5"/>
        <v>1.6663520238515795E-2</v>
      </c>
    </row>
    <row r="97" spans="27:35" x14ac:dyDescent="0.3">
      <c r="AA97">
        <v>5593</v>
      </c>
      <c r="AB97" t="s">
        <v>47</v>
      </c>
      <c r="AC97">
        <v>0.84579387717046484</v>
      </c>
      <c r="AD97">
        <f>17.1/120</f>
        <v>0.14250000000000002</v>
      </c>
      <c r="AE97">
        <f t="shared" si="6"/>
        <v>0.12052562749679126</v>
      </c>
      <c r="AF97">
        <f>$AF$16*AE97</f>
        <v>0</v>
      </c>
      <c r="AH97">
        <v>4.0000000000000001E-3</v>
      </c>
      <c r="AI97">
        <f>AC97*AH97</f>
        <v>3.3831755086818592E-3</v>
      </c>
    </row>
    <row r="98" spans="27:35" x14ac:dyDescent="0.3">
      <c r="AA98">
        <v>3693</v>
      </c>
      <c r="AB98" t="s">
        <v>48</v>
      </c>
      <c r="AC98">
        <v>0.29404315002202913</v>
      </c>
      <c r="AD98">
        <f>37.8/300</f>
        <v>0.126</v>
      </c>
      <c r="AE98">
        <f t="shared" si="6"/>
        <v>3.7049436902775672E-2</v>
      </c>
      <c r="AF98">
        <f>$AF$16*AE98</f>
        <v>0</v>
      </c>
      <c r="AH98">
        <v>4.0000000000000001E-3</v>
      </c>
      <c r="AI98">
        <f t="shared" si="5"/>
        <v>1.1761726000881166E-3</v>
      </c>
    </row>
    <row r="99" spans="27:35" x14ac:dyDescent="0.3">
      <c r="AA99">
        <v>3689</v>
      </c>
      <c r="AB99" t="s">
        <v>49</v>
      </c>
      <c r="AH99">
        <v>4.0000000000000001E-3</v>
      </c>
      <c r="AI99">
        <f t="shared" si="5"/>
        <v>0</v>
      </c>
    </row>
    <row r="100" spans="27:35" x14ac:dyDescent="0.3">
      <c r="AA100">
        <v>60</v>
      </c>
      <c r="AB100" t="s">
        <v>50</v>
      </c>
      <c r="AC100">
        <v>0.356388088376561</v>
      </c>
      <c r="AD100">
        <f>25.1/100</f>
        <v>0.251</v>
      </c>
      <c r="AE100">
        <f t="shared" si="6"/>
        <v>8.9453410182516804E-2</v>
      </c>
      <c r="AF100">
        <f>$AF$16*AE100</f>
        <v>0</v>
      </c>
      <c r="AH100">
        <v>4.0000000000000001E-3</v>
      </c>
      <c r="AI100">
        <f t="shared" si="5"/>
        <v>1.4255523535062441E-3</v>
      </c>
    </row>
    <row r="101" spans="27:35" x14ac:dyDescent="0.3">
      <c r="AA101">
        <v>883</v>
      </c>
      <c r="AB101" t="s">
        <v>51</v>
      </c>
      <c r="AC101">
        <v>5.2479609328290895</v>
      </c>
      <c r="AD101">
        <f>31.15/300</f>
        <v>0.10383333333333333</v>
      </c>
      <c r="AE101">
        <f t="shared" si="6"/>
        <v>0.54491327685875379</v>
      </c>
      <c r="AF101">
        <f>$AF$16*AE101</f>
        <v>0</v>
      </c>
      <c r="AH101">
        <v>4.0000000000000001E-3</v>
      </c>
      <c r="AI101">
        <f t="shared" si="5"/>
        <v>2.0991843731316358E-2</v>
      </c>
    </row>
    <row r="102" spans="27:35" x14ac:dyDescent="0.3">
      <c r="AA102">
        <v>1016</v>
      </c>
      <c r="AB102" t="s">
        <v>52</v>
      </c>
      <c r="AH102">
        <v>2.5000000000000001E-2</v>
      </c>
      <c r="AI102">
        <f t="shared" si="5"/>
        <v>0</v>
      </c>
    </row>
    <row r="103" spans="27:35" x14ac:dyDescent="0.3">
      <c r="AA103">
        <v>1016</v>
      </c>
      <c r="AB103" t="s">
        <v>53</v>
      </c>
      <c r="AH103">
        <v>2.5000000000000001E-2</v>
      </c>
      <c r="AI103">
        <f t="shared" si="5"/>
        <v>0</v>
      </c>
    </row>
    <row r="104" spans="27:35" x14ac:dyDescent="0.3">
      <c r="AA104">
        <v>1016</v>
      </c>
      <c r="AB104" t="s">
        <v>54</v>
      </c>
      <c r="AC104">
        <v>2.145498213332258E-2</v>
      </c>
      <c r="AD104">
        <v>4.4000000000000004</v>
      </c>
      <c r="AE104">
        <f t="shared" si="6"/>
        <v>9.4401921386619361E-2</v>
      </c>
      <c r="AF104">
        <f t="shared" ref="AF104:AF115" si="7">$AF$16*AE104</f>
        <v>0</v>
      </c>
      <c r="AH104">
        <v>2.5000000000000001E-2</v>
      </c>
      <c r="AI104">
        <f t="shared" si="5"/>
        <v>5.3637455333306453E-4</v>
      </c>
    </row>
    <row r="105" spans="27:35" x14ac:dyDescent="0.3">
      <c r="AA105">
        <v>2612</v>
      </c>
      <c r="AB105" t="s">
        <v>55</v>
      </c>
      <c r="AC105">
        <v>0.44285629667540061</v>
      </c>
      <c r="AD105">
        <v>0.6</v>
      </c>
      <c r="AE105">
        <f t="shared" si="6"/>
        <v>0.26571377800524038</v>
      </c>
      <c r="AF105">
        <f t="shared" si="7"/>
        <v>0</v>
      </c>
      <c r="AI105">
        <f t="shared" si="5"/>
        <v>0</v>
      </c>
    </row>
    <row r="106" spans="27:35" x14ac:dyDescent="0.3">
      <c r="AA106">
        <v>968</v>
      </c>
      <c r="AB106" t="s">
        <v>56</v>
      </c>
      <c r="AC106">
        <v>0.14182475320646629</v>
      </c>
      <c r="AD106">
        <v>0.9</v>
      </c>
      <c r="AE106">
        <f t="shared" si="6"/>
        <v>0.12764227788581967</v>
      </c>
      <c r="AF106">
        <f t="shared" si="7"/>
        <v>0</v>
      </c>
      <c r="AI106">
        <f t="shared" si="5"/>
        <v>0</v>
      </c>
    </row>
    <row r="107" spans="27:35" x14ac:dyDescent="0.3">
      <c r="AA107">
        <v>3821</v>
      </c>
      <c r="AB107" t="s">
        <v>57</v>
      </c>
      <c r="AC107">
        <v>2.0964360587002098E-2</v>
      </c>
      <c r="AD107">
        <v>10.3</v>
      </c>
      <c r="AE107">
        <f t="shared" si="6"/>
        <v>0.21593291404612161</v>
      </c>
      <c r="AF107">
        <f t="shared" si="7"/>
        <v>0</v>
      </c>
      <c r="AH107">
        <v>1.0999999999999999E-2</v>
      </c>
      <c r="AI107">
        <f t="shared" si="5"/>
        <v>2.3060796645702305E-4</v>
      </c>
    </row>
    <row r="108" spans="27:35" x14ac:dyDescent="0.3">
      <c r="AA108">
        <v>960</v>
      </c>
      <c r="AB108" t="s">
        <v>58</v>
      </c>
      <c r="AC108">
        <v>0.11842139943752764</v>
      </c>
      <c r="AD108">
        <v>1.6</v>
      </c>
      <c r="AE108">
        <f t="shared" si="6"/>
        <v>0.18947423910004424</v>
      </c>
      <c r="AF108">
        <f t="shared" si="7"/>
        <v>0</v>
      </c>
      <c r="AH108">
        <v>4.0000000000000001E-3</v>
      </c>
      <c r="AI108">
        <f t="shared" si="5"/>
        <v>4.7368559775011053E-4</v>
      </c>
    </row>
    <row r="109" spans="27:35" x14ac:dyDescent="0.3">
      <c r="AA109">
        <v>959</v>
      </c>
      <c r="AB109" t="s">
        <v>59</v>
      </c>
      <c r="AC109">
        <v>7.9403307137228166E-2</v>
      </c>
      <c r="AD109">
        <v>1.5</v>
      </c>
      <c r="AE109">
        <f t="shared" si="6"/>
        <v>0.11910496070584226</v>
      </c>
      <c r="AF109">
        <f t="shared" si="7"/>
        <v>0</v>
      </c>
      <c r="AH109">
        <v>4.0000000000000001E-3</v>
      </c>
      <c r="AI109">
        <f t="shared" si="5"/>
        <v>3.1761322854891266E-4</v>
      </c>
    </row>
    <row r="110" spans="27:35" x14ac:dyDescent="0.3">
      <c r="AA110">
        <v>2622</v>
      </c>
      <c r="AB110" t="s">
        <v>60</v>
      </c>
      <c r="AC110">
        <v>4.5625427204374569E-2</v>
      </c>
      <c r="AD110">
        <v>1.5</v>
      </c>
      <c r="AE110">
        <f t="shared" si="6"/>
        <v>6.8438140806561854E-2</v>
      </c>
      <c r="AF110">
        <f t="shared" si="7"/>
        <v>0</v>
      </c>
      <c r="AH110">
        <v>4.0000000000000001E-3</v>
      </c>
      <c r="AI110">
        <f t="shared" si="5"/>
        <v>1.8250170881749827E-4</v>
      </c>
    </row>
    <row r="111" spans="27:35" x14ac:dyDescent="0.3">
      <c r="AA111">
        <v>2623</v>
      </c>
      <c r="AB111" t="s">
        <v>61</v>
      </c>
      <c r="AC111">
        <v>0.21818680255972212</v>
      </c>
      <c r="AD111">
        <v>0.9</v>
      </c>
      <c r="AE111">
        <f t="shared" si="6"/>
        <v>0.19636812230374992</v>
      </c>
      <c r="AF111">
        <f t="shared" si="7"/>
        <v>0</v>
      </c>
      <c r="AH111">
        <v>4.0000000000000001E-3</v>
      </c>
      <c r="AI111">
        <f t="shared" si="5"/>
        <v>8.7274721023888847E-4</v>
      </c>
    </row>
    <row r="112" spans="27:35" x14ac:dyDescent="0.3">
      <c r="AA112">
        <v>1017</v>
      </c>
      <c r="AB112" t="s">
        <v>62</v>
      </c>
      <c r="AC112">
        <v>8.4215455304086126E-2</v>
      </c>
      <c r="AD112">
        <v>12.4</v>
      </c>
      <c r="AE112">
        <f t="shared" si="6"/>
        <v>1.044271645770668</v>
      </c>
      <c r="AF112">
        <f t="shared" si="7"/>
        <v>0</v>
      </c>
      <c r="AH112">
        <v>5.0000000000000001E-3</v>
      </c>
      <c r="AI112">
        <f t="shared" si="5"/>
        <v>4.2107727652043064E-4</v>
      </c>
    </row>
    <row r="113" spans="27:35" x14ac:dyDescent="0.3">
      <c r="AA113">
        <v>974</v>
      </c>
      <c r="AB113" t="s">
        <v>63</v>
      </c>
      <c r="AC113">
        <v>4.9578013919243713E-2</v>
      </c>
      <c r="AD113">
        <v>2.5</v>
      </c>
      <c r="AE113">
        <f t="shared" si="6"/>
        <v>0.12394503479810928</v>
      </c>
      <c r="AF113">
        <f t="shared" si="7"/>
        <v>0</v>
      </c>
      <c r="AH113">
        <v>1.7000000000000001E-2</v>
      </c>
      <c r="AI113">
        <f t="shared" si="5"/>
        <v>8.428262366271432E-4</v>
      </c>
    </row>
    <row r="114" spans="27:35" x14ac:dyDescent="0.3">
      <c r="AA114">
        <v>981</v>
      </c>
      <c r="AB114" t="s">
        <v>64</v>
      </c>
      <c r="AC114">
        <v>6.2893081761006293E-3</v>
      </c>
      <c r="AD114">
        <v>6.1</v>
      </c>
      <c r="AE114">
        <f t="shared" si="6"/>
        <v>3.8364779874213835E-2</v>
      </c>
      <c r="AF114">
        <f t="shared" si="7"/>
        <v>0</v>
      </c>
      <c r="AH114">
        <v>1.7000000000000001E-2</v>
      </c>
      <c r="AI114">
        <f t="shared" si="5"/>
        <v>1.0691823899371071E-4</v>
      </c>
    </row>
    <row r="115" spans="27:35" x14ac:dyDescent="0.3">
      <c r="AA115">
        <v>2610</v>
      </c>
      <c r="AB115" t="s">
        <v>65</v>
      </c>
      <c r="AC115">
        <v>9.6016169519486258E-2</v>
      </c>
      <c r="AD115">
        <v>14.7</v>
      </c>
      <c r="AE115">
        <v>0</v>
      </c>
      <c r="AF115">
        <f t="shared" si="7"/>
        <v>0</v>
      </c>
      <c r="AH115">
        <v>7.8E-2</v>
      </c>
      <c r="AI115">
        <f t="shared" si="5"/>
        <v>7.4892612225199284E-3</v>
      </c>
    </row>
    <row r="116" spans="27:35" x14ac:dyDescent="0.3">
      <c r="AA116">
        <v>2610</v>
      </c>
      <c r="AB116" t="s">
        <v>66</v>
      </c>
      <c r="AI116">
        <f t="shared" si="5"/>
        <v>0</v>
      </c>
    </row>
    <row r="117" spans="27:35" x14ac:dyDescent="0.3">
      <c r="AB117" t="s">
        <v>67</v>
      </c>
      <c r="AI117">
        <f t="shared" si="5"/>
        <v>0</v>
      </c>
    </row>
    <row r="118" spans="27:35" x14ac:dyDescent="0.3">
      <c r="AA118">
        <v>2611</v>
      </c>
      <c r="AB118" t="s">
        <v>68</v>
      </c>
      <c r="AC118">
        <v>5.4844289961149179E-2</v>
      </c>
      <c r="AD118">
        <v>16.399999999999999</v>
      </c>
      <c r="AE118">
        <v>0</v>
      </c>
      <c r="AF118">
        <f>$AF$16*AE118</f>
        <v>0</v>
      </c>
      <c r="AH118">
        <v>0.156</v>
      </c>
      <c r="AI118">
        <f t="shared" si="5"/>
        <v>8.5557092339392724E-3</v>
      </c>
    </row>
    <row r="119" spans="27:35" x14ac:dyDescent="0.3">
      <c r="AA119">
        <v>2611</v>
      </c>
      <c r="AB119" t="s">
        <v>69</v>
      </c>
      <c r="AI119">
        <f t="shared" si="5"/>
        <v>0</v>
      </c>
    </row>
    <row r="120" spans="27:35" x14ac:dyDescent="0.3">
      <c r="AA120">
        <v>2611</v>
      </c>
      <c r="AB120" t="s">
        <v>70</v>
      </c>
      <c r="AC120">
        <v>6.858216547868505E-2</v>
      </c>
      <c r="AD120">
        <v>16.399999999999999</v>
      </c>
      <c r="AE120">
        <v>0</v>
      </c>
      <c r="AF120">
        <f>$AF$16*AE120</f>
        <v>0</v>
      </c>
      <c r="AH120">
        <v>7.8E-2</v>
      </c>
      <c r="AI120">
        <f t="shared" si="5"/>
        <v>5.3494089073374343E-3</v>
      </c>
    </row>
    <row r="121" spans="27:35" x14ac:dyDescent="0.3">
      <c r="AA121">
        <v>2611</v>
      </c>
      <c r="AB121" t="s">
        <v>71</v>
      </c>
      <c r="AI121">
        <f t="shared" si="5"/>
        <v>0</v>
      </c>
    </row>
    <row r="122" spans="27:35" x14ac:dyDescent="0.3">
      <c r="AA122">
        <v>2611</v>
      </c>
      <c r="AB122" t="s">
        <v>72</v>
      </c>
      <c r="AI122">
        <f t="shared" si="5"/>
        <v>0</v>
      </c>
    </row>
    <row r="123" spans="27:35" x14ac:dyDescent="0.3">
      <c r="AA123">
        <v>6651</v>
      </c>
      <c r="AB123" t="s">
        <v>73</v>
      </c>
      <c r="AC123">
        <v>1.4753496920188866E-2</v>
      </c>
      <c r="AD123">
        <v>13.3</v>
      </c>
      <c r="AE123">
        <v>0</v>
      </c>
      <c r="AF123">
        <f t="shared" ref="AF123:AF129" si="8">$AF$16*AE123</f>
        <v>0</v>
      </c>
      <c r="AH123">
        <v>5.4600000000000003E-2</v>
      </c>
      <c r="AI123">
        <f t="shared" si="5"/>
        <v>8.0554093184231207E-4</v>
      </c>
    </row>
    <row r="124" spans="27:35" x14ac:dyDescent="0.3">
      <c r="AA124">
        <v>6652</v>
      </c>
      <c r="AB124" t="s">
        <v>74</v>
      </c>
      <c r="AC124">
        <v>3.5852763950746658E-2</v>
      </c>
      <c r="AD124">
        <v>18.2</v>
      </c>
      <c r="AE124">
        <v>0</v>
      </c>
      <c r="AF124">
        <f t="shared" si="8"/>
        <v>0</v>
      </c>
      <c r="AH124">
        <v>5.4600000000000003E-2</v>
      </c>
      <c r="AI124">
        <f t="shared" si="5"/>
        <v>1.9575609117107678E-3</v>
      </c>
    </row>
    <row r="125" spans="27:35" x14ac:dyDescent="0.3">
      <c r="AA125">
        <v>6653</v>
      </c>
      <c r="AB125" t="s">
        <v>75</v>
      </c>
      <c r="AC125">
        <v>0.10850194979195435</v>
      </c>
      <c r="AD125">
        <v>23</v>
      </c>
      <c r="AE125">
        <v>0</v>
      </c>
      <c r="AF125">
        <f t="shared" si="8"/>
        <v>0</v>
      </c>
      <c r="AH125">
        <v>5.4600000000000003E-2</v>
      </c>
      <c r="AI125">
        <f t="shared" si="5"/>
        <v>5.9242064586407074E-3</v>
      </c>
    </row>
    <row r="126" spans="27:35" x14ac:dyDescent="0.3">
      <c r="AA126">
        <v>6654</v>
      </c>
      <c r="AB126" t="s">
        <v>76</v>
      </c>
      <c r="AC126">
        <v>2.7773734178254121E-2</v>
      </c>
      <c r="AD126">
        <v>27.9</v>
      </c>
      <c r="AE126">
        <v>0</v>
      </c>
      <c r="AF126">
        <f t="shared" si="8"/>
        <v>0</v>
      </c>
      <c r="AH126">
        <v>5.4600000000000003E-2</v>
      </c>
      <c r="AI126">
        <f t="shared" si="5"/>
        <v>1.516445886132675E-3</v>
      </c>
    </row>
    <row r="127" spans="27:35" x14ac:dyDescent="0.3">
      <c r="AA127">
        <v>6655</v>
      </c>
      <c r="AB127" t="s">
        <v>77</v>
      </c>
      <c r="AC127">
        <v>2.0778613418534549E-2</v>
      </c>
      <c r="AD127">
        <v>37.200000000000003</v>
      </c>
      <c r="AE127">
        <v>0</v>
      </c>
      <c r="AF127">
        <f t="shared" si="8"/>
        <v>0</v>
      </c>
      <c r="AH127">
        <v>5.4600000000000003E-2</v>
      </c>
      <c r="AI127">
        <f t="shared" si="5"/>
        <v>1.1345122926519865E-3</v>
      </c>
    </row>
    <row r="128" spans="27:35" x14ac:dyDescent="0.3">
      <c r="AA128">
        <v>2611</v>
      </c>
      <c r="AB128" t="s">
        <v>78</v>
      </c>
      <c r="AC128">
        <v>1.8623130536835727E-2</v>
      </c>
      <c r="AD128">
        <v>21.3</v>
      </c>
      <c r="AE128">
        <v>0</v>
      </c>
      <c r="AF128">
        <f t="shared" si="8"/>
        <v>0</v>
      </c>
      <c r="AI128">
        <f t="shared" si="5"/>
        <v>0</v>
      </c>
    </row>
    <row r="129" spans="27:35" x14ac:dyDescent="0.3">
      <c r="AA129">
        <v>2611</v>
      </c>
      <c r="AB129" t="s">
        <v>79</v>
      </c>
      <c r="AF129">
        <f t="shared" si="8"/>
        <v>0</v>
      </c>
      <c r="AI129">
        <f t="shared" si="5"/>
        <v>0</v>
      </c>
    </row>
    <row r="130" spans="27:35" x14ac:dyDescent="0.3">
      <c r="AA130">
        <v>2611</v>
      </c>
      <c r="AB130" t="s">
        <v>80</v>
      </c>
      <c r="AI130">
        <f t="shared" si="5"/>
        <v>0</v>
      </c>
    </row>
    <row r="131" spans="27:35" x14ac:dyDescent="0.3">
      <c r="AA131">
        <v>3363</v>
      </c>
      <c r="AB131" t="s">
        <v>81</v>
      </c>
      <c r="AC131">
        <v>6.8102665572076518E-2</v>
      </c>
      <c r="AD131">
        <v>4.5</v>
      </c>
      <c r="AE131">
        <f t="shared" si="6"/>
        <v>0.30646199507434435</v>
      </c>
      <c r="AF131">
        <f t="shared" ref="AF131:AF136" si="9">$AF$16*AE131</f>
        <v>0</v>
      </c>
      <c r="AI131">
        <f t="shared" si="5"/>
        <v>0</v>
      </c>
    </row>
    <row r="132" spans="27:35" x14ac:dyDescent="0.3">
      <c r="AA132">
        <v>3315</v>
      </c>
      <c r="AB132" t="s">
        <v>82</v>
      </c>
      <c r="AC132">
        <v>4.9126726872062839E-3</v>
      </c>
      <c r="AD132">
        <v>8</v>
      </c>
      <c r="AE132">
        <f t="shared" si="6"/>
        <v>3.9301381497650272E-2</v>
      </c>
      <c r="AF132">
        <f t="shared" si="9"/>
        <v>0</v>
      </c>
      <c r="AI132">
        <f t="shared" si="5"/>
        <v>0</v>
      </c>
    </row>
    <row r="133" spans="27:35" x14ac:dyDescent="0.3">
      <c r="AA133">
        <v>888</v>
      </c>
      <c r="AB133" t="s">
        <v>83</v>
      </c>
      <c r="AC133">
        <v>0.45759100541015407</v>
      </c>
      <c r="AD133">
        <f>19.1/100</f>
        <v>0.191</v>
      </c>
      <c r="AE133">
        <f t="shared" si="6"/>
        <v>8.7399882033339427E-2</v>
      </c>
      <c r="AF133">
        <f t="shared" si="9"/>
        <v>0</v>
      </c>
      <c r="AI133">
        <f t="shared" si="5"/>
        <v>0</v>
      </c>
    </row>
    <row r="134" spans="27:35" x14ac:dyDescent="0.3">
      <c r="AA134">
        <v>5169</v>
      </c>
      <c r="AB134" t="s">
        <v>84</v>
      </c>
      <c r="AC134">
        <v>3.9944266260055735E-3</v>
      </c>
      <c r="AD134">
        <v>6.1</v>
      </c>
      <c r="AE134">
        <f t="shared" si="6"/>
        <v>2.4366002418633997E-2</v>
      </c>
      <c r="AF134">
        <f t="shared" si="9"/>
        <v>0</v>
      </c>
      <c r="AI134">
        <f t="shared" si="5"/>
        <v>0</v>
      </c>
    </row>
    <row r="135" spans="27:35" x14ac:dyDescent="0.3">
      <c r="AA135">
        <v>5345</v>
      </c>
      <c r="AB135" t="s">
        <v>85</v>
      </c>
      <c r="AC135">
        <v>7.2624743677375259E-3</v>
      </c>
      <c r="AD135">
        <v>11</v>
      </c>
      <c r="AE135">
        <f t="shared" si="6"/>
        <v>7.9887218045112784E-2</v>
      </c>
      <c r="AF135">
        <f t="shared" si="9"/>
        <v>0</v>
      </c>
      <c r="AI135">
        <f t="shared" si="5"/>
        <v>0</v>
      </c>
    </row>
    <row r="136" spans="27:35" x14ac:dyDescent="0.3">
      <c r="AA136">
        <v>4526</v>
      </c>
      <c r="AB136" t="s">
        <v>86</v>
      </c>
      <c r="AC136">
        <v>0.45302887901572109</v>
      </c>
      <c r="AD136">
        <v>12.3</v>
      </c>
      <c r="AE136">
        <v>0</v>
      </c>
      <c r="AF136">
        <f t="shared" si="9"/>
        <v>0</v>
      </c>
      <c r="AI136">
        <f t="shared" si="5"/>
        <v>0</v>
      </c>
    </row>
  </sheetData>
  <sheetProtection algorithmName="SHA-512" hashValue="ptuE4x93S3/Yppq+kNalGCyzPzwwS4zD/3ZUt4oHwb1VgRyRerLSLK1xsbAw1DgcUoFq77SPvEBSKXVV+Js8Dw==" saltValue="Dv8+Dc9MTTkrvoITJNRRLg==" spinCount="100000" sheet="1" objects="1" scenarios="1"/>
  <protectedRanges>
    <protectedRange sqref="C4:C63 Q4:Q14 K4:M37 F4:G63" name="Rango1"/>
  </protectedRanges>
  <mergeCells count="3">
    <mergeCell ref="B2:C2"/>
    <mergeCell ref="E2:G2"/>
    <mergeCell ref="J2:M2"/>
  </mergeCells>
  <dataValidations count="4">
    <dataValidation type="list" allowBlank="1" showInputMessage="1" showErrorMessage="1" sqref="Q12">
      <formula1>$AC$8:$AC$10</formula1>
    </dataValidation>
    <dataValidation type="list" allowBlank="1" showInputMessage="1" showErrorMessage="1" sqref="Q11">
      <formula1>$AC$5:$AC$7</formula1>
    </dataValidation>
    <dataValidation type="list" allowBlank="1" showInputMessage="1" showErrorMessage="1" sqref="Q10">
      <formula1>$AC$4:$AC$5</formula1>
    </dataValidation>
    <dataValidation type="list" allowBlank="1" showInputMessage="1" showErrorMessage="1" sqref="R5">
      <formula1>$AE$4:$AE$5</formula1>
    </dataValidation>
  </dataValidations>
  <pageMargins left="0.7" right="0.7" top="0.75" bottom="0.75" header="0.3" footer="0.3"/>
  <pageSetup scale="5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136"/>
  <sheetViews>
    <sheetView view="pageBreakPreview" zoomScaleNormal="100" zoomScaleSheetLayoutView="100" workbookViewId="0">
      <selection activeCell="C4" sqref="C4"/>
    </sheetView>
  </sheetViews>
  <sheetFormatPr baseColWidth="10" defaultRowHeight="14.4" x14ac:dyDescent="0.3"/>
  <cols>
    <col min="1" max="1" width="4.6640625" customWidth="1"/>
    <col min="2" max="2" width="4.6640625" bestFit="1" customWidth="1"/>
    <col min="3" max="3" width="11.6640625" customWidth="1"/>
    <col min="4" max="4" width="4.6640625" customWidth="1"/>
    <col min="5" max="5" width="4.6640625" bestFit="1" customWidth="1"/>
    <col min="6" max="7" width="11.6640625" customWidth="1"/>
    <col min="8" max="8" width="11.5546875" hidden="1" customWidth="1"/>
    <col min="9" max="9" width="4.6640625" customWidth="1"/>
    <col min="10" max="10" width="4.6640625" bestFit="1" customWidth="1"/>
    <col min="11" max="11" width="11.6640625" customWidth="1"/>
    <col min="12" max="13" width="7.6640625" customWidth="1"/>
    <col min="14" max="14" width="3.44140625" hidden="1" customWidth="1"/>
    <col min="15" max="15" width="4.6640625" customWidth="1"/>
    <col min="16" max="16" width="18.33203125" customWidth="1"/>
    <col min="17" max="17" width="14.109375" bestFit="1" customWidth="1"/>
    <col min="18" max="18" width="8.109375" bestFit="1" customWidth="1"/>
    <col min="19" max="19" width="4.6640625" customWidth="1"/>
    <col min="20" max="20" width="10.33203125" customWidth="1"/>
    <col min="21" max="26" width="11.5546875" customWidth="1"/>
    <col min="27" max="27" width="5" customWidth="1"/>
    <col min="28" max="28" width="26.33203125" customWidth="1"/>
    <col min="29" max="35" width="11.5546875" customWidth="1"/>
  </cols>
  <sheetData>
    <row r="1" spans="2:33" ht="15" thickBot="1" x14ac:dyDescent="0.35"/>
    <row r="2" spans="2:33" x14ac:dyDescent="0.3">
      <c r="B2" s="317" t="s">
        <v>89</v>
      </c>
      <c r="C2" s="318"/>
      <c r="E2" s="317" t="s">
        <v>99</v>
      </c>
      <c r="F2" s="319"/>
      <c r="G2" s="318"/>
      <c r="J2" s="317" t="s">
        <v>279</v>
      </c>
      <c r="K2" s="319"/>
      <c r="L2" s="319"/>
      <c r="M2" s="318"/>
    </row>
    <row r="3" spans="2:33" ht="29.4" customHeight="1" thickBot="1" x14ac:dyDescent="0.35">
      <c r="B3" s="233" t="s">
        <v>90</v>
      </c>
      <c r="C3" s="234" t="s">
        <v>287</v>
      </c>
      <c r="D3" s="235"/>
      <c r="E3" s="233" t="s">
        <v>90</v>
      </c>
      <c r="F3" s="242" t="s">
        <v>288</v>
      </c>
      <c r="G3" s="234" t="s">
        <v>289</v>
      </c>
      <c r="J3" s="232" t="s">
        <v>90</v>
      </c>
      <c r="K3" s="243" t="s">
        <v>301</v>
      </c>
      <c r="L3" s="243" t="s">
        <v>285</v>
      </c>
      <c r="M3" s="231" t="s">
        <v>286</v>
      </c>
      <c r="O3" s="244"/>
    </row>
    <row r="4" spans="2:33" x14ac:dyDescent="0.3">
      <c r="B4" s="206">
        <v>1</v>
      </c>
      <c r="C4" s="193"/>
      <c r="E4" s="206">
        <v>1</v>
      </c>
      <c r="F4" s="241"/>
      <c r="G4" s="193"/>
      <c r="H4">
        <f>SUM(F4:G4)*2*$Q$8/10000</f>
        <v>0</v>
      </c>
      <c r="J4" s="207">
        <v>1</v>
      </c>
      <c r="K4" s="190"/>
      <c r="L4" s="190"/>
      <c r="M4" s="194"/>
      <c r="N4">
        <f t="shared" ref="N4:N37" si="0">IF(ISERROR(AVERAGE(L4:M4)*K4/10000),0,AVERAGE(L4:M4)*K4/10000*2)</f>
        <v>0</v>
      </c>
      <c r="P4" s="209" t="s">
        <v>1</v>
      </c>
      <c r="Q4" s="205"/>
      <c r="R4" s="216" t="s">
        <v>277</v>
      </c>
      <c r="AC4" t="s">
        <v>95</v>
      </c>
      <c r="AD4" t="s">
        <v>159</v>
      </c>
      <c r="AE4" t="s">
        <v>6</v>
      </c>
    </row>
    <row r="5" spans="2:33" x14ac:dyDescent="0.3">
      <c r="B5" s="206">
        <v>2</v>
      </c>
      <c r="C5" s="193"/>
      <c r="E5" s="206">
        <v>2</v>
      </c>
      <c r="F5" s="241"/>
      <c r="G5" s="193"/>
      <c r="H5">
        <f t="shared" ref="H5:H63" si="1">SUM(F5:G5)*2*$Q$8/10000</f>
        <v>0</v>
      </c>
      <c r="J5" s="207">
        <v>2</v>
      </c>
      <c r="K5" s="190"/>
      <c r="L5" s="190"/>
      <c r="M5" s="194"/>
      <c r="N5">
        <f t="shared" si="0"/>
        <v>0</v>
      </c>
      <c r="P5" s="207" t="s">
        <v>290</v>
      </c>
      <c r="Q5" s="199"/>
      <c r="R5" s="246" t="str">
        <f>'EQUIPO BASE'!R5</f>
        <v>pesos</v>
      </c>
      <c r="AC5" t="s">
        <v>96</v>
      </c>
      <c r="AD5" t="s">
        <v>161</v>
      </c>
      <c r="AE5" t="s">
        <v>317</v>
      </c>
    </row>
    <row r="6" spans="2:33" x14ac:dyDescent="0.3">
      <c r="B6" s="206">
        <v>3</v>
      </c>
      <c r="C6" s="193"/>
      <c r="E6" s="206">
        <v>3</v>
      </c>
      <c r="F6" s="241"/>
      <c r="G6" s="193"/>
      <c r="H6">
        <f t="shared" si="1"/>
        <v>0</v>
      </c>
      <c r="J6" s="207">
        <v>3</v>
      </c>
      <c r="K6" s="190"/>
      <c r="L6" s="190"/>
      <c r="M6" s="194"/>
      <c r="N6">
        <f t="shared" si="0"/>
        <v>0</v>
      </c>
      <c r="P6" s="207" t="s">
        <v>91</v>
      </c>
      <c r="Q6" s="199"/>
      <c r="R6" s="216" t="s">
        <v>92</v>
      </c>
      <c r="AC6" t="s">
        <v>97</v>
      </c>
      <c r="AD6" t="s">
        <v>163</v>
      </c>
    </row>
    <row r="7" spans="2:33" x14ac:dyDescent="0.3">
      <c r="B7" s="206">
        <v>4</v>
      </c>
      <c r="C7" s="193"/>
      <c r="E7" s="206">
        <v>4</v>
      </c>
      <c r="F7" s="241"/>
      <c r="G7" s="193"/>
      <c r="H7">
        <f t="shared" si="1"/>
        <v>0</v>
      </c>
      <c r="J7" s="207">
        <v>4</v>
      </c>
      <c r="K7" s="190"/>
      <c r="L7" s="190"/>
      <c r="M7" s="194"/>
      <c r="N7">
        <f t="shared" si="0"/>
        <v>0</v>
      </c>
      <c r="P7" s="207" t="s">
        <v>93</v>
      </c>
      <c r="Q7" s="199"/>
      <c r="R7" s="216" t="s">
        <v>92</v>
      </c>
      <c r="AC7" t="s">
        <v>98</v>
      </c>
      <c r="AD7" t="s">
        <v>165</v>
      </c>
    </row>
    <row r="8" spans="2:33" x14ac:dyDescent="0.3">
      <c r="B8" s="206">
        <v>5</v>
      </c>
      <c r="C8" s="194"/>
      <c r="E8" s="206">
        <v>5</v>
      </c>
      <c r="F8" s="241"/>
      <c r="G8" s="193"/>
      <c r="H8">
        <f t="shared" si="1"/>
        <v>0</v>
      </c>
      <c r="J8" s="207">
        <v>5</v>
      </c>
      <c r="K8" s="190"/>
      <c r="L8" s="190"/>
      <c r="M8" s="194"/>
      <c r="N8">
        <f t="shared" si="0"/>
        <v>0</v>
      </c>
      <c r="P8" s="207" t="s">
        <v>219</v>
      </c>
      <c r="Q8" s="199"/>
      <c r="R8" s="216" t="s">
        <v>92</v>
      </c>
      <c r="AC8" t="s">
        <v>96</v>
      </c>
    </row>
    <row r="9" spans="2:33" x14ac:dyDescent="0.3">
      <c r="B9" s="206">
        <v>6</v>
      </c>
      <c r="C9" s="194"/>
      <c r="E9" s="206">
        <v>6</v>
      </c>
      <c r="F9" s="241"/>
      <c r="G9" s="193"/>
      <c r="H9">
        <f t="shared" si="1"/>
        <v>0</v>
      </c>
      <c r="J9" s="207">
        <v>6</v>
      </c>
      <c r="K9" s="190"/>
      <c r="L9" s="190"/>
      <c r="M9" s="194"/>
      <c r="N9">
        <f t="shared" si="0"/>
        <v>0</v>
      </c>
      <c r="P9" s="207" t="s">
        <v>3</v>
      </c>
      <c r="Q9" s="199"/>
      <c r="R9" s="216" t="s">
        <v>4</v>
      </c>
      <c r="AC9" t="s">
        <v>225</v>
      </c>
    </row>
    <row r="10" spans="2:33" x14ac:dyDescent="0.3">
      <c r="B10" s="206">
        <v>7</v>
      </c>
      <c r="C10" s="194"/>
      <c r="E10" s="206">
        <v>7</v>
      </c>
      <c r="F10" s="241"/>
      <c r="G10" s="193"/>
      <c r="H10">
        <f t="shared" si="1"/>
        <v>0</v>
      </c>
      <c r="J10" s="207">
        <v>7</v>
      </c>
      <c r="K10" s="190"/>
      <c r="L10" s="190"/>
      <c r="M10" s="194"/>
      <c r="N10">
        <f t="shared" si="0"/>
        <v>0</v>
      </c>
      <c r="P10" s="207" t="s">
        <v>0</v>
      </c>
      <c r="Q10" s="198" t="s">
        <v>95</v>
      </c>
      <c r="R10" s="223"/>
      <c r="AC10" t="s">
        <v>226</v>
      </c>
    </row>
    <row r="11" spans="2:33" x14ac:dyDescent="0.3">
      <c r="B11" s="206">
        <v>8</v>
      </c>
      <c r="C11" s="194"/>
      <c r="E11" s="206">
        <v>8</v>
      </c>
      <c r="F11" s="241"/>
      <c r="G11" s="193"/>
      <c r="H11">
        <f t="shared" si="1"/>
        <v>0</v>
      </c>
      <c r="J11" s="207">
        <v>8</v>
      </c>
      <c r="K11" s="190"/>
      <c r="L11" s="190"/>
      <c r="M11" s="194"/>
      <c r="N11">
        <f t="shared" si="0"/>
        <v>0</v>
      </c>
      <c r="P11" s="207" t="s">
        <v>2</v>
      </c>
      <c r="Q11" s="198" t="s">
        <v>96</v>
      </c>
      <c r="R11" s="223"/>
    </row>
    <row r="12" spans="2:33" x14ac:dyDescent="0.3">
      <c r="B12" s="206">
        <v>9</v>
      </c>
      <c r="C12" s="194"/>
      <c r="E12" s="206">
        <v>9</v>
      </c>
      <c r="F12" s="241"/>
      <c r="G12" s="193"/>
      <c r="H12">
        <f t="shared" si="1"/>
        <v>0</v>
      </c>
      <c r="J12" s="207">
        <v>9</v>
      </c>
      <c r="K12" s="190"/>
      <c r="L12" s="190"/>
      <c r="M12" s="194"/>
      <c r="N12">
        <f t="shared" si="0"/>
        <v>0</v>
      </c>
      <c r="P12" s="207" t="s">
        <v>87</v>
      </c>
      <c r="Q12" s="198" t="s">
        <v>96</v>
      </c>
      <c r="R12" s="223"/>
    </row>
    <row r="13" spans="2:33" x14ac:dyDescent="0.3">
      <c r="B13" s="206">
        <v>10</v>
      </c>
      <c r="C13" s="194"/>
      <c r="E13" s="206">
        <v>10</v>
      </c>
      <c r="F13" s="241"/>
      <c r="G13" s="193"/>
      <c r="H13">
        <f t="shared" si="1"/>
        <v>0</v>
      </c>
      <c r="J13" s="207">
        <v>10</v>
      </c>
      <c r="K13" s="190"/>
      <c r="L13" s="190"/>
      <c r="M13" s="194"/>
      <c r="N13">
        <f t="shared" si="0"/>
        <v>0</v>
      </c>
      <c r="P13" s="207" t="s">
        <v>284</v>
      </c>
      <c r="Q13" s="245"/>
      <c r="R13" s="223"/>
    </row>
    <row r="14" spans="2:33" ht="15" thickBot="1" x14ac:dyDescent="0.35">
      <c r="B14" s="206">
        <v>11</v>
      </c>
      <c r="C14" s="194"/>
      <c r="E14" s="206">
        <v>11</v>
      </c>
      <c r="F14" s="241"/>
      <c r="G14" s="193"/>
      <c r="H14">
        <f t="shared" si="1"/>
        <v>0</v>
      </c>
      <c r="J14" s="207">
        <v>11</v>
      </c>
      <c r="K14" s="241"/>
      <c r="L14" s="241"/>
      <c r="M14" s="193"/>
      <c r="N14">
        <f t="shared" si="0"/>
        <v>0</v>
      </c>
      <c r="P14" s="208" t="s">
        <v>224</v>
      </c>
      <c r="Q14" s="225"/>
      <c r="R14" s="224"/>
      <c r="V14" t="s">
        <v>220</v>
      </c>
      <c r="W14" t="s">
        <v>221</v>
      </c>
      <c r="X14" t="s">
        <v>222</v>
      </c>
      <c r="Y14" t="s">
        <v>223</v>
      </c>
      <c r="Z14" t="s">
        <v>37</v>
      </c>
    </row>
    <row r="15" spans="2:33" ht="15" thickBot="1" x14ac:dyDescent="0.35">
      <c r="B15" s="206">
        <v>12</v>
      </c>
      <c r="C15" s="194"/>
      <c r="E15" s="206">
        <v>12</v>
      </c>
      <c r="F15" s="241"/>
      <c r="G15" s="193"/>
      <c r="H15">
        <f t="shared" si="1"/>
        <v>0</v>
      </c>
      <c r="J15" s="207">
        <v>12</v>
      </c>
      <c r="K15" s="241"/>
      <c r="L15" s="241"/>
      <c r="M15" s="193"/>
      <c r="N15">
        <f t="shared" si="0"/>
        <v>0</v>
      </c>
      <c r="V15">
        <f>Q6+Q7</f>
        <v>0</v>
      </c>
      <c r="W15">
        <f>ROUNDUP(IF(C4&gt;0,(SUM(C4:C63)*(Q6+Q7)/10000)*2,Q4*IF(Q10="SI",4.8,3.8))-(SUM(F4:F63)*(Q6+Q7)/10000*2)+(SUM(Hoja2!CB4:CD129)/10000),1)</f>
        <v>0</v>
      </c>
      <c r="X15">
        <f>Q4*2</f>
        <v>0</v>
      </c>
      <c r="Y15">
        <f>Q4*2</f>
        <v>0</v>
      </c>
    </row>
    <row r="16" spans="2:33" x14ac:dyDescent="0.3">
      <c r="B16" s="206">
        <v>13</v>
      </c>
      <c r="C16" s="194"/>
      <c r="E16" s="206">
        <v>13</v>
      </c>
      <c r="F16" s="241"/>
      <c r="G16" s="193"/>
      <c r="H16">
        <f t="shared" si="1"/>
        <v>0</v>
      </c>
      <c r="J16" s="207">
        <v>13</v>
      </c>
      <c r="K16" s="190"/>
      <c r="L16" s="190"/>
      <c r="M16" s="194"/>
      <c r="N16">
        <f t="shared" si="0"/>
        <v>0</v>
      </c>
      <c r="P16" s="210" t="s">
        <v>5</v>
      </c>
      <c r="Q16" s="213">
        <f>ROUNDUP(IF(C4&gt;0,(SUM(C4:C63)*(Q6+IF(Q10="SI",Q7,10))/10000)*2+IF(Q10="si",Q4,0),Q4*IF(Q10="SI",4.8,3.8))+SUM(H4:H63)-(SUMPRODUCT(F4:F63,G4:G63)/10000*2),1)</f>
        <v>0</v>
      </c>
      <c r="R16" s="214" t="s">
        <v>277</v>
      </c>
      <c r="V16">
        <f>ROUNDUP(V15/30,0)</f>
        <v>0</v>
      </c>
      <c r="AF16">
        <f>Q16</f>
        <v>0</v>
      </c>
      <c r="AG16" t="s">
        <v>298</v>
      </c>
    </row>
    <row r="17" spans="2:35" ht="14.4" customHeight="1" x14ac:dyDescent="0.3">
      <c r="B17" s="206">
        <v>14</v>
      </c>
      <c r="C17" s="194"/>
      <c r="E17" s="206">
        <v>14</v>
      </c>
      <c r="F17" s="241"/>
      <c r="G17" s="193"/>
      <c r="H17">
        <f t="shared" si="1"/>
        <v>0</v>
      </c>
      <c r="J17" s="207">
        <v>14</v>
      </c>
      <c r="K17" s="190"/>
      <c r="L17" s="190"/>
      <c r="M17" s="194"/>
      <c r="N17">
        <f t="shared" si="0"/>
        <v>0</v>
      </c>
      <c r="P17" s="211" t="s">
        <v>280</v>
      </c>
      <c r="Q17" s="215">
        <f>ROUNDUP(SUM(N4:N37),1)</f>
        <v>0</v>
      </c>
      <c r="R17" s="216" t="s">
        <v>277</v>
      </c>
      <c r="V17">
        <f>ROUNDUP(SUM(C4:C63)/60,0)</f>
        <v>0</v>
      </c>
      <c r="AD17" t="s">
        <v>295</v>
      </c>
      <c r="AE17" t="s">
        <v>94</v>
      </c>
      <c r="AF17">
        <f>SUM(AF18:AF136)</f>
        <v>0</v>
      </c>
      <c r="AG17" t="s">
        <v>291</v>
      </c>
      <c r="AI17">
        <f>SUM(AI18:AI136)</f>
        <v>8.0357262294170256E-2</v>
      </c>
    </row>
    <row r="18" spans="2:35" x14ac:dyDescent="0.3">
      <c r="B18" s="206">
        <v>15</v>
      </c>
      <c r="C18" s="194"/>
      <c r="E18" s="206">
        <v>15</v>
      </c>
      <c r="F18" s="241"/>
      <c r="G18" s="193"/>
      <c r="H18">
        <f t="shared" si="1"/>
        <v>0</v>
      </c>
      <c r="J18" s="207">
        <v>15</v>
      </c>
      <c r="K18" s="190"/>
      <c r="L18" s="190"/>
      <c r="M18" s="194"/>
      <c r="N18">
        <f t="shared" si="0"/>
        <v>0</v>
      </c>
      <c r="P18" s="211" t="s">
        <v>7</v>
      </c>
      <c r="Q18" s="217">
        <f>Q16*Q5</f>
        <v>0</v>
      </c>
      <c r="R18" s="216" t="str">
        <f>R5</f>
        <v>pesos</v>
      </c>
      <c r="V18">
        <f>V17*V16*1.1</f>
        <v>0</v>
      </c>
      <c r="AA18">
        <v>4571</v>
      </c>
      <c r="AB18" t="s">
        <v>10</v>
      </c>
      <c r="AC18">
        <v>0.18583984208294502</v>
      </c>
      <c r="AD18">
        <v>1.6</v>
      </c>
      <c r="AE18">
        <f t="shared" ref="AE18:AE80" si="2">ROUNDUP($AF$16*AC18,0)</f>
        <v>0</v>
      </c>
      <c r="AF18">
        <f>AE18*AD18</f>
        <v>0</v>
      </c>
      <c r="AH18">
        <v>2.5000000000000001E-2</v>
      </c>
      <c r="AI18">
        <f>AH18*AE18</f>
        <v>0</v>
      </c>
    </row>
    <row r="19" spans="2:35" ht="15" thickBot="1" x14ac:dyDescent="0.35">
      <c r="B19" s="206">
        <v>16</v>
      </c>
      <c r="C19" s="194"/>
      <c r="E19" s="206">
        <v>16</v>
      </c>
      <c r="F19" s="241"/>
      <c r="G19" s="193"/>
      <c r="H19">
        <f t="shared" si="1"/>
        <v>0</v>
      </c>
      <c r="J19" s="207">
        <v>16</v>
      </c>
      <c r="K19" s="190"/>
      <c r="L19" s="190"/>
      <c r="M19" s="194"/>
      <c r="N19">
        <f t="shared" si="0"/>
        <v>0</v>
      </c>
      <c r="P19" s="211" t="s">
        <v>281</v>
      </c>
      <c r="Q19" s="217">
        <f>Q17*Q5</f>
        <v>0</v>
      </c>
      <c r="R19" s="216" t="str">
        <f>R5</f>
        <v>pesos</v>
      </c>
      <c r="V19">
        <f>V18*Q9</f>
        <v>0</v>
      </c>
      <c r="AA19">
        <v>3635</v>
      </c>
      <c r="AB19" t="s">
        <v>11</v>
      </c>
      <c r="AC19">
        <v>1.4449657205151463E-2</v>
      </c>
      <c r="AD19">
        <v>6.7</v>
      </c>
      <c r="AE19">
        <f t="shared" si="2"/>
        <v>0</v>
      </c>
      <c r="AF19">
        <f t="shared" ref="AF19:AF88" si="3">AE19*AD19</f>
        <v>0</v>
      </c>
      <c r="AH19">
        <v>2.5000000000000001E-2</v>
      </c>
      <c r="AI19">
        <f t="shared" ref="AI19:AI88" si="4">AH19*AE19</f>
        <v>0</v>
      </c>
    </row>
    <row r="20" spans="2:35" ht="15" thickBot="1" x14ac:dyDescent="0.35">
      <c r="B20" s="206">
        <v>17</v>
      </c>
      <c r="C20" s="194"/>
      <c r="E20" s="206">
        <v>17</v>
      </c>
      <c r="F20" s="241"/>
      <c r="G20" s="193"/>
      <c r="H20">
        <f t="shared" si="1"/>
        <v>0</v>
      </c>
      <c r="J20" s="207">
        <v>17</v>
      </c>
      <c r="K20" s="190"/>
      <c r="L20" s="190"/>
      <c r="M20" s="194"/>
      <c r="N20">
        <f t="shared" si="0"/>
        <v>0</v>
      </c>
      <c r="P20" s="211" t="s">
        <v>8</v>
      </c>
      <c r="Q20" s="217">
        <f>ROUNDUP(IF(ISERROR(SUM(V21:Z21)),0,SUM(V21:Z21)),1)</f>
        <v>0</v>
      </c>
      <c r="R20" s="216" t="str">
        <f>R5</f>
        <v>pesos</v>
      </c>
      <c r="U20" s="220" t="s">
        <v>293</v>
      </c>
      <c r="V20" s="221">
        <f>ROUNDUP(IF(OR(Q8=8,Q8=10,Q8=12,Q8=15),V19/IF(Q8=8,6110,IF(Q8=10,5000,IF(Q8=12,4231,IF(Q8=15,3438,0)))),V19*Q8/550/100),0)</f>
        <v>0</v>
      </c>
      <c r="W20" s="221" t="e">
        <f>ROUNDUP(W15*2*Q9/IF(Q8=8,3500,IF(Q8=10,1800,IF(Q8=12,1200,IF(Q8=15,700,0)))),0)</f>
        <v>#DIV/0!</v>
      </c>
      <c r="X20" s="221">
        <f>ROUNDUP(X15*Q9/4000,0)</f>
        <v>0</v>
      </c>
      <c r="Y20" s="221">
        <f>ROUNDUP(IF(Q7=10,Y15*Q9/4000,0),0)</f>
        <v>0</v>
      </c>
      <c r="Z20" s="222">
        <f>ROUNDUP((Q16/3000)*(Q9/5),0)</f>
        <v>0</v>
      </c>
      <c r="AA20">
        <v>948</v>
      </c>
      <c r="AB20" t="s">
        <v>12</v>
      </c>
      <c r="AC20">
        <v>2.1674485807727191E-2</v>
      </c>
      <c r="AD20">
        <v>1.45</v>
      </c>
      <c r="AE20">
        <f t="shared" si="2"/>
        <v>0</v>
      </c>
      <c r="AF20">
        <f t="shared" si="3"/>
        <v>0</v>
      </c>
      <c r="AI20">
        <f t="shared" si="4"/>
        <v>0</v>
      </c>
    </row>
    <row r="21" spans="2:35" ht="15" thickBot="1" x14ac:dyDescent="0.35">
      <c r="B21" s="206">
        <v>18</v>
      </c>
      <c r="C21" s="194"/>
      <c r="E21" s="206">
        <v>18</v>
      </c>
      <c r="F21" s="241"/>
      <c r="G21" s="193"/>
      <c r="H21">
        <f t="shared" si="1"/>
        <v>0</v>
      </c>
      <c r="J21" s="207">
        <v>18</v>
      </c>
      <c r="K21" s="190"/>
      <c r="L21" s="190"/>
      <c r="M21" s="194"/>
      <c r="N21">
        <f t="shared" si="0"/>
        <v>0</v>
      </c>
      <c r="P21" s="211" t="s">
        <v>9</v>
      </c>
      <c r="Q21" s="217">
        <f>ROUNDUP(SUM(Hoja2!CE14:CE24)/10000*Q5,1)</f>
        <v>0</v>
      </c>
      <c r="R21" s="216" t="str">
        <f>R5</f>
        <v>pesos</v>
      </c>
      <c r="U21" s="220" t="s">
        <v>292</v>
      </c>
      <c r="V21" s="221">
        <f>V20*IF(OR(Q8=8,Q8=10,Q8=12,Q8=15),59.62,54)</f>
        <v>0</v>
      </c>
      <c r="W21" s="221" t="e">
        <f>W20*IF(Q8=8,3500,IF(Q8=10,1800,IF(Q8=12,1200,IF(Q8=15,700,0))))*IF(R5="dolares",IF(Q8=8,0.06,IF(Q8=10,0.07,IF(Q8=12,0.11,IF(Q8=15,0.15,0)))),IF(Q8=8,120,IF(Q8=10,149,IF(Q8=12,221,IF(Q8=15,303,0)))))</f>
        <v>#DIV/0!</v>
      </c>
      <c r="X21" s="221">
        <f>X20*4000*IF(R5="dolares",0.06,128)</f>
        <v>0</v>
      </c>
      <c r="Y21" s="221">
        <f>Y20*1500*IF(R5="dolares",0.1,200)</f>
        <v>0</v>
      </c>
      <c r="Z21" s="222">
        <f>Z20*IF(R5="dolares",253.8,495000)</f>
        <v>0</v>
      </c>
      <c r="AA21">
        <v>4572</v>
      </c>
      <c r="AB21" t="s">
        <v>13</v>
      </c>
      <c r="AC21">
        <v>2.1721211457913945E-3</v>
      </c>
      <c r="AE21">
        <f t="shared" si="2"/>
        <v>0</v>
      </c>
      <c r="AF21">
        <f t="shared" si="3"/>
        <v>0</v>
      </c>
      <c r="AI21">
        <f t="shared" si="4"/>
        <v>0</v>
      </c>
    </row>
    <row r="22" spans="2:35" ht="15" thickBot="1" x14ac:dyDescent="0.35">
      <c r="B22" s="206">
        <v>19</v>
      </c>
      <c r="C22" s="194"/>
      <c r="E22" s="206">
        <v>19</v>
      </c>
      <c r="F22" s="241"/>
      <c r="G22" s="193"/>
      <c r="H22">
        <f t="shared" si="1"/>
        <v>0</v>
      </c>
      <c r="J22" s="207">
        <v>19</v>
      </c>
      <c r="K22" s="190"/>
      <c r="L22" s="190"/>
      <c r="M22" s="194"/>
      <c r="N22">
        <f t="shared" si="0"/>
        <v>0</v>
      </c>
      <c r="P22" s="212" t="s">
        <v>88</v>
      </c>
      <c r="Q22" s="219">
        <f>IF(Q12="NO",0,IF(Q13&lt;=((1/Q14)*2),0,ROUNDUP(SQRT(Q4)*IF(Q14=1,4,IF(Q14&gt;=2,ROUNDUP(Q14/2,0)*2+8,0))*(IF(Q14=1,IF(Q13&lt;=2,0,Q13-2),0)+IF(Q14=2,IF(Q13&lt;=1,0,Q13-1),0)+IF(Q14&gt;2,Q13-(2/Q14),0))*IF(R5="dolares",'Valor MTL sistema de seguridad'!D4,'Valor MTL sistema de seguridad'!C4),1))+ROUNDUP(SQRT(Q4)*IF(Q14=1,4,IF(Q14&gt;=2,ROUNDUP(Q14/2,0)*2+8,0))*Q13*IF(Q12="PAS PLAT GUARD",IF(R5="dolares",'Valor MTL sistema de seguridad'!D5+'Valor MTL sistema de seguridad'!D6,'Valor MTL sistema de seguridad'!C5+'Valor MTL sistema de seguridad'!C6),0),1)+IF(Q12="PAS PLAT GUARD",SQRT(Q4)*IF(Q14=1,4,3)*IF(R5="dolares",'Valor MTL sistema de seguridad'!D7,'Valor MTL sistema de seguridad'!C7),0))</f>
        <v>0</v>
      </c>
      <c r="R22" s="218" t="str">
        <f>R5</f>
        <v>pesos</v>
      </c>
      <c r="U22" s="220" t="s">
        <v>294</v>
      </c>
      <c r="V22" s="221">
        <f>V20*4.8</f>
        <v>0</v>
      </c>
      <c r="W22" s="221" t="e">
        <f>W20*700*0.03</f>
        <v>#DIV/0!</v>
      </c>
      <c r="X22" s="221">
        <f>X20*4000*0.01</f>
        <v>0</v>
      </c>
      <c r="Y22" s="221">
        <f>Y20*1500*0.01</f>
        <v>0</v>
      </c>
      <c r="Z22" s="222">
        <f>Z20*11</f>
        <v>0</v>
      </c>
      <c r="AA22">
        <v>922</v>
      </c>
      <c r="AB22" t="s">
        <v>14</v>
      </c>
      <c r="AC22">
        <v>0.49571576851557797</v>
      </c>
      <c r="AD22">
        <v>0.38</v>
      </c>
      <c r="AE22">
        <f t="shared" si="2"/>
        <v>0</v>
      </c>
      <c r="AF22">
        <f t="shared" si="3"/>
        <v>0</v>
      </c>
      <c r="AI22">
        <f t="shared" si="4"/>
        <v>0</v>
      </c>
    </row>
    <row r="23" spans="2:35" x14ac:dyDescent="0.3">
      <c r="B23" s="206">
        <v>20</v>
      </c>
      <c r="C23" s="229"/>
      <c r="E23" s="206">
        <v>20</v>
      </c>
      <c r="F23" s="241"/>
      <c r="G23" s="193"/>
      <c r="H23">
        <f t="shared" si="1"/>
        <v>0</v>
      </c>
      <c r="J23" s="207">
        <v>20</v>
      </c>
      <c r="K23" s="190"/>
      <c r="L23" s="190"/>
      <c r="M23" s="194"/>
      <c r="N23">
        <f t="shared" si="0"/>
        <v>0</v>
      </c>
      <c r="U23" s="230"/>
      <c r="V23" s="230"/>
      <c r="W23" s="230"/>
      <c r="X23" s="230"/>
      <c r="Y23" s="230"/>
      <c r="Z23" s="230"/>
    </row>
    <row r="24" spans="2:35" x14ac:dyDescent="0.3">
      <c r="B24" s="206">
        <v>21</v>
      </c>
      <c r="C24" s="229"/>
      <c r="E24" s="206">
        <v>21</v>
      </c>
      <c r="F24" s="241"/>
      <c r="G24" s="193"/>
      <c r="H24">
        <f t="shared" si="1"/>
        <v>0</v>
      </c>
      <c r="J24" s="207">
        <v>21</v>
      </c>
      <c r="K24" s="190"/>
      <c r="L24" s="190"/>
      <c r="M24" s="194"/>
      <c r="N24">
        <f t="shared" si="0"/>
        <v>0</v>
      </c>
      <c r="U24" s="230"/>
      <c r="V24" s="230"/>
      <c r="W24" s="230"/>
      <c r="X24" s="230"/>
      <c r="Y24" s="230"/>
      <c r="Z24" s="230"/>
    </row>
    <row r="25" spans="2:35" x14ac:dyDescent="0.3">
      <c r="B25" s="206">
        <v>22</v>
      </c>
      <c r="C25" s="229"/>
      <c r="E25" s="206">
        <v>22</v>
      </c>
      <c r="F25" s="241"/>
      <c r="G25" s="193"/>
      <c r="H25">
        <f t="shared" si="1"/>
        <v>0</v>
      </c>
      <c r="J25" s="207">
        <v>22</v>
      </c>
      <c r="K25" s="190"/>
      <c r="L25" s="190"/>
      <c r="M25" s="194"/>
      <c r="N25">
        <f t="shared" si="0"/>
        <v>0</v>
      </c>
      <c r="U25" s="230"/>
      <c r="V25" s="230"/>
      <c r="W25" s="230"/>
      <c r="X25" s="230"/>
      <c r="Y25" s="230"/>
      <c r="Z25" s="230"/>
    </row>
    <row r="26" spans="2:35" x14ac:dyDescent="0.3">
      <c r="B26" s="206">
        <v>23</v>
      </c>
      <c r="C26" s="229"/>
      <c r="E26" s="206">
        <v>23</v>
      </c>
      <c r="F26" s="241"/>
      <c r="G26" s="193"/>
      <c r="H26">
        <f t="shared" si="1"/>
        <v>0</v>
      </c>
      <c r="J26" s="207">
        <v>23</v>
      </c>
      <c r="K26" s="190"/>
      <c r="L26" s="190"/>
      <c r="M26" s="194"/>
      <c r="N26">
        <f t="shared" si="0"/>
        <v>0</v>
      </c>
      <c r="U26" s="230"/>
      <c r="V26" s="230"/>
      <c r="W26" s="230"/>
      <c r="X26" s="230"/>
      <c r="Y26" s="230"/>
      <c r="Z26" s="230"/>
    </row>
    <row r="27" spans="2:35" x14ac:dyDescent="0.3">
      <c r="B27" s="206">
        <v>24</v>
      </c>
      <c r="C27" s="229"/>
      <c r="E27" s="206">
        <v>24</v>
      </c>
      <c r="F27" s="241"/>
      <c r="G27" s="193"/>
      <c r="H27">
        <f t="shared" si="1"/>
        <v>0</v>
      </c>
      <c r="J27" s="207">
        <v>24</v>
      </c>
      <c r="K27" s="190"/>
      <c r="L27" s="190"/>
      <c r="M27" s="194"/>
      <c r="N27">
        <f t="shared" si="0"/>
        <v>0</v>
      </c>
      <c r="U27" s="230"/>
      <c r="V27" s="230"/>
      <c r="W27" s="230"/>
      <c r="X27" s="230"/>
      <c r="Y27" s="230"/>
      <c r="Z27" s="230"/>
    </row>
    <row r="28" spans="2:35" x14ac:dyDescent="0.3">
      <c r="B28" s="206">
        <v>25</v>
      </c>
      <c r="C28" s="229"/>
      <c r="E28" s="206">
        <v>25</v>
      </c>
      <c r="F28" s="241"/>
      <c r="G28" s="193"/>
      <c r="H28">
        <f t="shared" si="1"/>
        <v>0</v>
      </c>
      <c r="J28" s="207">
        <v>25</v>
      </c>
      <c r="K28" s="190"/>
      <c r="L28" s="190"/>
      <c r="M28" s="194"/>
      <c r="N28">
        <f t="shared" si="0"/>
        <v>0</v>
      </c>
      <c r="U28" s="230"/>
      <c r="V28" s="230"/>
      <c r="W28" s="230"/>
      <c r="X28" s="230"/>
      <c r="Y28" s="230"/>
      <c r="Z28" s="230"/>
    </row>
    <row r="29" spans="2:35" x14ac:dyDescent="0.3">
      <c r="B29" s="206">
        <v>26</v>
      </c>
      <c r="C29" s="229"/>
      <c r="E29" s="206">
        <v>26</v>
      </c>
      <c r="F29" s="241"/>
      <c r="G29" s="193"/>
      <c r="H29">
        <f t="shared" si="1"/>
        <v>0</v>
      </c>
      <c r="J29" s="207">
        <v>26</v>
      </c>
      <c r="K29" s="190"/>
      <c r="L29" s="190"/>
      <c r="M29" s="194"/>
      <c r="N29">
        <f t="shared" si="0"/>
        <v>0</v>
      </c>
      <c r="U29" s="230"/>
      <c r="V29" s="230"/>
      <c r="W29" s="230"/>
      <c r="X29" s="230"/>
      <c r="Y29" s="230"/>
      <c r="Z29" s="230"/>
    </row>
    <row r="30" spans="2:35" x14ac:dyDescent="0.3">
      <c r="B30" s="206">
        <v>27</v>
      </c>
      <c r="C30" s="229"/>
      <c r="E30" s="206">
        <v>27</v>
      </c>
      <c r="F30" s="241"/>
      <c r="G30" s="193"/>
      <c r="H30">
        <f t="shared" si="1"/>
        <v>0</v>
      </c>
      <c r="J30" s="207">
        <v>27</v>
      </c>
      <c r="K30" s="190"/>
      <c r="L30" s="190"/>
      <c r="M30" s="194"/>
      <c r="N30">
        <f t="shared" si="0"/>
        <v>0</v>
      </c>
      <c r="U30" s="230"/>
      <c r="V30" s="230"/>
      <c r="W30" s="230"/>
      <c r="X30" s="230"/>
      <c r="Y30" s="230"/>
      <c r="Z30" s="230"/>
    </row>
    <row r="31" spans="2:35" x14ac:dyDescent="0.3">
      <c r="B31" s="206">
        <v>28</v>
      </c>
      <c r="C31" s="229"/>
      <c r="E31" s="206">
        <v>28</v>
      </c>
      <c r="F31" s="241"/>
      <c r="G31" s="193"/>
      <c r="H31">
        <f t="shared" si="1"/>
        <v>0</v>
      </c>
      <c r="J31" s="207">
        <v>28</v>
      </c>
      <c r="K31" s="190"/>
      <c r="L31" s="190"/>
      <c r="M31" s="194"/>
      <c r="N31">
        <f t="shared" si="0"/>
        <v>0</v>
      </c>
      <c r="U31" s="230"/>
      <c r="V31" s="230"/>
      <c r="W31" s="230"/>
      <c r="X31" s="230"/>
      <c r="Y31" s="230"/>
      <c r="Z31" s="230"/>
    </row>
    <row r="32" spans="2:35" x14ac:dyDescent="0.3">
      <c r="B32" s="206">
        <v>29</v>
      </c>
      <c r="C32" s="229"/>
      <c r="E32" s="206">
        <v>29</v>
      </c>
      <c r="F32" s="241"/>
      <c r="G32" s="193"/>
      <c r="H32">
        <f t="shared" si="1"/>
        <v>0</v>
      </c>
      <c r="J32" s="207">
        <v>29</v>
      </c>
      <c r="K32" s="190"/>
      <c r="L32" s="190"/>
      <c r="M32" s="194"/>
      <c r="N32">
        <f t="shared" si="0"/>
        <v>0</v>
      </c>
      <c r="U32" s="230"/>
      <c r="V32" s="230"/>
      <c r="W32" s="230"/>
      <c r="X32" s="230"/>
      <c r="Y32" s="230"/>
      <c r="Z32" s="230"/>
    </row>
    <row r="33" spans="2:26" x14ac:dyDescent="0.3">
      <c r="B33" s="206">
        <v>30</v>
      </c>
      <c r="C33" s="229"/>
      <c r="E33" s="206">
        <v>30</v>
      </c>
      <c r="F33" s="241"/>
      <c r="G33" s="193"/>
      <c r="H33">
        <f t="shared" si="1"/>
        <v>0</v>
      </c>
      <c r="J33" s="207">
        <v>30</v>
      </c>
      <c r="K33" s="190"/>
      <c r="L33" s="190"/>
      <c r="M33" s="194"/>
      <c r="N33">
        <f t="shared" si="0"/>
        <v>0</v>
      </c>
      <c r="U33" s="230"/>
      <c r="V33" s="230"/>
      <c r="W33" s="230"/>
      <c r="X33" s="230"/>
      <c r="Y33" s="230"/>
      <c r="Z33" s="230"/>
    </row>
    <row r="34" spans="2:26" x14ac:dyDescent="0.3">
      <c r="B34" s="206">
        <v>31</v>
      </c>
      <c r="C34" s="229"/>
      <c r="E34" s="206">
        <v>31</v>
      </c>
      <c r="F34" s="241"/>
      <c r="G34" s="193"/>
      <c r="H34">
        <f t="shared" si="1"/>
        <v>0</v>
      </c>
      <c r="J34" s="207">
        <v>31</v>
      </c>
      <c r="K34" s="190"/>
      <c r="L34" s="190"/>
      <c r="M34" s="194"/>
      <c r="N34">
        <f t="shared" si="0"/>
        <v>0</v>
      </c>
      <c r="U34" s="230"/>
      <c r="V34" s="230"/>
      <c r="W34" s="230"/>
      <c r="X34" s="230"/>
      <c r="Y34" s="230"/>
      <c r="Z34" s="230"/>
    </row>
    <row r="35" spans="2:26" x14ac:dyDescent="0.3">
      <c r="B35" s="206">
        <v>32</v>
      </c>
      <c r="C35" s="229"/>
      <c r="E35" s="206">
        <v>32</v>
      </c>
      <c r="F35" s="241"/>
      <c r="G35" s="193"/>
      <c r="H35">
        <f t="shared" si="1"/>
        <v>0</v>
      </c>
      <c r="J35" s="207">
        <v>32</v>
      </c>
      <c r="K35" s="190"/>
      <c r="L35" s="190"/>
      <c r="M35" s="194"/>
      <c r="N35">
        <f t="shared" si="0"/>
        <v>0</v>
      </c>
      <c r="U35" s="230"/>
      <c r="V35" s="230"/>
      <c r="W35" s="230"/>
      <c r="X35" s="230"/>
      <c r="Y35" s="230"/>
      <c r="Z35" s="230"/>
    </row>
    <row r="36" spans="2:26" x14ac:dyDescent="0.3">
      <c r="B36" s="206">
        <v>33</v>
      </c>
      <c r="C36" s="229"/>
      <c r="E36" s="206">
        <v>33</v>
      </c>
      <c r="F36" s="241"/>
      <c r="G36" s="193"/>
      <c r="H36">
        <f t="shared" si="1"/>
        <v>0</v>
      </c>
      <c r="J36" s="207">
        <v>33</v>
      </c>
      <c r="K36" s="190"/>
      <c r="L36" s="190"/>
      <c r="M36" s="194"/>
      <c r="N36">
        <f t="shared" si="0"/>
        <v>0</v>
      </c>
      <c r="U36" s="230"/>
      <c r="V36" s="230"/>
      <c r="W36" s="230"/>
      <c r="X36" s="230"/>
      <c r="Y36" s="230"/>
      <c r="Z36" s="230"/>
    </row>
    <row r="37" spans="2:26" ht="15" thickBot="1" x14ac:dyDescent="0.35">
      <c r="B37" s="206">
        <v>34</v>
      </c>
      <c r="C37" s="229"/>
      <c r="E37" s="206">
        <v>34</v>
      </c>
      <c r="F37" s="241"/>
      <c r="G37" s="193"/>
      <c r="H37">
        <f t="shared" si="1"/>
        <v>0</v>
      </c>
      <c r="J37" s="208">
        <v>34</v>
      </c>
      <c r="K37" s="196"/>
      <c r="L37" s="196"/>
      <c r="M37" s="197"/>
      <c r="N37">
        <f t="shared" si="0"/>
        <v>0</v>
      </c>
      <c r="U37" s="230"/>
      <c r="V37" s="230"/>
      <c r="W37" s="230"/>
      <c r="X37" s="230"/>
      <c r="Y37" s="230"/>
      <c r="Z37" s="230"/>
    </row>
    <row r="38" spans="2:26" x14ac:dyDescent="0.3">
      <c r="B38" s="206">
        <v>35</v>
      </c>
      <c r="C38" s="229"/>
      <c r="E38" s="206">
        <v>35</v>
      </c>
      <c r="F38" s="241"/>
      <c r="G38" s="193"/>
      <c r="H38">
        <f t="shared" si="1"/>
        <v>0</v>
      </c>
      <c r="K38" s="2"/>
      <c r="L38" s="2"/>
      <c r="M38" s="2"/>
      <c r="N38" s="2"/>
      <c r="U38" s="230"/>
      <c r="V38" s="230"/>
      <c r="W38" s="230"/>
      <c r="X38" s="230"/>
      <c r="Y38" s="230"/>
      <c r="Z38" s="230"/>
    </row>
    <row r="39" spans="2:26" x14ac:dyDescent="0.3">
      <c r="B39" s="206">
        <v>36</v>
      </c>
      <c r="C39" s="229"/>
      <c r="E39" s="206">
        <v>36</v>
      </c>
      <c r="F39" s="241"/>
      <c r="G39" s="193"/>
      <c r="H39">
        <f t="shared" si="1"/>
        <v>0</v>
      </c>
      <c r="N39" s="2"/>
      <c r="U39" s="230"/>
      <c r="V39" s="230"/>
      <c r="W39" s="230"/>
      <c r="X39" s="230"/>
      <c r="Y39" s="230"/>
      <c r="Z39" s="230"/>
    </row>
    <row r="40" spans="2:26" x14ac:dyDescent="0.3">
      <c r="B40" s="206">
        <v>37</v>
      </c>
      <c r="C40" s="229"/>
      <c r="E40" s="206">
        <v>37</v>
      </c>
      <c r="F40" s="241"/>
      <c r="G40" s="193"/>
      <c r="H40">
        <f t="shared" si="1"/>
        <v>0</v>
      </c>
      <c r="N40" s="2"/>
      <c r="U40" s="230"/>
      <c r="V40" s="230"/>
      <c r="W40" s="230"/>
      <c r="X40" s="230"/>
      <c r="Y40" s="230"/>
      <c r="Z40" s="230"/>
    </row>
    <row r="41" spans="2:26" x14ac:dyDescent="0.3">
      <c r="B41" s="206">
        <v>38</v>
      </c>
      <c r="C41" s="229"/>
      <c r="E41" s="206">
        <v>38</v>
      </c>
      <c r="F41" s="241"/>
      <c r="G41" s="193"/>
      <c r="H41">
        <f t="shared" si="1"/>
        <v>0</v>
      </c>
      <c r="N41" s="2"/>
      <c r="U41" s="230"/>
      <c r="V41" s="230"/>
      <c r="W41" s="230"/>
      <c r="X41" s="230"/>
      <c r="Y41" s="230"/>
      <c r="Z41" s="230"/>
    </row>
    <row r="42" spans="2:26" x14ac:dyDescent="0.3">
      <c r="B42" s="206">
        <v>39</v>
      </c>
      <c r="C42" s="229"/>
      <c r="E42" s="206">
        <v>39</v>
      </c>
      <c r="F42" s="241"/>
      <c r="G42" s="193"/>
      <c r="H42">
        <f t="shared" si="1"/>
        <v>0</v>
      </c>
      <c r="N42" s="2"/>
      <c r="U42" s="230"/>
      <c r="V42" s="230"/>
      <c r="W42" s="230"/>
      <c r="X42" s="230"/>
      <c r="Y42" s="230"/>
      <c r="Z42" s="230"/>
    </row>
    <row r="43" spans="2:26" x14ac:dyDescent="0.3">
      <c r="B43" s="206">
        <v>40</v>
      </c>
      <c r="C43" s="229"/>
      <c r="E43" s="206">
        <v>40</v>
      </c>
      <c r="F43" s="252"/>
      <c r="G43" s="253"/>
      <c r="N43" s="2"/>
      <c r="U43" s="230"/>
      <c r="V43" s="230"/>
      <c r="W43" s="230"/>
      <c r="X43" s="230"/>
      <c r="Y43" s="230"/>
      <c r="Z43" s="230"/>
    </row>
    <row r="44" spans="2:26" x14ac:dyDescent="0.3">
      <c r="B44" s="206">
        <v>41</v>
      </c>
      <c r="C44" s="229"/>
      <c r="E44" s="206">
        <v>41</v>
      </c>
      <c r="F44" s="252"/>
      <c r="G44" s="253"/>
      <c r="N44" s="2"/>
      <c r="U44" s="230"/>
      <c r="V44" s="230"/>
      <c r="W44" s="230"/>
      <c r="X44" s="230"/>
      <c r="Y44" s="230"/>
      <c r="Z44" s="230"/>
    </row>
    <row r="45" spans="2:26" x14ac:dyDescent="0.3">
      <c r="B45" s="206">
        <v>42</v>
      </c>
      <c r="C45" s="229"/>
      <c r="E45" s="206">
        <v>42</v>
      </c>
      <c r="F45" s="252"/>
      <c r="G45" s="253"/>
      <c r="N45" s="2"/>
      <c r="U45" s="230"/>
      <c r="V45" s="230"/>
      <c r="W45" s="230"/>
      <c r="X45" s="230"/>
      <c r="Y45" s="230"/>
      <c r="Z45" s="230"/>
    </row>
    <row r="46" spans="2:26" x14ac:dyDescent="0.3">
      <c r="B46" s="206">
        <v>43</v>
      </c>
      <c r="C46" s="229"/>
      <c r="E46" s="206">
        <v>43</v>
      </c>
      <c r="F46" s="252"/>
      <c r="G46" s="253"/>
      <c r="N46" s="2"/>
      <c r="U46" s="230"/>
      <c r="V46" s="230"/>
      <c r="W46" s="230"/>
      <c r="X46" s="230"/>
      <c r="Y46" s="230"/>
      <c r="Z46" s="230"/>
    </row>
    <row r="47" spans="2:26" x14ac:dyDescent="0.3">
      <c r="B47" s="206">
        <v>44</v>
      </c>
      <c r="C47" s="229"/>
      <c r="E47" s="206">
        <v>44</v>
      </c>
      <c r="F47" s="252"/>
      <c r="G47" s="253"/>
      <c r="N47" s="2"/>
      <c r="U47" s="230"/>
      <c r="V47" s="230"/>
      <c r="W47" s="230"/>
      <c r="X47" s="230"/>
      <c r="Y47" s="230"/>
      <c r="Z47" s="230"/>
    </row>
    <row r="48" spans="2:26" x14ac:dyDescent="0.3">
      <c r="B48" s="206">
        <v>45</v>
      </c>
      <c r="C48" s="229"/>
      <c r="E48" s="206">
        <v>45</v>
      </c>
      <c r="F48" s="252"/>
      <c r="G48" s="253"/>
      <c r="N48" s="2"/>
      <c r="U48" s="230"/>
      <c r="V48" s="230"/>
      <c r="W48" s="230"/>
      <c r="X48" s="230"/>
      <c r="Y48" s="230"/>
      <c r="Z48" s="230"/>
    </row>
    <row r="49" spans="2:35" x14ac:dyDescent="0.3">
      <c r="B49" s="206">
        <v>46</v>
      </c>
      <c r="C49" s="229"/>
      <c r="E49" s="206">
        <v>46</v>
      </c>
      <c r="F49" s="252"/>
      <c r="G49" s="253"/>
      <c r="N49" s="2"/>
      <c r="U49" s="230"/>
      <c r="V49" s="230"/>
      <c r="W49" s="230"/>
      <c r="X49" s="230"/>
      <c r="Y49" s="230"/>
      <c r="Z49" s="230"/>
    </row>
    <row r="50" spans="2:35" x14ac:dyDescent="0.3">
      <c r="B50" s="206">
        <v>47</v>
      </c>
      <c r="C50" s="229"/>
      <c r="E50" s="206">
        <v>47</v>
      </c>
      <c r="F50" s="252"/>
      <c r="G50" s="253"/>
      <c r="N50" s="2"/>
      <c r="U50" s="230"/>
      <c r="V50" s="230"/>
      <c r="W50" s="230"/>
      <c r="X50" s="230"/>
      <c r="Y50" s="230"/>
      <c r="Z50" s="230"/>
    </row>
    <row r="51" spans="2:35" x14ac:dyDescent="0.3">
      <c r="B51" s="206">
        <v>48</v>
      </c>
      <c r="C51" s="229"/>
      <c r="E51" s="206">
        <v>48</v>
      </c>
      <c r="F51" s="252"/>
      <c r="G51" s="253"/>
      <c r="N51" s="2"/>
      <c r="U51" s="230"/>
      <c r="V51" s="230"/>
      <c r="W51" s="230"/>
      <c r="X51" s="230"/>
      <c r="Y51" s="230"/>
      <c r="Z51" s="230"/>
    </row>
    <row r="52" spans="2:35" x14ac:dyDescent="0.3">
      <c r="B52" s="206">
        <v>49</v>
      </c>
      <c r="C52" s="229"/>
      <c r="E52" s="206">
        <v>49</v>
      </c>
      <c r="F52" s="252"/>
      <c r="G52" s="253"/>
      <c r="N52" s="2"/>
      <c r="U52" s="230"/>
      <c r="V52" s="230"/>
      <c r="W52" s="230"/>
      <c r="X52" s="230"/>
      <c r="Y52" s="230"/>
      <c r="Z52" s="230"/>
    </row>
    <row r="53" spans="2:35" x14ac:dyDescent="0.3">
      <c r="B53" s="206">
        <v>50</v>
      </c>
      <c r="C53" s="229"/>
      <c r="E53" s="206">
        <v>50</v>
      </c>
      <c r="F53" s="252"/>
      <c r="G53" s="253"/>
      <c r="N53" s="2"/>
      <c r="U53" s="230"/>
      <c r="V53" s="230"/>
      <c r="W53" s="230"/>
      <c r="X53" s="230"/>
      <c r="Y53" s="230"/>
      <c r="Z53" s="230"/>
    </row>
    <row r="54" spans="2:35" x14ac:dyDescent="0.3">
      <c r="B54" s="206">
        <v>51</v>
      </c>
      <c r="C54" s="229"/>
      <c r="E54" s="206">
        <v>51</v>
      </c>
      <c r="F54" s="252"/>
      <c r="G54" s="253"/>
      <c r="N54" s="2"/>
      <c r="U54" s="230"/>
      <c r="V54" s="230"/>
      <c r="W54" s="230"/>
      <c r="X54" s="230"/>
      <c r="Y54" s="230"/>
      <c r="Z54" s="230"/>
    </row>
    <row r="55" spans="2:35" x14ac:dyDescent="0.3">
      <c r="B55" s="206">
        <v>52</v>
      </c>
      <c r="C55" s="229"/>
      <c r="E55" s="206">
        <v>52</v>
      </c>
      <c r="F55" s="252"/>
      <c r="G55" s="253"/>
      <c r="N55" s="2"/>
      <c r="U55" s="230"/>
      <c r="V55" s="230"/>
      <c r="W55" s="230"/>
      <c r="X55" s="230"/>
      <c r="Y55" s="230"/>
      <c r="Z55" s="230"/>
    </row>
    <row r="56" spans="2:35" x14ac:dyDescent="0.3">
      <c r="B56" s="206">
        <v>53</v>
      </c>
      <c r="C56" s="229"/>
      <c r="E56" s="206">
        <v>53</v>
      </c>
      <c r="F56" s="252"/>
      <c r="G56" s="253"/>
      <c r="N56" s="2"/>
      <c r="U56" s="230"/>
      <c r="V56" s="230"/>
      <c r="W56" s="230"/>
      <c r="X56" s="230"/>
      <c r="Y56" s="230"/>
      <c r="Z56" s="230"/>
    </row>
    <row r="57" spans="2:35" x14ac:dyDescent="0.3">
      <c r="B57" s="206">
        <v>54</v>
      </c>
      <c r="C57" s="229"/>
      <c r="E57" s="206">
        <v>54</v>
      </c>
      <c r="F57" s="252"/>
      <c r="G57" s="253"/>
      <c r="N57" s="2"/>
      <c r="U57" s="230"/>
      <c r="V57" s="230"/>
      <c r="W57" s="230"/>
      <c r="X57" s="230"/>
      <c r="Y57" s="230"/>
      <c r="Z57" s="230"/>
    </row>
    <row r="58" spans="2:35" x14ac:dyDescent="0.3">
      <c r="B58" s="206">
        <v>55</v>
      </c>
      <c r="C58" s="229"/>
      <c r="E58" s="206">
        <v>55</v>
      </c>
      <c r="F58" s="252"/>
      <c r="G58" s="253"/>
      <c r="N58" s="2"/>
      <c r="U58" s="230"/>
      <c r="V58" s="230"/>
      <c r="W58" s="230"/>
      <c r="X58" s="230"/>
      <c r="Y58" s="230"/>
      <c r="Z58" s="230"/>
    </row>
    <row r="59" spans="2:35" x14ac:dyDescent="0.3">
      <c r="B59" s="206">
        <v>56</v>
      </c>
      <c r="C59" s="229"/>
      <c r="E59" s="206">
        <v>56</v>
      </c>
      <c r="F59" s="252"/>
      <c r="G59" s="253"/>
      <c r="N59" s="2"/>
      <c r="U59" s="230"/>
      <c r="V59" s="230"/>
      <c r="W59" s="230"/>
      <c r="X59" s="230"/>
      <c r="Y59" s="230"/>
      <c r="Z59" s="230"/>
    </row>
    <row r="60" spans="2:35" x14ac:dyDescent="0.3">
      <c r="B60" s="206">
        <v>57</v>
      </c>
      <c r="C60" s="229"/>
      <c r="E60" s="206">
        <v>57</v>
      </c>
      <c r="F60" s="252"/>
      <c r="G60" s="253"/>
      <c r="N60" s="2"/>
      <c r="U60" s="230"/>
      <c r="V60" s="230"/>
      <c r="W60" s="230"/>
      <c r="X60" s="230"/>
      <c r="Y60" s="230"/>
      <c r="Z60" s="230"/>
    </row>
    <row r="61" spans="2:35" x14ac:dyDescent="0.3">
      <c r="B61" s="206">
        <v>58</v>
      </c>
      <c r="C61" s="229"/>
      <c r="E61" s="206">
        <v>58</v>
      </c>
      <c r="F61" s="252"/>
      <c r="G61" s="253"/>
      <c r="N61" s="2"/>
      <c r="U61" s="230"/>
      <c r="V61" s="230"/>
      <c r="W61" s="230"/>
      <c r="X61" s="230"/>
      <c r="Y61" s="230"/>
      <c r="Z61" s="230"/>
    </row>
    <row r="62" spans="2:35" x14ac:dyDescent="0.3">
      <c r="B62" s="206">
        <v>59</v>
      </c>
      <c r="C62" s="229"/>
      <c r="E62" s="206">
        <v>59</v>
      </c>
      <c r="F62" s="252"/>
      <c r="G62" s="253"/>
      <c r="N62" s="2"/>
      <c r="U62" s="230"/>
      <c r="V62" s="230"/>
      <c r="W62" s="230"/>
      <c r="X62" s="230"/>
      <c r="Y62" s="230"/>
      <c r="Z62" s="230"/>
    </row>
    <row r="63" spans="2:35" ht="15" thickBot="1" x14ac:dyDescent="0.35">
      <c r="B63" s="206">
        <v>60</v>
      </c>
      <c r="C63" s="195"/>
      <c r="E63" s="206">
        <v>60</v>
      </c>
      <c r="F63" s="196"/>
      <c r="G63" s="197"/>
      <c r="H63">
        <f t="shared" si="1"/>
        <v>0</v>
      </c>
      <c r="N63" s="2"/>
      <c r="V63">
        <f>V20*0.244</f>
        <v>0</v>
      </c>
      <c r="W63" t="e">
        <f>W20*0.135</f>
        <v>#DIV/0!</v>
      </c>
      <c r="X63">
        <f>X20*0.135</f>
        <v>0</v>
      </c>
      <c r="Y63">
        <f>Y20*0.135</f>
        <v>0</v>
      </c>
      <c r="Z63">
        <f>Z20*0.073</f>
        <v>0</v>
      </c>
      <c r="AA63">
        <v>6253</v>
      </c>
      <c r="AB63" t="s">
        <v>15</v>
      </c>
      <c r="AC63">
        <v>8.7175634266704218</v>
      </c>
      <c r="AD63">
        <v>0.08</v>
      </c>
      <c r="AE63">
        <f t="shared" si="2"/>
        <v>0</v>
      </c>
      <c r="AF63">
        <f t="shared" si="3"/>
        <v>0</v>
      </c>
      <c r="AI63">
        <f t="shared" si="4"/>
        <v>0</v>
      </c>
    </row>
    <row r="64" spans="2:35" x14ac:dyDescent="0.3">
      <c r="AA64">
        <v>4894</v>
      </c>
      <c r="AB64" t="s">
        <v>16</v>
      </c>
      <c r="AC64">
        <v>9.9495585945947543E-3</v>
      </c>
      <c r="AD64">
        <v>4.5999999999999996</v>
      </c>
      <c r="AE64">
        <f t="shared" si="2"/>
        <v>0</v>
      </c>
      <c r="AF64">
        <f t="shared" si="3"/>
        <v>0</v>
      </c>
      <c r="AI64">
        <f t="shared" si="4"/>
        <v>0</v>
      </c>
    </row>
    <row r="65" spans="22:35" x14ac:dyDescent="0.3">
      <c r="AA65">
        <v>4896</v>
      </c>
      <c r="AB65" t="s">
        <v>17</v>
      </c>
      <c r="AC65">
        <v>3.8773408832642416E-3</v>
      </c>
      <c r="AD65">
        <v>5.0999999999999996</v>
      </c>
      <c r="AE65">
        <f t="shared" si="2"/>
        <v>0</v>
      </c>
      <c r="AF65">
        <f t="shared" si="3"/>
        <v>0</v>
      </c>
      <c r="AI65">
        <f t="shared" si="4"/>
        <v>0</v>
      </c>
    </row>
    <row r="66" spans="22:35" x14ac:dyDescent="0.3">
      <c r="AA66">
        <v>7765</v>
      </c>
      <c r="AB66" t="s">
        <v>18</v>
      </c>
      <c r="AC66">
        <v>1.1809473519269423E-2</v>
      </c>
      <c r="AD66">
        <v>4.7</v>
      </c>
      <c r="AE66">
        <f t="shared" si="2"/>
        <v>0</v>
      </c>
      <c r="AF66">
        <f t="shared" si="3"/>
        <v>0</v>
      </c>
      <c r="AI66">
        <f t="shared" si="4"/>
        <v>0</v>
      </c>
    </row>
    <row r="67" spans="22:35" x14ac:dyDescent="0.3">
      <c r="V67" t="s">
        <v>299</v>
      </c>
      <c r="W67">
        <f>ROUNDUP(SQRT(Q4)*IF(Q14=1,4,IF(Q14&gt;=2,Q14+4,0))*IF(Q12="PASARELAS",16.6,IF(Q12="PAS PLAT GUARD",16.6+21.7+12.4,0))*Q13,1)</f>
        <v>0</v>
      </c>
      <c r="AA67">
        <v>1345</v>
      </c>
      <c r="AB67" t="s">
        <v>19</v>
      </c>
      <c r="AC67">
        <v>8.3044482614032349E-3</v>
      </c>
      <c r="AD67">
        <v>23.6</v>
      </c>
      <c r="AE67">
        <f t="shared" si="2"/>
        <v>0</v>
      </c>
      <c r="AF67">
        <f t="shared" si="3"/>
        <v>0</v>
      </c>
      <c r="AH67">
        <v>7.2599999999999998E-2</v>
      </c>
      <c r="AI67">
        <f t="shared" si="4"/>
        <v>0</v>
      </c>
    </row>
    <row r="68" spans="22:35" x14ac:dyDescent="0.3">
      <c r="V68" t="s">
        <v>300</v>
      </c>
      <c r="W68">
        <f>ROUNDUP(SQRT(Q4)*IF(Q14=1,4,IF(Q14&gt;=2,Q14+4,0))*IF(Q12="PASARELAS",0.078,IF(Q12="PAS PLAT GUARD",0.078+0.055+0.046,0))*Q13,1)</f>
        <v>0</v>
      </c>
      <c r="AA68">
        <v>1346</v>
      </c>
      <c r="AB68" t="s">
        <v>20</v>
      </c>
      <c r="AC68">
        <v>4.3718051063851406E-3</v>
      </c>
      <c r="AD68">
        <v>0.35</v>
      </c>
      <c r="AE68">
        <f t="shared" si="2"/>
        <v>0</v>
      </c>
      <c r="AF68">
        <f t="shared" si="3"/>
        <v>0</v>
      </c>
      <c r="AI68">
        <f t="shared" si="4"/>
        <v>0</v>
      </c>
    </row>
    <row r="69" spans="22:35" x14ac:dyDescent="0.3">
      <c r="AA69">
        <v>1347</v>
      </c>
      <c r="AB69" t="s">
        <v>21</v>
      </c>
      <c r="AC69">
        <v>4.3880717417473878E-3</v>
      </c>
      <c r="AD69">
        <v>0.15</v>
      </c>
      <c r="AE69">
        <f t="shared" si="2"/>
        <v>0</v>
      </c>
      <c r="AF69">
        <f t="shared" si="3"/>
        <v>0</v>
      </c>
      <c r="AI69">
        <f t="shared" si="4"/>
        <v>0</v>
      </c>
    </row>
    <row r="70" spans="22:35" x14ac:dyDescent="0.3">
      <c r="AA70">
        <v>144</v>
      </c>
      <c r="AB70" t="s">
        <v>22</v>
      </c>
      <c r="AC70">
        <v>4.4920291828855303E-3</v>
      </c>
      <c r="AD70">
        <v>0.15</v>
      </c>
      <c r="AE70">
        <f t="shared" si="2"/>
        <v>0</v>
      </c>
      <c r="AF70">
        <f t="shared" si="3"/>
        <v>0</v>
      </c>
      <c r="AI70">
        <f t="shared" si="4"/>
        <v>0</v>
      </c>
    </row>
    <row r="71" spans="22:35" x14ac:dyDescent="0.3">
      <c r="AA71">
        <v>3783</v>
      </c>
      <c r="AB71" t="s">
        <v>23</v>
      </c>
      <c r="AC71">
        <v>0.86535162760478823</v>
      </c>
      <c r="AD71">
        <v>0.08</v>
      </c>
      <c r="AE71">
        <f t="shared" si="2"/>
        <v>0</v>
      </c>
      <c r="AF71">
        <f t="shared" si="3"/>
        <v>0</v>
      </c>
      <c r="AI71">
        <f t="shared" si="4"/>
        <v>0</v>
      </c>
    </row>
    <row r="72" spans="22:35" x14ac:dyDescent="0.3">
      <c r="AA72">
        <v>917</v>
      </c>
      <c r="AB72" t="s">
        <v>24</v>
      </c>
      <c r="AC72">
        <v>6.4559351573753299</v>
      </c>
      <c r="AD72">
        <v>0.12</v>
      </c>
      <c r="AE72">
        <f t="shared" si="2"/>
        <v>0</v>
      </c>
      <c r="AF72">
        <f t="shared" si="3"/>
        <v>0</v>
      </c>
      <c r="AI72">
        <f t="shared" si="4"/>
        <v>0</v>
      </c>
    </row>
    <row r="73" spans="22:35" x14ac:dyDescent="0.3">
      <c r="AA73">
        <v>921</v>
      </c>
      <c r="AB73" t="s">
        <v>25</v>
      </c>
      <c r="AC73">
        <v>3.1864147970408499E-2</v>
      </c>
      <c r="AD73">
        <v>0.23</v>
      </c>
      <c r="AE73">
        <f t="shared" si="2"/>
        <v>0</v>
      </c>
      <c r="AF73">
        <f t="shared" si="3"/>
        <v>0</v>
      </c>
      <c r="AI73">
        <f t="shared" si="4"/>
        <v>0</v>
      </c>
    </row>
    <row r="74" spans="22:35" x14ac:dyDescent="0.3">
      <c r="AA74">
        <v>899</v>
      </c>
      <c r="AB74" t="s">
        <v>26</v>
      </c>
      <c r="AC74">
        <v>3.2567993776874818E-2</v>
      </c>
      <c r="AD74">
        <v>0.23</v>
      </c>
      <c r="AE74">
        <f t="shared" si="2"/>
        <v>0</v>
      </c>
      <c r="AF74">
        <f t="shared" si="3"/>
        <v>0</v>
      </c>
      <c r="AI74">
        <f t="shared" si="4"/>
        <v>0</v>
      </c>
    </row>
    <row r="75" spans="22:35" x14ac:dyDescent="0.3">
      <c r="AA75">
        <v>906</v>
      </c>
      <c r="AB75" t="s">
        <v>27</v>
      </c>
      <c r="AC75">
        <v>5.1713610441496929E-2</v>
      </c>
      <c r="AD75">
        <v>0.14000000000000001</v>
      </c>
      <c r="AE75">
        <f t="shared" si="2"/>
        <v>0</v>
      </c>
      <c r="AF75">
        <f t="shared" si="3"/>
        <v>0</v>
      </c>
      <c r="AI75">
        <f t="shared" si="4"/>
        <v>0</v>
      </c>
    </row>
    <row r="76" spans="22:35" x14ac:dyDescent="0.3">
      <c r="AA76">
        <v>4849</v>
      </c>
      <c r="AB76" t="s">
        <v>28</v>
      </c>
      <c r="AC76">
        <v>0.88803857079214943</v>
      </c>
      <c r="AD76">
        <v>1</v>
      </c>
      <c r="AE76">
        <f t="shared" si="2"/>
        <v>0</v>
      </c>
      <c r="AF76">
        <f t="shared" si="3"/>
        <v>0</v>
      </c>
      <c r="AI76">
        <f t="shared" si="4"/>
        <v>0</v>
      </c>
    </row>
    <row r="77" spans="22:35" x14ac:dyDescent="0.3">
      <c r="AA77">
        <v>4848</v>
      </c>
      <c r="AB77" t="s">
        <v>29</v>
      </c>
      <c r="AC77">
        <v>0.88803857079214943</v>
      </c>
      <c r="AD77">
        <v>1</v>
      </c>
      <c r="AE77">
        <f t="shared" si="2"/>
        <v>0</v>
      </c>
      <c r="AF77">
        <f t="shared" si="3"/>
        <v>0</v>
      </c>
      <c r="AI77">
        <f t="shared" si="4"/>
        <v>0</v>
      </c>
    </row>
    <row r="78" spans="22:35" x14ac:dyDescent="0.3">
      <c r="AA78">
        <v>4821</v>
      </c>
      <c r="AB78" t="s">
        <v>30</v>
      </c>
      <c r="AC78">
        <v>3.7160414683215679E-3</v>
      </c>
      <c r="AD78">
        <v>4.8</v>
      </c>
      <c r="AE78">
        <f t="shared" si="2"/>
        <v>0</v>
      </c>
      <c r="AF78">
        <f t="shared" si="3"/>
        <v>0</v>
      </c>
      <c r="AI78">
        <f t="shared" si="4"/>
        <v>0</v>
      </c>
    </row>
    <row r="79" spans="22:35" x14ac:dyDescent="0.3">
      <c r="AA79">
        <v>951</v>
      </c>
      <c r="AB79" t="s">
        <v>31</v>
      </c>
      <c r="AC79">
        <v>1.4449657205151463E-2</v>
      </c>
      <c r="AD79">
        <v>5.6</v>
      </c>
      <c r="AE79">
        <f t="shared" si="2"/>
        <v>0</v>
      </c>
      <c r="AF79">
        <f t="shared" si="3"/>
        <v>0</v>
      </c>
      <c r="AI79">
        <f t="shared" si="4"/>
        <v>0</v>
      </c>
    </row>
    <row r="80" spans="22:35" x14ac:dyDescent="0.3">
      <c r="AA80">
        <v>950</v>
      </c>
      <c r="AB80" t="s">
        <v>32</v>
      </c>
      <c r="AC80">
        <v>2.1674485807727191E-2</v>
      </c>
      <c r="AD80">
        <v>2.4</v>
      </c>
      <c r="AE80">
        <f t="shared" si="2"/>
        <v>0</v>
      </c>
      <c r="AF80">
        <f t="shared" si="3"/>
        <v>0</v>
      </c>
      <c r="AI80">
        <f t="shared" si="4"/>
        <v>0</v>
      </c>
    </row>
    <row r="81" spans="27:35" x14ac:dyDescent="0.3">
      <c r="AA81">
        <v>1001</v>
      </c>
      <c r="AB81" t="s">
        <v>33</v>
      </c>
      <c r="AC81">
        <v>12.821958363525759</v>
      </c>
      <c r="AD81">
        <v>0.01</v>
      </c>
      <c r="AE81">
        <f>ROUNDUP($AF$16*AC81/1500,0)*1500</f>
        <v>0</v>
      </c>
      <c r="AF81">
        <f t="shared" si="3"/>
        <v>0</v>
      </c>
      <c r="AI81">
        <f t="shared" si="4"/>
        <v>0</v>
      </c>
    </row>
    <row r="82" spans="27:35" x14ac:dyDescent="0.3">
      <c r="AA82">
        <v>1003</v>
      </c>
      <c r="AB82" t="s">
        <v>34</v>
      </c>
      <c r="AC82">
        <v>8.2339994299648467</v>
      </c>
      <c r="AD82">
        <v>0.03</v>
      </c>
      <c r="AE82">
        <f>ROUNDUP($AF$16*AC82/700,0)*700</f>
        <v>0</v>
      </c>
      <c r="AF82">
        <f t="shared" si="3"/>
        <v>0</v>
      </c>
      <c r="AI82">
        <f t="shared" si="4"/>
        <v>0</v>
      </c>
    </row>
    <row r="83" spans="27:35" x14ac:dyDescent="0.3">
      <c r="AA83">
        <v>1004</v>
      </c>
      <c r="AB83" t="s">
        <v>35</v>
      </c>
      <c r="AC83">
        <v>23.423352560032306</v>
      </c>
      <c r="AD83">
        <v>0.01</v>
      </c>
      <c r="AE83">
        <f>ROUNDUP($AF$16*AC83/3500,0)*3500</f>
        <v>0</v>
      </c>
      <c r="AF83">
        <f t="shared" si="3"/>
        <v>0</v>
      </c>
      <c r="AI83">
        <f t="shared" si="4"/>
        <v>0</v>
      </c>
    </row>
    <row r="84" spans="27:35" x14ac:dyDescent="0.3">
      <c r="AA84">
        <v>2651</v>
      </c>
      <c r="AB84" t="s">
        <v>36</v>
      </c>
      <c r="AC84">
        <v>0.40190158647739738</v>
      </c>
      <c r="AD84">
        <v>0.18</v>
      </c>
      <c r="AE84">
        <f>ROUNDUP($AF$16*AC84,0)</f>
        <v>0</v>
      </c>
      <c r="AF84">
        <f t="shared" si="3"/>
        <v>0</v>
      </c>
      <c r="AI84">
        <f t="shared" si="4"/>
        <v>0</v>
      </c>
    </row>
    <row r="85" spans="27:35" x14ac:dyDescent="0.3">
      <c r="AA85">
        <v>1005</v>
      </c>
      <c r="AB85" t="s">
        <v>37</v>
      </c>
      <c r="AC85">
        <v>2.6825149150535269E-3</v>
      </c>
      <c r="AD85">
        <v>11</v>
      </c>
      <c r="AE85">
        <f>ROUNDUP($AF$16*AC85,0)</f>
        <v>0</v>
      </c>
      <c r="AF85">
        <f t="shared" si="3"/>
        <v>0</v>
      </c>
      <c r="AI85">
        <f t="shared" si="4"/>
        <v>0</v>
      </c>
    </row>
    <row r="86" spans="27:35" x14ac:dyDescent="0.3">
      <c r="AA86">
        <v>999</v>
      </c>
      <c r="AB86" t="s">
        <v>38</v>
      </c>
      <c r="AC86">
        <v>20.546084287539358</v>
      </c>
      <c r="AD86">
        <v>0.01</v>
      </c>
      <c r="AE86">
        <f>ROUNDUP($AF$16*AC86/4000,0)*4000</f>
        <v>0</v>
      </c>
      <c r="AF86">
        <f t="shared" si="3"/>
        <v>0</v>
      </c>
      <c r="AI86">
        <f t="shared" si="4"/>
        <v>0</v>
      </c>
    </row>
    <row r="87" spans="27:35" x14ac:dyDescent="0.3">
      <c r="AA87">
        <v>1000</v>
      </c>
      <c r="AB87" t="s">
        <v>39</v>
      </c>
      <c r="AC87">
        <v>17.094975753257003</v>
      </c>
      <c r="AD87">
        <v>0.01</v>
      </c>
      <c r="AE87">
        <f>ROUNDUP($AF$16*AC87/1500,0)*1500</f>
        <v>0</v>
      </c>
      <c r="AF87">
        <f t="shared" si="3"/>
        <v>0</v>
      </c>
      <c r="AI87">
        <f t="shared" si="4"/>
        <v>0</v>
      </c>
    </row>
    <row r="88" spans="27:35" x14ac:dyDescent="0.3">
      <c r="AB88" t="s">
        <v>2</v>
      </c>
      <c r="AC88">
        <v>6.106329062667031E-3</v>
      </c>
      <c r="AD88">
        <v>46</v>
      </c>
      <c r="AE88">
        <f>ROUNDUP($AF$16*AC88,0)</f>
        <v>0</v>
      </c>
      <c r="AF88">
        <f t="shared" si="3"/>
        <v>0</v>
      </c>
      <c r="AH88">
        <v>0.35599999999999998</v>
      </c>
      <c r="AI88">
        <f t="shared" si="4"/>
        <v>0</v>
      </c>
    </row>
    <row r="90" spans="27:35" x14ac:dyDescent="0.3">
      <c r="AB90" t="s">
        <v>40</v>
      </c>
    </row>
    <row r="91" spans="27:35" x14ac:dyDescent="0.3">
      <c r="AB91" t="s">
        <v>41</v>
      </c>
      <c r="AC91" t="s">
        <v>297</v>
      </c>
      <c r="AD91" t="s">
        <v>295</v>
      </c>
      <c r="AE91" t="s">
        <v>296</v>
      </c>
    </row>
    <row r="92" spans="27:35" x14ac:dyDescent="0.3">
      <c r="AA92">
        <v>1015</v>
      </c>
      <c r="AB92" t="s">
        <v>42</v>
      </c>
      <c r="AC92">
        <v>7.4544543978920172E-2</v>
      </c>
      <c r="AD92">
        <v>5.0999999999999996</v>
      </c>
      <c r="AE92">
        <f>AD92*AC92</f>
        <v>0.38017717429249287</v>
      </c>
      <c r="AF92">
        <f>$AF$16*AE92</f>
        <v>0</v>
      </c>
      <c r="AI92">
        <f>AC92*AH92</f>
        <v>0</v>
      </c>
    </row>
    <row r="93" spans="27:35" x14ac:dyDescent="0.3">
      <c r="AA93">
        <v>1015</v>
      </c>
      <c r="AB93" t="s">
        <v>43</v>
      </c>
      <c r="AI93">
        <f t="shared" ref="AI93:AI136" si="5">AC93*AH93</f>
        <v>0</v>
      </c>
    </row>
    <row r="94" spans="27:35" x14ac:dyDescent="0.3">
      <c r="AA94">
        <v>966</v>
      </c>
      <c r="AB94" t="s">
        <v>44</v>
      </c>
      <c r="AC94">
        <v>7.516687506609683E-2</v>
      </c>
      <c r="AD94">
        <v>7.9</v>
      </c>
      <c r="AE94">
        <f t="shared" ref="AE94:AE135" si="6">AD94*AC94</f>
        <v>0.59381831302216503</v>
      </c>
      <c r="AF94">
        <f>$AF$16*AE94</f>
        <v>0</v>
      </c>
      <c r="AI94">
        <f t="shared" si="5"/>
        <v>0</v>
      </c>
    </row>
    <row r="95" spans="27:35" x14ac:dyDescent="0.3">
      <c r="AA95">
        <v>967</v>
      </c>
      <c r="AB95" t="s">
        <v>45</v>
      </c>
      <c r="AC95">
        <v>9.362938827511974E-2</v>
      </c>
      <c r="AD95">
        <v>0.7</v>
      </c>
      <c r="AE95">
        <f t="shared" si="6"/>
        <v>6.554057179258381E-2</v>
      </c>
      <c r="AF95">
        <f>$AF$16*AE95</f>
        <v>0</v>
      </c>
      <c r="AI95">
        <f t="shared" si="5"/>
        <v>0</v>
      </c>
    </row>
    <row r="96" spans="27:35" x14ac:dyDescent="0.3">
      <c r="AA96">
        <v>2663</v>
      </c>
      <c r="AB96" t="s">
        <v>46</v>
      </c>
      <c r="AC96">
        <v>4.1658800596289485</v>
      </c>
      <c r="AD96">
        <f>14/120</f>
        <v>0.11666666666666667</v>
      </c>
      <c r="AE96">
        <f t="shared" si="6"/>
        <v>0.48601934029004401</v>
      </c>
      <c r="AF96">
        <f>$AF$16*AE96</f>
        <v>0</v>
      </c>
      <c r="AH96">
        <v>4.0000000000000001E-3</v>
      </c>
      <c r="AI96">
        <f t="shared" si="5"/>
        <v>1.6663520238515795E-2</v>
      </c>
    </row>
    <row r="97" spans="27:35" x14ac:dyDescent="0.3">
      <c r="AA97">
        <v>5593</v>
      </c>
      <c r="AB97" t="s">
        <v>47</v>
      </c>
      <c r="AC97">
        <v>0.84579387717046484</v>
      </c>
      <c r="AD97">
        <f>17.1/120</f>
        <v>0.14250000000000002</v>
      </c>
      <c r="AE97">
        <f t="shared" si="6"/>
        <v>0.12052562749679126</v>
      </c>
      <c r="AF97">
        <f>$AF$16*AE97</f>
        <v>0</v>
      </c>
      <c r="AH97">
        <v>4.0000000000000001E-3</v>
      </c>
      <c r="AI97">
        <f>AC97*AH97</f>
        <v>3.3831755086818592E-3</v>
      </c>
    </row>
    <row r="98" spans="27:35" x14ac:dyDescent="0.3">
      <c r="AA98">
        <v>3693</v>
      </c>
      <c r="AB98" t="s">
        <v>48</v>
      </c>
      <c r="AC98">
        <v>0.29404315002202913</v>
      </c>
      <c r="AD98">
        <f>37.8/300</f>
        <v>0.126</v>
      </c>
      <c r="AE98">
        <f t="shared" si="6"/>
        <v>3.7049436902775672E-2</v>
      </c>
      <c r="AF98">
        <f>$AF$16*AE98</f>
        <v>0</v>
      </c>
      <c r="AH98">
        <v>4.0000000000000001E-3</v>
      </c>
      <c r="AI98">
        <f t="shared" si="5"/>
        <v>1.1761726000881166E-3</v>
      </c>
    </row>
    <row r="99" spans="27:35" x14ac:dyDescent="0.3">
      <c r="AA99">
        <v>3689</v>
      </c>
      <c r="AB99" t="s">
        <v>49</v>
      </c>
      <c r="AH99">
        <v>4.0000000000000001E-3</v>
      </c>
      <c r="AI99">
        <f t="shared" si="5"/>
        <v>0</v>
      </c>
    </row>
    <row r="100" spans="27:35" x14ac:dyDescent="0.3">
      <c r="AA100">
        <v>60</v>
      </c>
      <c r="AB100" t="s">
        <v>50</v>
      </c>
      <c r="AC100">
        <v>0.356388088376561</v>
      </c>
      <c r="AD100">
        <f>25.1/100</f>
        <v>0.251</v>
      </c>
      <c r="AE100">
        <f t="shared" si="6"/>
        <v>8.9453410182516804E-2</v>
      </c>
      <c r="AF100">
        <f>$AF$16*AE100</f>
        <v>0</v>
      </c>
      <c r="AH100">
        <v>4.0000000000000001E-3</v>
      </c>
      <c r="AI100">
        <f t="shared" si="5"/>
        <v>1.4255523535062441E-3</v>
      </c>
    </row>
    <row r="101" spans="27:35" x14ac:dyDescent="0.3">
      <c r="AA101">
        <v>883</v>
      </c>
      <c r="AB101" t="s">
        <v>51</v>
      </c>
      <c r="AC101">
        <v>5.2479609328290895</v>
      </c>
      <c r="AD101">
        <f>31.15/300</f>
        <v>0.10383333333333333</v>
      </c>
      <c r="AE101">
        <f t="shared" si="6"/>
        <v>0.54491327685875379</v>
      </c>
      <c r="AF101">
        <f>$AF$16*AE101</f>
        <v>0</v>
      </c>
      <c r="AH101">
        <v>4.0000000000000001E-3</v>
      </c>
      <c r="AI101">
        <f t="shared" si="5"/>
        <v>2.0991843731316358E-2</v>
      </c>
    </row>
    <row r="102" spans="27:35" x14ac:dyDescent="0.3">
      <c r="AA102">
        <v>1016</v>
      </c>
      <c r="AB102" t="s">
        <v>52</v>
      </c>
      <c r="AH102">
        <v>2.5000000000000001E-2</v>
      </c>
      <c r="AI102">
        <f t="shared" si="5"/>
        <v>0</v>
      </c>
    </row>
    <row r="103" spans="27:35" x14ac:dyDescent="0.3">
      <c r="AA103">
        <v>1016</v>
      </c>
      <c r="AB103" t="s">
        <v>53</v>
      </c>
      <c r="AH103">
        <v>2.5000000000000001E-2</v>
      </c>
      <c r="AI103">
        <f t="shared" si="5"/>
        <v>0</v>
      </c>
    </row>
    <row r="104" spans="27:35" x14ac:dyDescent="0.3">
      <c r="AA104">
        <v>1016</v>
      </c>
      <c r="AB104" t="s">
        <v>54</v>
      </c>
      <c r="AC104">
        <v>2.145498213332258E-2</v>
      </c>
      <c r="AD104">
        <v>4.4000000000000004</v>
      </c>
      <c r="AE104">
        <f t="shared" si="6"/>
        <v>9.4401921386619361E-2</v>
      </c>
      <c r="AF104">
        <f t="shared" ref="AF104:AF115" si="7">$AF$16*AE104</f>
        <v>0</v>
      </c>
      <c r="AH104">
        <v>2.5000000000000001E-2</v>
      </c>
      <c r="AI104">
        <f t="shared" si="5"/>
        <v>5.3637455333306453E-4</v>
      </c>
    </row>
    <row r="105" spans="27:35" x14ac:dyDescent="0.3">
      <c r="AA105">
        <v>2612</v>
      </c>
      <c r="AB105" t="s">
        <v>55</v>
      </c>
      <c r="AC105">
        <v>0.44285629667540061</v>
      </c>
      <c r="AD105">
        <v>0.6</v>
      </c>
      <c r="AE105">
        <f t="shared" si="6"/>
        <v>0.26571377800524038</v>
      </c>
      <c r="AF105">
        <f t="shared" si="7"/>
        <v>0</v>
      </c>
      <c r="AI105">
        <f t="shared" si="5"/>
        <v>0</v>
      </c>
    </row>
    <row r="106" spans="27:35" x14ac:dyDescent="0.3">
      <c r="AA106">
        <v>968</v>
      </c>
      <c r="AB106" t="s">
        <v>56</v>
      </c>
      <c r="AC106">
        <v>0.14182475320646629</v>
      </c>
      <c r="AD106">
        <v>0.9</v>
      </c>
      <c r="AE106">
        <f t="shared" si="6"/>
        <v>0.12764227788581967</v>
      </c>
      <c r="AF106">
        <f t="shared" si="7"/>
        <v>0</v>
      </c>
      <c r="AI106">
        <f t="shared" si="5"/>
        <v>0</v>
      </c>
    </row>
    <row r="107" spans="27:35" x14ac:dyDescent="0.3">
      <c r="AA107">
        <v>3821</v>
      </c>
      <c r="AB107" t="s">
        <v>57</v>
      </c>
      <c r="AC107">
        <v>2.0964360587002098E-2</v>
      </c>
      <c r="AD107">
        <v>10.3</v>
      </c>
      <c r="AE107">
        <f t="shared" si="6"/>
        <v>0.21593291404612161</v>
      </c>
      <c r="AF107">
        <f t="shared" si="7"/>
        <v>0</v>
      </c>
      <c r="AH107">
        <v>1.0999999999999999E-2</v>
      </c>
      <c r="AI107">
        <f t="shared" si="5"/>
        <v>2.3060796645702305E-4</v>
      </c>
    </row>
    <row r="108" spans="27:35" x14ac:dyDescent="0.3">
      <c r="AA108">
        <v>960</v>
      </c>
      <c r="AB108" t="s">
        <v>58</v>
      </c>
      <c r="AC108">
        <v>0.11842139943752764</v>
      </c>
      <c r="AD108">
        <v>1.6</v>
      </c>
      <c r="AE108">
        <f t="shared" si="6"/>
        <v>0.18947423910004424</v>
      </c>
      <c r="AF108">
        <f t="shared" si="7"/>
        <v>0</v>
      </c>
      <c r="AH108">
        <v>4.0000000000000001E-3</v>
      </c>
      <c r="AI108">
        <f t="shared" si="5"/>
        <v>4.7368559775011053E-4</v>
      </c>
    </row>
    <row r="109" spans="27:35" x14ac:dyDescent="0.3">
      <c r="AA109">
        <v>959</v>
      </c>
      <c r="AB109" t="s">
        <v>59</v>
      </c>
      <c r="AC109">
        <v>7.9403307137228166E-2</v>
      </c>
      <c r="AD109">
        <v>1.5</v>
      </c>
      <c r="AE109">
        <f t="shared" si="6"/>
        <v>0.11910496070584226</v>
      </c>
      <c r="AF109">
        <f t="shared" si="7"/>
        <v>0</v>
      </c>
      <c r="AH109">
        <v>4.0000000000000001E-3</v>
      </c>
      <c r="AI109">
        <f t="shared" si="5"/>
        <v>3.1761322854891266E-4</v>
      </c>
    </row>
    <row r="110" spans="27:35" x14ac:dyDescent="0.3">
      <c r="AA110">
        <v>2622</v>
      </c>
      <c r="AB110" t="s">
        <v>60</v>
      </c>
      <c r="AC110">
        <v>4.5625427204374569E-2</v>
      </c>
      <c r="AD110">
        <v>1.5</v>
      </c>
      <c r="AE110">
        <f t="shared" si="6"/>
        <v>6.8438140806561854E-2</v>
      </c>
      <c r="AF110">
        <f t="shared" si="7"/>
        <v>0</v>
      </c>
      <c r="AH110">
        <v>4.0000000000000001E-3</v>
      </c>
      <c r="AI110">
        <f t="shared" si="5"/>
        <v>1.8250170881749827E-4</v>
      </c>
    </row>
    <row r="111" spans="27:35" x14ac:dyDescent="0.3">
      <c r="AA111">
        <v>2623</v>
      </c>
      <c r="AB111" t="s">
        <v>61</v>
      </c>
      <c r="AC111">
        <v>0.21818680255972212</v>
      </c>
      <c r="AD111">
        <v>0.9</v>
      </c>
      <c r="AE111">
        <f t="shared" si="6"/>
        <v>0.19636812230374992</v>
      </c>
      <c r="AF111">
        <f t="shared" si="7"/>
        <v>0</v>
      </c>
      <c r="AH111">
        <v>4.0000000000000001E-3</v>
      </c>
      <c r="AI111">
        <f t="shared" si="5"/>
        <v>8.7274721023888847E-4</v>
      </c>
    </row>
    <row r="112" spans="27:35" x14ac:dyDescent="0.3">
      <c r="AA112">
        <v>1017</v>
      </c>
      <c r="AB112" t="s">
        <v>62</v>
      </c>
      <c r="AC112">
        <v>8.4215455304086126E-2</v>
      </c>
      <c r="AD112">
        <v>12.4</v>
      </c>
      <c r="AE112">
        <f t="shared" si="6"/>
        <v>1.044271645770668</v>
      </c>
      <c r="AF112">
        <f t="shared" si="7"/>
        <v>0</v>
      </c>
      <c r="AH112">
        <v>5.0000000000000001E-3</v>
      </c>
      <c r="AI112">
        <f t="shared" si="5"/>
        <v>4.2107727652043064E-4</v>
      </c>
    </row>
    <row r="113" spans="27:35" x14ac:dyDescent="0.3">
      <c r="AA113">
        <v>974</v>
      </c>
      <c r="AB113" t="s">
        <v>63</v>
      </c>
      <c r="AC113">
        <v>4.9578013919243713E-2</v>
      </c>
      <c r="AD113">
        <v>2.5</v>
      </c>
      <c r="AE113">
        <f t="shared" si="6"/>
        <v>0.12394503479810928</v>
      </c>
      <c r="AF113">
        <f t="shared" si="7"/>
        <v>0</v>
      </c>
      <c r="AH113">
        <v>1.7000000000000001E-2</v>
      </c>
      <c r="AI113">
        <f t="shared" si="5"/>
        <v>8.428262366271432E-4</v>
      </c>
    </row>
    <row r="114" spans="27:35" x14ac:dyDescent="0.3">
      <c r="AA114">
        <v>981</v>
      </c>
      <c r="AB114" t="s">
        <v>64</v>
      </c>
      <c r="AC114">
        <v>6.2893081761006293E-3</v>
      </c>
      <c r="AD114">
        <v>6.1</v>
      </c>
      <c r="AE114">
        <f t="shared" si="6"/>
        <v>3.8364779874213835E-2</v>
      </c>
      <c r="AF114">
        <f t="shared" si="7"/>
        <v>0</v>
      </c>
      <c r="AH114">
        <v>1.7000000000000001E-2</v>
      </c>
      <c r="AI114">
        <f t="shared" si="5"/>
        <v>1.0691823899371071E-4</v>
      </c>
    </row>
    <row r="115" spans="27:35" x14ac:dyDescent="0.3">
      <c r="AA115">
        <v>2610</v>
      </c>
      <c r="AB115" t="s">
        <v>65</v>
      </c>
      <c r="AC115">
        <v>9.6016169519486258E-2</v>
      </c>
      <c r="AD115">
        <v>14.7</v>
      </c>
      <c r="AE115">
        <v>0</v>
      </c>
      <c r="AF115">
        <f t="shared" si="7"/>
        <v>0</v>
      </c>
      <c r="AH115">
        <v>7.8E-2</v>
      </c>
      <c r="AI115">
        <f t="shared" si="5"/>
        <v>7.4892612225199284E-3</v>
      </c>
    </row>
    <row r="116" spans="27:35" x14ac:dyDescent="0.3">
      <c r="AA116">
        <v>2610</v>
      </c>
      <c r="AB116" t="s">
        <v>66</v>
      </c>
      <c r="AI116">
        <f t="shared" si="5"/>
        <v>0</v>
      </c>
    </row>
    <row r="117" spans="27:35" x14ac:dyDescent="0.3">
      <c r="AB117" t="s">
        <v>67</v>
      </c>
      <c r="AI117">
        <f t="shared" si="5"/>
        <v>0</v>
      </c>
    </row>
    <row r="118" spans="27:35" x14ac:dyDescent="0.3">
      <c r="AA118">
        <v>2611</v>
      </c>
      <c r="AB118" t="s">
        <v>68</v>
      </c>
      <c r="AC118">
        <v>5.4844289961149179E-2</v>
      </c>
      <c r="AD118">
        <v>16.399999999999999</v>
      </c>
      <c r="AE118">
        <v>0</v>
      </c>
      <c r="AF118">
        <f>$AF$16*AE118</f>
        <v>0</v>
      </c>
      <c r="AH118">
        <v>0.156</v>
      </c>
      <c r="AI118">
        <f t="shared" si="5"/>
        <v>8.5557092339392724E-3</v>
      </c>
    </row>
    <row r="119" spans="27:35" x14ac:dyDescent="0.3">
      <c r="AA119">
        <v>2611</v>
      </c>
      <c r="AB119" t="s">
        <v>69</v>
      </c>
      <c r="AI119">
        <f t="shared" si="5"/>
        <v>0</v>
      </c>
    </row>
    <row r="120" spans="27:35" x14ac:dyDescent="0.3">
      <c r="AA120">
        <v>2611</v>
      </c>
      <c r="AB120" t="s">
        <v>70</v>
      </c>
      <c r="AC120">
        <v>6.858216547868505E-2</v>
      </c>
      <c r="AD120">
        <v>16.399999999999999</v>
      </c>
      <c r="AE120">
        <v>0</v>
      </c>
      <c r="AF120">
        <f>$AF$16*AE120</f>
        <v>0</v>
      </c>
      <c r="AH120">
        <v>7.8E-2</v>
      </c>
      <c r="AI120">
        <f t="shared" si="5"/>
        <v>5.3494089073374343E-3</v>
      </c>
    </row>
    <row r="121" spans="27:35" x14ac:dyDescent="0.3">
      <c r="AA121">
        <v>2611</v>
      </c>
      <c r="AB121" t="s">
        <v>71</v>
      </c>
      <c r="AI121">
        <f t="shared" si="5"/>
        <v>0</v>
      </c>
    </row>
    <row r="122" spans="27:35" x14ac:dyDescent="0.3">
      <c r="AA122">
        <v>2611</v>
      </c>
      <c r="AB122" t="s">
        <v>72</v>
      </c>
      <c r="AI122">
        <f t="shared" si="5"/>
        <v>0</v>
      </c>
    </row>
    <row r="123" spans="27:35" x14ac:dyDescent="0.3">
      <c r="AA123">
        <v>6651</v>
      </c>
      <c r="AB123" t="s">
        <v>73</v>
      </c>
      <c r="AC123">
        <v>1.4753496920188866E-2</v>
      </c>
      <c r="AD123">
        <v>13.3</v>
      </c>
      <c r="AE123">
        <v>0</v>
      </c>
      <c r="AF123">
        <f t="shared" ref="AF123:AF129" si="8">$AF$16*AE123</f>
        <v>0</v>
      </c>
      <c r="AH123">
        <v>5.4600000000000003E-2</v>
      </c>
      <c r="AI123">
        <f t="shared" si="5"/>
        <v>8.0554093184231207E-4</v>
      </c>
    </row>
    <row r="124" spans="27:35" x14ac:dyDescent="0.3">
      <c r="AA124">
        <v>6652</v>
      </c>
      <c r="AB124" t="s">
        <v>74</v>
      </c>
      <c r="AC124">
        <v>3.5852763950746658E-2</v>
      </c>
      <c r="AD124">
        <v>18.2</v>
      </c>
      <c r="AE124">
        <v>0</v>
      </c>
      <c r="AF124">
        <f t="shared" si="8"/>
        <v>0</v>
      </c>
      <c r="AH124">
        <v>5.4600000000000003E-2</v>
      </c>
      <c r="AI124">
        <f t="shared" si="5"/>
        <v>1.9575609117107678E-3</v>
      </c>
    </row>
    <row r="125" spans="27:35" x14ac:dyDescent="0.3">
      <c r="AA125">
        <v>6653</v>
      </c>
      <c r="AB125" t="s">
        <v>75</v>
      </c>
      <c r="AC125">
        <v>0.10850194979195435</v>
      </c>
      <c r="AD125">
        <v>23</v>
      </c>
      <c r="AE125">
        <v>0</v>
      </c>
      <c r="AF125">
        <f t="shared" si="8"/>
        <v>0</v>
      </c>
      <c r="AH125">
        <v>5.4600000000000003E-2</v>
      </c>
      <c r="AI125">
        <f t="shared" si="5"/>
        <v>5.9242064586407074E-3</v>
      </c>
    </row>
    <row r="126" spans="27:35" x14ac:dyDescent="0.3">
      <c r="AA126">
        <v>6654</v>
      </c>
      <c r="AB126" t="s">
        <v>76</v>
      </c>
      <c r="AC126">
        <v>2.7773734178254121E-2</v>
      </c>
      <c r="AD126">
        <v>27.9</v>
      </c>
      <c r="AE126">
        <v>0</v>
      </c>
      <c r="AF126">
        <f t="shared" si="8"/>
        <v>0</v>
      </c>
      <c r="AH126">
        <v>5.4600000000000003E-2</v>
      </c>
      <c r="AI126">
        <f t="shared" si="5"/>
        <v>1.516445886132675E-3</v>
      </c>
    </row>
    <row r="127" spans="27:35" x14ac:dyDescent="0.3">
      <c r="AA127">
        <v>6655</v>
      </c>
      <c r="AB127" t="s">
        <v>77</v>
      </c>
      <c r="AC127">
        <v>2.0778613418534549E-2</v>
      </c>
      <c r="AD127">
        <v>37.200000000000003</v>
      </c>
      <c r="AE127">
        <v>0</v>
      </c>
      <c r="AF127">
        <f t="shared" si="8"/>
        <v>0</v>
      </c>
      <c r="AH127">
        <v>5.4600000000000003E-2</v>
      </c>
      <c r="AI127">
        <f t="shared" si="5"/>
        <v>1.1345122926519865E-3</v>
      </c>
    </row>
    <row r="128" spans="27:35" x14ac:dyDescent="0.3">
      <c r="AA128">
        <v>2611</v>
      </c>
      <c r="AB128" t="s">
        <v>78</v>
      </c>
      <c r="AC128">
        <v>1.8623130536835727E-2</v>
      </c>
      <c r="AD128">
        <v>21.3</v>
      </c>
      <c r="AE128">
        <v>0</v>
      </c>
      <c r="AF128">
        <f t="shared" si="8"/>
        <v>0</v>
      </c>
      <c r="AI128">
        <f t="shared" si="5"/>
        <v>0</v>
      </c>
    </row>
    <row r="129" spans="27:35" x14ac:dyDescent="0.3">
      <c r="AA129">
        <v>2611</v>
      </c>
      <c r="AB129" t="s">
        <v>79</v>
      </c>
      <c r="AF129">
        <f t="shared" si="8"/>
        <v>0</v>
      </c>
      <c r="AI129">
        <f t="shared" si="5"/>
        <v>0</v>
      </c>
    </row>
    <row r="130" spans="27:35" x14ac:dyDescent="0.3">
      <c r="AA130">
        <v>2611</v>
      </c>
      <c r="AB130" t="s">
        <v>80</v>
      </c>
      <c r="AI130">
        <f t="shared" si="5"/>
        <v>0</v>
      </c>
    </row>
    <row r="131" spans="27:35" x14ac:dyDescent="0.3">
      <c r="AA131">
        <v>3363</v>
      </c>
      <c r="AB131" t="s">
        <v>81</v>
      </c>
      <c r="AC131">
        <v>6.8102665572076518E-2</v>
      </c>
      <c r="AD131">
        <v>4.5</v>
      </c>
      <c r="AE131">
        <f t="shared" si="6"/>
        <v>0.30646199507434435</v>
      </c>
      <c r="AF131">
        <f t="shared" ref="AF131:AF136" si="9">$AF$16*AE131</f>
        <v>0</v>
      </c>
      <c r="AI131">
        <f t="shared" si="5"/>
        <v>0</v>
      </c>
    </row>
    <row r="132" spans="27:35" x14ac:dyDescent="0.3">
      <c r="AA132">
        <v>3315</v>
      </c>
      <c r="AB132" t="s">
        <v>82</v>
      </c>
      <c r="AC132">
        <v>4.9126726872062839E-3</v>
      </c>
      <c r="AD132">
        <v>8</v>
      </c>
      <c r="AE132">
        <f t="shared" si="6"/>
        <v>3.9301381497650272E-2</v>
      </c>
      <c r="AF132">
        <f t="shared" si="9"/>
        <v>0</v>
      </c>
      <c r="AI132">
        <f t="shared" si="5"/>
        <v>0</v>
      </c>
    </row>
    <row r="133" spans="27:35" x14ac:dyDescent="0.3">
      <c r="AA133">
        <v>888</v>
      </c>
      <c r="AB133" t="s">
        <v>83</v>
      </c>
      <c r="AC133">
        <v>0.45759100541015407</v>
      </c>
      <c r="AD133">
        <f>19.1/100</f>
        <v>0.191</v>
      </c>
      <c r="AE133">
        <f t="shared" si="6"/>
        <v>8.7399882033339427E-2</v>
      </c>
      <c r="AF133">
        <f t="shared" si="9"/>
        <v>0</v>
      </c>
      <c r="AI133">
        <f t="shared" si="5"/>
        <v>0</v>
      </c>
    </row>
    <row r="134" spans="27:35" x14ac:dyDescent="0.3">
      <c r="AA134">
        <v>5169</v>
      </c>
      <c r="AB134" t="s">
        <v>84</v>
      </c>
      <c r="AC134">
        <v>3.9944266260055735E-3</v>
      </c>
      <c r="AD134">
        <v>6.1</v>
      </c>
      <c r="AE134">
        <f t="shared" si="6"/>
        <v>2.4366002418633997E-2</v>
      </c>
      <c r="AF134">
        <f t="shared" si="9"/>
        <v>0</v>
      </c>
      <c r="AI134">
        <f t="shared" si="5"/>
        <v>0</v>
      </c>
    </row>
    <row r="135" spans="27:35" x14ac:dyDescent="0.3">
      <c r="AA135">
        <v>5345</v>
      </c>
      <c r="AB135" t="s">
        <v>85</v>
      </c>
      <c r="AC135">
        <v>7.2624743677375259E-3</v>
      </c>
      <c r="AD135">
        <v>11</v>
      </c>
      <c r="AE135">
        <f t="shared" si="6"/>
        <v>7.9887218045112784E-2</v>
      </c>
      <c r="AF135">
        <f t="shared" si="9"/>
        <v>0</v>
      </c>
      <c r="AI135">
        <f t="shared" si="5"/>
        <v>0</v>
      </c>
    </row>
    <row r="136" spans="27:35" x14ac:dyDescent="0.3">
      <c r="AA136">
        <v>4526</v>
      </c>
      <c r="AB136" t="s">
        <v>86</v>
      </c>
      <c r="AC136">
        <v>0.45302887901572109</v>
      </c>
      <c r="AD136">
        <v>12.3</v>
      </c>
      <c r="AE136">
        <v>0</v>
      </c>
      <c r="AF136">
        <f t="shared" si="9"/>
        <v>0</v>
      </c>
      <c r="AI136">
        <f t="shared" si="5"/>
        <v>0</v>
      </c>
    </row>
  </sheetData>
  <sheetProtection algorithmName="SHA-512" hashValue="r9w/LDFyb61CiJiwDRbr+kDelDk+J8RNU91bshuexkST5eH96/0vtuMdFydeE03ItI5RgR3lLAJZL1NZXPW3kA==" saltValue="8KbJFbZe8I6PT3k9j96qjQ==" spinCount="100000" sheet="1" objects="1" scenarios="1"/>
  <protectedRanges>
    <protectedRange sqref="C4:C63 Q4:Q14 K4:M37 F4:G63" name="Rango1"/>
  </protectedRanges>
  <mergeCells count="3">
    <mergeCell ref="B2:C2"/>
    <mergeCell ref="E2:G2"/>
    <mergeCell ref="J2:M2"/>
  </mergeCells>
  <dataValidations count="4">
    <dataValidation type="list" allowBlank="1" showInputMessage="1" showErrorMessage="1" sqref="R5">
      <formula1>$AE$4:$AE$5</formula1>
    </dataValidation>
    <dataValidation type="list" allowBlank="1" showInputMessage="1" showErrorMessage="1" sqref="Q10">
      <formula1>$AC$4:$AC$5</formula1>
    </dataValidation>
    <dataValidation type="list" allowBlank="1" showInputMessage="1" showErrorMessage="1" sqref="Q11">
      <formula1>$AC$5:$AC$7</formula1>
    </dataValidation>
    <dataValidation type="list" allowBlank="1" showInputMessage="1" showErrorMessage="1" sqref="Q12">
      <formula1>$AC$8:$AC$10</formula1>
    </dataValidation>
  </dataValidations>
  <pageMargins left="0.7" right="0.7" top="0.75" bottom="0.75" header="0.3" footer="0.3"/>
  <pageSetup scale="5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DC421"/>
  <sheetViews>
    <sheetView showGridLines="0" topLeftCell="BQ1" workbookViewId="0">
      <selection activeCell="CE24" sqref="CE24"/>
    </sheetView>
  </sheetViews>
  <sheetFormatPr baseColWidth="10" defaultColWidth="11.44140625" defaultRowHeight="13.2" x14ac:dyDescent="0.25"/>
  <cols>
    <col min="1" max="1" width="7.88671875" style="4" customWidth="1"/>
    <col min="2" max="2" width="3.33203125" style="6" customWidth="1"/>
    <col min="3" max="3" width="10.5546875" style="6" customWidth="1"/>
    <col min="4" max="4" width="13.33203125" style="6" customWidth="1"/>
    <col min="5" max="10" width="11.5546875" style="6" customWidth="1"/>
    <col min="11" max="11" width="11.109375" style="6" customWidth="1"/>
    <col min="12" max="25" width="11.5546875" style="6" customWidth="1"/>
    <col min="26" max="26" width="12.33203125" style="4" customWidth="1"/>
    <col min="27" max="27" width="12.44140625" style="5" customWidth="1"/>
    <col min="28" max="28" width="11.5546875" style="6" customWidth="1"/>
    <col min="29" max="29" width="11.109375" style="6" customWidth="1"/>
    <col min="30" max="30" width="8.6640625" style="6" customWidth="1"/>
    <col min="31" max="31" width="12" style="6" customWidth="1"/>
    <col min="32" max="33" width="8.6640625" style="6" customWidth="1"/>
    <col min="34" max="34" width="11.88671875" style="6" customWidth="1"/>
    <col min="35" max="37" width="8.6640625" style="10" customWidth="1"/>
    <col min="38" max="39" width="8.6640625" style="6" customWidth="1"/>
    <col min="40" max="40" width="9.6640625" style="6" customWidth="1"/>
    <col min="41" max="51" width="8.6640625" style="6" customWidth="1"/>
    <col min="52" max="52" width="11.109375" style="6" customWidth="1"/>
    <col min="53" max="58" width="8.6640625" style="6" customWidth="1"/>
    <col min="59" max="59" width="8.6640625" style="17" customWidth="1"/>
    <col min="60" max="67" width="8.6640625" style="10" customWidth="1"/>
    <col min="68" max="79" width="11.44140625" style="10"/>
    <col min="80" max="80" width="11.44140625" style="4"/>
    <col min="81" max="81" width="13.44140625" style="4" customWidth="1"/>
    <col min="82" max="256" width="11.44140625" style="4"/>
    <col min="257" max="257" width="7.88671875" style="4" customWidth="1"/>
    <col min="258" max="258" width="3.33203125" style="4" customWidth="1"/>
    <col min="259" max="259" width="10.5546875" style="4" customWidth="1"/>
    <col min="260" max="260" width="13.33203125" style="4" customWidth="1"/>
    <col min="261" max="266" width="11.5546875" style="4" customWidth="1"/>
    <col min="267" max="267" width="11.109375" style="4" customWidth="1"/>
    <col min="268" max="281" width="11.5546875" style="4" customWidth="1"/>
    <col min="282" max="282" width="12.33203125" style="4" customWidth="1"/>
    <col min="283" max="283" width="12.44140625" style="4" customWidth="1"/>
    <col min="284" max="284" width="11.5546875" style="4" customWidth="1"/>
    <col min="285" max="285" width="11.109375" style="4" customWidth="1"/>
    <col min="286" max="286" width="8.6640625" style="4" customWidth="1"/>
    <col min="287" max="287" width="12" style="4" customWidth="1"/>
    <col min="288" max="289" width="8.6640625" style="4" customWidth="1"/>
    <col min="290" max="290" width="11.88671875" style="4" customWidth="1"/>
    <col min="291" max="295" width="8.6640625" style="4" customWidth="1"/>
    <col min="296" max="296" width="9.6640625" style="4" customWidth="1"/>
    <col min="297" max="307" width="8.6640625" style="4" customWidth="1"/>
    <col min="308" max="308" width="11.109375" style="4" customWidth="1"/>
    <col min="309" max="323" width="8.6640625" style="4" customWidth="1"/>
    <col min="324" max="336" width="11.44140625" style="4"/>
    <col min="337" max="337" width="13.44140625" style="4" customWidth="1"/>
    <col min="338" max="512" width="11.44140625" style="4"/>
    <col min="513" max="513" width="7.88671875" style="4" customWidth="1"/>
    <col min="514" max="514" width="3.33203125" style="4" customWidth="1"/>
    <col min="515" max="515" width="10.5546875" style="4" customWidth="1"/>
    <col min="516" max="516" width="13.33203125" style="4" customWidth="1"/>
    <col min="517" max="522" width="11.5546875" style="4" customWidth="1"/>
    <col min="523" max="523" width="11.109375" style="4" customWidth="1"/>
    <col min="524" max="537" width="11.5546875" style="4" customWidth="1"/>
    <col min="538" max="538" width="12.33203125" style="4" customWidth="1"/>
    <col min="539" max="539" width="12.44140625" style="4" customWidth="1"/>
    <col min="540" max="540" width="11.5546875" style="4" customWidth="1"/>
    <col min="541" max="541" width="11.109375" style="4" customWidth="1"/>
    <col min="542" max="542" width="8.6640625" style="4" customWidth="1"/>
    <col min="543" max="543" width="12" style="4" customWidth="1"/>
    <col min="544" max="545" width="8.6640625" style="4" customWidth="1"/>
    <col min="546" max="546" width="11.88671875" style="4" customWidth="1"/>
    <col min="547" max="551" width="8.6640625" style="4" customWidth="1"/>
    <col min="552" max="552" width="9.6640625" style="4" customWidth="1"/>
    <col min="553" max="563" width="8.6640625" style="4" customWidth="1"/>
    <col min="564" max="564" width="11.109375" style="4" customWidth="1"/>
    <col min="565" max="579" width="8.6640625" style="4" customWidth="1"/>
    <col min="580" max="592" width="11.44140625" style="4"/>
    <col min="593" max="593" width="13.44140625" style="4" customWidth="1"/>
    <col min="594" max="768" width="11.44140625" style="4"/>
    <col min="769" max="769" width="7.88671875" style="4" customWidth="1"/>
    <col min="770" max="770" width="3.33203125" style="4" customWidth="1"/>
    <col min="771" max="771" width="10.5546875" style="4" customWidth="1"/>
    <col min="772" max="772" width="13.33203125" style="4" customWidth="1"/>
    <col min="773" max="778" width="11.5546875" style="4" customWidth="1"/>
    <col min="779" max="779" width="11.109375" style="4" customWidth="1"/>
    <col min="780" max="793" width="11.5546875" style="4" customWidth="1"/>
    <col min="794" max="794" width="12.33203125" style="4" customWidth="1"/>
    <col min="795" max="795" width="12.44140625" style="4" customWidth="1"/>
    <col min="796" max="796" width="11.5546875" style="4" customWidth="1"/>
    <col min="797" max="797" width="11.109375" style="4" customWidth="1"/>
    <col min="798" max="798" width="8.6640625" style="4" customWidth="1"/>
    <col min="799" max="799" width="12" style="4" customWidth="1"/>
    <col min="800" max="801" width="8.6640625" style="4" customWidth="1"/>
    <col min="802" max="802" width="11.88671875" style="4" customWidth="1"/>
    <col min="803" max="807" width="8.6640625" style="4" customWidth="1"/>
    <col min="808" max="808" width="9.6640625" style="4" customWidth="1"/>
    <col min="809" max="819" width="8.6640625" style="4" customWidth="1"/>
    <col min="820" max="820" width="11.109375" style="4" customWidth="1"/>
    <col min="821" max="835" width="8.6640625" style="4" customWidth="1"/>
    <col min="836" max="848" width="11.44140625" style="4"/>
    <col min="849" max="849" width="13.44140625" style="4" customWidth="1"/>
    <col min="850" max="1024" width="11.44140625" style="4"/>
    <col min="1025" max="1025" width="7.88671875" style="4" customWidth="1"/>
    <col min="1026" max="1026" width="3.33203125" style="4" customWidth="1"/>
    <col min="1027" max="1027" width="10.5546875" style="4" customWidth="1"/>
    <col min="1028" max="1028" width="13.33203125" style="4" customWidth="1"/>
    <col min="1029" max="1034" width="11.5546875" style="4" customWidth="1"/>
    <col min="1035" max="1035" width="11.109375" style="4" customWidth="1"/>
    <col min="1036" max="1049" width="11.5546875" style="4" customWidth="1"/>
    <col min="1050" max="1050" width="12.33203125" style="4" customWidth="1"/>
    <col min="1051" max="1051" width="12.44140625" style="4" customWidth="1"/>
    <col min="1052" max="1052" width="11.5546875" style="4" customWidth="1"/>
    <col min="1053" max="1053" width="11.109375" style="4" customWidth="1"/>
    <col min="1054" max="1054" width="8.6640625" style="4" customWidth="1"/>
    <col min="1055" max="1055" width="12" style="4" customWidth="1"/>
    <col min="1056" max="1057" width="8.6640625" style="4" customWidth="1"/>
    <col min="1058" max="1058" width="11.88671875" style="4" customWidth="1"/>
    <col min="1059" max="1063" width="8.6640625" style="4" customWidth="1"/>
    <col min="1064" max="1064" width="9.6640625" style="4" customWidth="1"/>
    <col min="1065" max="1075" width="8.6640625" style="4" customWidth="1"/>
    <col min="1076" max="1076" width="11.109375" style="4" customWidth="1"/>
    <col min="1077" max="1091" width="8.6640625" style="4" customWidth="1"/>
    <col min="1092" max="1104" width="11.44140625" style="4"/>
    <col min="1105" max="1105" width="13.44140625" style="4" customWidth="1"/>
    <col min="1106" max="1280" width="11.44140625" style="4"/>
    <col min="1281" max="1281" width="7.88671875" style="4" customWidth="1"/>
    <col min="1282" max="1282" width="3.33203125" style="4" customWidth="1"/>
    <col min="1283" max="1283" width="10.5546875" style="4" customWidth="1"/>
    <col min="1284" max="1284" width="13.33203125" style="4" customWidth="1"/>
    <col min="1285" max="1290" width="11.5546875" style="4" customWidth="1"/>
    <col min="1291" max="1291" width="11.109375" style="4" customWidth="1"/>
    <col min="1292" max="1305" width="11.5546875" style="4" customWidth="1"/>
    <col min="1306" max="1306" width="12.33203125" style="4" customWidth="1"/>
    <col min="1307" max="1307" width="12.44140625" style="4" customWidth="1"/>
    <col min="1308" max="1308" width="11.5546875" style="4" customWidth="1"/>
    <col min="1309" max="1309" width="11.109375" style="4" customWidth="1"/>
    <col min="1310" max="1310" width="8.6640625" style="4" customWidth="1"/>
    <col min="1311" max="1311" width="12" style="4" customWidth="1"/>
    <col min="1312" max="1313" width="8.6640625" style="4" customWidth="1"/>
    <col min="1314" max="1314" width="11.88671875" style="4" customWidth="1"/>
    <col min="1315" max="1319" width="8.6640625" style="4" customWidth="1"/>
    <col min="1320" max="1320" width="9.6640625" style="4" customWidth="1"/>
    <col min="1321" max="1331" width="8.6640625" style="4" customWidth="1"/>
    <col min="1332" max="1332" width="11.109375" style="4" customWidth="1"/>
    <col min="1333" max="1347" width="8.6640625" style="4" customWidth="1"/>
    <col min="1348" max="1360" width="11.44140625" style="4"/>
    <col min="1361" max="1361" width="13.44140625" style="4" customWidth="1"/>
    <col min="1362" max="1536" width="11.44140625" style="4"/>
    <col min="1537" max="1537" width="7.88671875" style="4" customWidth="1"/>
    <col min="1538" max="1538" width="3.33203125" style="4" customWidth="1"/>
    <col min="1539" max="1539" width="10.5546875" style="4" customWidth="1"/>
    <col min="1540" max="1540" width="13.33203125" style="4" customWidth="1"/>
    <col min="1541" max="1546" width="11.5546875" style="4" customWidth="1"/>
    <col min="1547" max="1547" width="11.109375" style="4" customWidth="1"/>
    <col min="1548" max="1561" width="11.5546875" style="4" customWidth="1"/>
    <col min="1562" max="1562" width="12.33203125" style="4" customWidth="1"/>
    <col min="1563" max="1563" width="12.44140625" style="4" customWidth="1"/>
    <col min="1564" max="1564" width="11.5546875" style="4" customWidth="1"/>
    <col min="1565" max="1565" width="11.109375" style="4" customWidth="1"/>
    <col min="1566" max="1566" width="8.6640625" style="4" customWidth="1"/>
    <col min="1567" max="1567" width="12" style="4" customWidth="1"/>
    <col min="1568" max="1569" width="8.6640625" style="4" customWidth="1"/>
    <col min="1570" max="1570" width="11.88671875" style="4" customWidth="1"/>
    <col min="1571" max="1575" width="8.6640625" style="4" customWidth="1"/>
    <col min="1576" max="1576" width="9.6640625" style="4" customWidth="1"/>
    <col min="1577" max="1587" width="8.6640625" style="4" customWidth="1"/>
    <col min="1588" max="1588" width="11.109375" style="4" customWidth="1"/>
    <col min="1589" max="1603" width="8.6640625" style="4" customWidth="1"/>
    <col min="1604" max="1616" width="11.44140625" style="4"/>
    <col min="1617" max="1617" width="13.44140625" style="4" customWidth="1"/>
    <col min="1618" max="1792" width="11.44140625" style="4"/>
    <col min="1793" max="1793" width="7.88671875" style="4" customWidth="1"/>
    <col min="1794" max="1794" width="3.33203125" style="4" customWidth="1"/>
    <col min="1795" max="1795" width="10.5546875" style="4" customWidth="1"/>
    <col min="1796" max="1796" width="13.33203125" style="4" customWidth="1"/>
    <col min="1797" max="1802" width="11.5546875" style="4" customWidth="1"/>
    <col min="1803" max="1803" width="11.109375" style="4" customWidth="1"/>
    <col min="1804" max="1817" width="11.5546875" style="4" customWidth="1"/>
    <col min="1818" max="1818" width="12.33203125" style="4" customWidth="1"/>
    <col min="1819" max="1819" width="12.44140625" style="4" customWidth="1"/>
    <col min="1820" max="1820" width="11.5546875" style="4" customWidth="1"/>
    <col min="1821" max="1821" width="11.109375" style="4" customWidth="1"/>
    <col min="1822" max="1822" width="8.6640625" style="4" customWidth="1"/>
    <col min="1823" max="1823" width="12" style="4" customWidth="1"/>
    <col min="1824" max="1825" width="8.6640625" style="4" customWidth="1"/>
    <col min="1826" max="1826" width="11.88671875" style="4" customWidth="1"/>
    <col min="1827" max="1831" width="8.6640625" style="4" customWidth="1"/>
    <col min="1832" max="1832" width="9.6640625" style="4" customWidth="1"/>
    <col min="1833" max="1843" width="8.6640625" style="4" customWidth="1"/>
    <col min="1844" max="1844" width="11.109375" style="4" customWidth="1"/>
    <col min="1845" max="1859" width="8.6640625" style="4" customWidth="1"/>
    <col min="1860" max="1872" width="11.44140625" style="4"/>
    <col min="1873" max="1873" width="13.44140625" style="4" customWidth="1"/>
    <col min="1874" max="2048" width="11.44140625" style="4"/>
    <col min="2049" max="2049" width="7.88671875" style="4" customWidth="1"/>
    <col min="2050" max="2050" width="3.33203125" style="4" customWidth="1"/>
    <col min="2051" max="2051" width="10.5546875" style="4" customWidth="1"/>
    <col min="2052" max="2052" width="13.33203125" style="4" customWidth="1"/>
    <col min="2053" max="2058" width="11.5546875" style="4" customWidth="1"/>
    <col min="2059" max="2059" width="11.109375" style="4" customWidth="1"/>
    <col min="2060" max="2073" width="11.5546875" style="4" customWidth="1"/>
    <col min="2074" max="2074" width="12.33203125" style="4" customWidth="1"/>
    <col min="2075" max="2075" width="12.44140625" style="4" customWidth="1"/>
    <col min="2076" max="2076" width="11.5546875" style="4" customWidth="1"/>
    <col min="2077" max="2077" width="11.109375" style="4" customWidth="1"/>
    <col min="2078" max="2078" width="8.6640625" style="4" customWidth="1"/>
    <col min="2079" max="2079" width="12" style="4" customWidth="1"/>
    <col min="2080" max="2081" width="8.6640625" style="4" customWidth="1"/>
    <col min="2082" max="2082" width="11.88671875" style="4" customWidth="1"/>
    <col min="2083" max="2087" width="8.6640625" style="4" customWidth="1"/>
    <col min="2088" max="2088" width="9.6640625" style="4" customWidth="1"/>
    <col min="2089" max="2099" width="8.6640625" style="4" customWidth="1"/>
    <col min="2100" max="2100" width="11.109375" style="4" customWidth="1"/>
    <col min="2101" max="2115" width="8.6640625" style="4" customWidth="1"/>
    <col min="2116" max="2128" width="11.44140625" style="4"/>
    <col min="2129" max="2129" width="13.44140625" style="4" customWidth="1"/>
    <col min="2130" max="2304" width="11.44140625" style="4"/>
    <col min="2305" max="2305" width="7.88671875" style="4" customWidth="1"/>
    <col min="2306" max="2306" width="3.33203125" style="4" customWidth="1"/>
    <col min="2307" max="2307" width="10.5546875" style="4" customWidth="1"/>
    <col min="2308" max="2308" width="13.33203125" style="4" customWidth="1"/>
    <col min="2309" max="2314" width="11.5546875" style="4" customWidth="1"/>
    <col min="2315" max="2315" width="11.109375" style="4" customWidth="1"/>
    <col min="2316" max="2329" width="11.5546875" style="4" customWidth="1"/>
    <col min="2330" max="2330" width="12.33203125" style="4" customWidth="1"/>
    <col min="2331" max="2331" width="12.44140625" style="4" customWidth="1"/>
    <col min="2332" max="2332" width="11.5546875" style="4" customWidth="1"/>
    <col min="2333" max="2333" width="11.109375" style="4" customWidth="1"/>
    <col min="2334" max="2334" width="8.6640625" style="4" customWidth="1"/>
    <col min="2335" max="2335" width="12" style="4" customWidth="1"/>
    <col min="2336" max="2337" width="8.6640625" style="4" customWidth="1"/>
    <col min="2338" max="2338" width="11.88671875" style="4" customWidth="1"/>
    <col min="2339" max="2343" width="8.6640625" style="4" customWidth="1"/>
    <col min="2344" max="2344" width="9.6640625" style="4" customWidth="1"/>
    <col min="2345" max="2355" width="8.6640625" style="4" customWidth="1"/>
    <col min="2356" max="2356" width="11.109375" style="4" customWidth="1"/>
    <col min="2357" max="2371" width="8.6640625" style="4" customWidth="1"/>
    <col min="2372" max="2384" width="11.44140625" style="4"/>
    <col min="2385" max="2385" width="13.44140625" style="4" customWidth="1"/>
    <col min="2386" max="2560" width="11.44140625" style="4"/>
    <col min="2561" max="2561" width="7.88671875" style="4" customWidth="1"/>
    <col min="2562" max="2562" width="3.33203125" style="4" customWidth="1"/>
    <col min="2563" max="2563" width="10.5546875" style="4" customWidth="1"/>
    <col min="2564" max="2564" width="13.33203125" style="4" customWidth="1"/>
    <col min="2565" max="2570" width="11.5546875" style="4" customWidth="1"/>
    <col min="2571" max="2571" width="11.109375" style="4" customWidth="1"/>
    <col min="2572" max="2585" width="11.5546875" style="4" customWidth="1"/>
    <col min="2586" max="2586" width="12.33203125" style="4" customWidth="1"/>
    <col min="2587" max="2587" width="12.44140625" style="4" customWidth="1"/>
    <col min="2588" max="2588" width="11.5546875" style="4" customWidth="1"/>
    <col min="2589" max="2589" width="11.109375" style="4" customWidth="1"/>
    <col min="2590" max="2590" width="8.6640625" style="4" customWidth="1"/>
    <col min="2591" max="2591" width="12" style="4" customWidth="1"/>
    <col min="2592" max="2593" width="8.6640625" style="4" customWidth="1"/>
    <col min="2594" max="2594" width="11.88671875" style="4" customWidth="1"/>
    <col min="2595" max="2599" width="8.6640625" style="4" customWidth="1"/>
    <col min="2600" max="2600" width="9.6640625" style="4" customWidth="1"/>
    <col min="2601" max="2611" width="8.6640625" style="4" customWidth="1"/>
    <col min="2612" max="2612" width="11.109375" style="4" customWidth="1"/>
    <col min="2613" max="2627" width="8.6640625" style="4" customWidth="1"/>
    <col min="2628" max="2640" width="11.44140625" style="4"/>
    <col min="2641" max="2641" width="13.44140625" style="4" customWidth="1"/>
    <col min="2642" max="2816" width="11.44140625" style="4"/>
    <col min="2817" max="2817" width="7.88671875" style="4" customWidth="1"/>
    <col min="2818" max="2818" width="3.33203125" style="4" customWidth="1"/>
    <col min="2819" max="2819" width="10.5546875" style="4" customWidth="1"/>
    <col min="2820" max="2820" width="13.33203125" style="4" customWidth="1"/>
    <col min="2821" max="2826" width="11.5546875" style="4" customWidth="1"/>
    <col min="2827" max="2827" width="11.109375" style="4" customWidth="1"/>
    <col min="2828" max="2841" width="11.5546875" style="4" customWidth="1"/>
    <col min="2842" max="2842" width="12.33203125" style="4" customWidth="1"/>
    <col min="2843" max="2843" width="12.44140625" style="4" customWidth="1"/>
    <col min="2844" max="2844" width="11.5546875" style="4" customWidth="1"/>
    <col min="2845" max="2845" width="11.109375" style="4" customWidth="1"/>
    <col min="2846" max="2846" width="8.6640625" style="4" customWidth="1"/>
    <col min="2847" max="2847" width="12" style="4" customWidth="1"/>
    <col min="2848" max="2849" width="8.6640625" style="4" customWidth="1"/>
    <col min="2850" max="2850" width="11.88671875" style="4" customWidth="1"/>
    <col min="2851" max="2855" width="8.6640625" style="4" customWidth="1"/>
    <col min="2856" max="2856" width="9.6640625" style="4" customWidth="1"/>
    <col min="2857" max="2867" width="8.6640625" style="4" customWidth="1"/>
    <col min="2868" max="2868" width="11.109375" style="4" customWidth="1"/>
    <col min="2869" max="2883" width="8.6640625" style="4" customWidth="1"/>
    <col min="2884" max="2896" width="11.44140625" style="4"/>
    <col min="2897" max="2897" width="13.44140625" style="4" customWidth="1"/>
    <col min="2898" max="3072" width="11.44140625" style="4"/>
    <col min="3073" max="3073" width="7.88671875" style="4" customWidth="1"/>
    <col min="3074" max="3074" width="3.33203125" style="4" customWidth="1"/>
    <col min="3075" max="3075" width="10.5546875" style="4" customWidth="1"/>
    <col min="3076" max="3076" width="13.33203125" style="4" customWidth="1"/>
    <col min="3077" max="3082" width="11.5546875" style="4" customWidth="1"/>
    <col min="3083" max="3083" width="11.109375" style="4" customWidth="1"/>
    <col min="3084" max="3097" width="11.5546875" style="4" customWidth="1"/>
    <col min="3098" max="3098" width="12.33203125" style="4" customWidth="1"/>
    <col min="3099" max="3099" width="12.44140625" style="4" customWidth="1"/>
    <col min="3100" max="3100" width="11.5546875" style="4" customWidth="1"/>
    <col min="3101" max="3101" width="11.109375" style="4" customWidth="1"/>
    <col min="3102" max="3102" width="8.6640625" style="4" customWidth="1"/>
    <col min="3103" max="3103" width="12" style="4" customWidth="1"/>
    <col min="3104" max="3105" width="8.6640625" style="4" customWidth="1"/>
    <col min="3106" max="3106" width="11.88671875" style="4" customWidth="1"/>
    <col min="3107" max="3111" width="8.6640625" style="4" customWidth="1"/>
    <col min="3112" max="3112" width="9.6640625" style="4" customWidth="1"/>
    <col min="3113" max="3123" width="8.6640625" style="4" customWidth="1"/>
    <col min="3124" max="3124" width="11.109375" style="4" customWidth="1"/>
    <col min="3125" max="3139" width="8.6640625" style="4" customWidth="1"/>
    <col min="3140" max="3152" width="11.44140625" style="4"/>
    <col min="3153" max="3153" width="13.44140625" style="4" customWidth="1"/>
    <col min="3154" max="3328" width="11.44140625" style="4"/>
    <col min="3329" max="3329" width="7.88671875" style="4" customWidth="1"/>
    <col min="3330" max="3330" width="3.33203125" style="4" customWidth="1"/>
    <col min="3331" max="3331" width="10.5546875" style="4" customWidth="1"/>
    <col min="3332" max="3332" width="13.33203125" style="4" customWidth="1"/>
    <col min="3333" max="3338" width="11.5546875" style="4" customWidth="1"/>
    <col min="3339" max="3339" width="11.109375" style="4" customWidth="1"/>
    <col min="3340" max="3353" width="11.5546875" style="4" customWidth="1"/>
    <col min="3354" max="3354" width="12.33203125" style="4" customWidth="1"/>
    <col min="3355" max="3355" width="12.44140625" style="4" customWidth="1"/>
    <col min="3356" max="3356" width="11.5546875" style="4" customWidth="1"/>
    <col min="3357" max="3357" width="11.109375" style="4" customWidth="1"/>
    <col min="3358" max="3358" width="8.6640625" style="4" customWidth="1"/>
    <col min="3359" max="3359" width="12" style="4" customWidth="1"/>
    <col min="3360" max="3361" width="8.6640625" style="4" customWidth="1"/>
    <col min="3362" max="3362" width="11.88671875" style="4" customWidth="1"/>
    <col min="3363" max="3367" width="8.6640625" style="4" customWidth="1"/>
    <col min="3368" max="3368" width="9.6640625" style="4" customWidth="1"/>
    <col min="3369" max="3379" width="8.6640625" style="4" customWidth="1"/>
    <col min="3380" max="3380" width="11.109375" style="4" customWidth="1"/>
    <col min="3381" max="3395" width="8.6640625" style="4" customWidth="1"/>
    <col min="3396" max="3408" width="11.44140625" style="4"/>
    <col min="3409" max="3409" width="13.44140625" style="4" customWidth="1"/>
    <col min="3410" max="3584" width="11.44140625" style="4"/>
    <col min="3585" max="3585" width="7.88671875" style="4" customWidth="1"/>
    <col min="3586" max="3586" width="3.33203125" style="4" customWidth="1"/>
    <col min="3587" max="3587" width="10.5546875" style="4" customWidth="1"/>
    <col min="3588" max="3588" width="13.33203125" style="4" customWidth="1"/>
    <col min="3589" max="3594" width="11.5546875" style="4" customWidth="1"/>
    <col min="3595" max="3595" width="11.109375" style="4" customWidth="1"/>
    <col min="3596" max="3609" width="11.5546875" style="4" customWidth="1"/>
    <col min="3610" max="3610" width="12.33203125" style="4" customWidth="1"/>
    <col min="3611" max="3611" width="12.44140625" style="4" customWidth="1"/>
    <col min="3612" max="3612" width="11.5546875" style="4" customWidth="1"/>
    <col min="3613" max="3613" width="11.109375" style="4" customWidth="1"/>
    <col min="3614" max="3614" width="8.6640625" style="4" customWidth="1"/>
    <col min="3615" max="3615" width="12" style="4" customWidth="1"/>
    <col min="3616" max="3617" width="8.6640625" style="4" customWidth="1"/>
    <col min="3618" max="3618" width="11.88671875" style="4" customWidth="1"/>
    <col min="3619" max="3623" width="8.6640625" style="4" customWidth="1"/>
    <col min="3624" max="3624" width="9.6640625" style="4" customWidth="1"/>
    <col min="3625" max="3635" width="8.6640625" style="4" customWidth="1"/>
    <col min="3636" max="3636" width="11.109375" style="4" customWidth="1"/>
    <col min="3637" max="3651" width="8.6640625" style="4" customWidth="1"/>
    <col min="3652" max="3664" width="11.44140625" style="4"/>
    <col min="3665" max="3665" width="13.44140625" style="4" customWidth="1"/>
    <col min="3666" max="3840" width="11.44140625" style="4"/>
    <col min="3841" max="3841" width="7.88671875" style="4" customWidth="1"/>
    <col min="3842" max="3842" width="3.33203125" style="4" customWidth="1"/>
    <col min="3843" max="3843" width="10.5546875" style="4" customWidth="1"/>
    <col min="3844" max="3844" width="13.33203125" style="4" customWidth="1"/>
    <col min="3845" max="3850" width="11.5546875" style="4" customWidth="1"/>
    <col min="3851" max="3851" width="11.109375" style="4" customWidth="1"/>
    <col min="3852" max="3865" width="11.5546875" style="4" customWidth="1"/>
    <col min="3866" max="3866" width="12.33203125" style="4" customWidth="1"/>
    <col min="3867" max="3867" width="12.44140625" style="4" customWidth="1"/>
    <col min="3868" max="3868" width="11.5546875" style="4" customWidth="1"/>
    <col min="3869" max="3869" width="11.109375" style="4" customWidth="1"/>
    <col min="3870" max="3870" width="8.6640625" style="4" customWidth="1"/>
    <col min="3871" max="3871" width="12" style="4" customWidth="1"/>
    <col min="3872" max="3873" width="8.6640625" style="4" customWidth="1"/>
    <col min="3874" max="3874" width="11.88671875" style="4" customWidth="1"/>
    <col min="3875" max="3879" width="8.6640625" style="4" customWidth="1"/>
    <col min="3880" max="3880" width="9.6640625" style="4" customWidth="1"/>
    <col min="3881" max="3891" width="8.6640625" style="4" customWidth="1"/>
    <col min="3892" max="3892" width="11.109375" style="4" customWidth="1"/>
    <col min="3893" max="3907" width="8.6640625" style="4" customWidth="1"/>
    <col min="3908" max="3920" width="11.44140625" style="4"/>
    <col min="3921" max="3921" width="13.44140625" style="4" customWidth="1"/>
    <col min="3922" max="4096" width="11.44140625" style="4"/>
    <col min="4097" max="4097" width="7.88671875" style="4" customWidth="1"/>
    <col min="4098" max="4098" width="3.33203125" style="4" customWidth="1"/>
    <col min="4099" max="4099" width="10.5546875" style="4" customWidth="1"/>
    <col min="4100" max="4100" width="13.33203125" style="4" customWidth="1"/>
    <col min="4101" max="4106" width="11.5546875" style="4" customWidth="1"/>
    <col min="4107" max="4107" width="11.109375" style="4" customWidth="1"/>
    <col min="4108" max="4121" width="11.5546875" style="4" customWidth="1"/>
    <col min="4122" max="4122" width="12.33203125" style="4" customWidth="1"/>
    <col min="4123" max="4123" width="12.44140625" style="4" customWidth="1"/>
    <col min="4124" max="4124" width="11.5546875" style="4" customWidth="1"/>
    <col min="4125" max="4125" width="11.109375" style="4" customWidth="1"/>
    <col min="4126" max="4126" width="8.6640625" style="4" customWidth="1"/>
    <col min="4127" max="4127" width="12" style="4" customWidth="1"/>
    <col min="4128" max="4129" width="8.6640625" style="4" customWidth="1"/>
    <col min="4130" max="4130" width="11.88671875" style="4" customWidth="1"/>
    <col min="4131" max="4135" width="8.6640625" style="4" customWidth="1"/>
    <col min="4136" max="4136" width="9.6640625" style="4" customWidth="1"/>
    <col min="4137" max="4147" width="8.6640625" style="4" customWidth="1"/>
    <col min="4148" max="4148" width="11.109375" style="4" customWidth="1"/>
    <col min="4149" max="4163" width="8.6640625" style="4" customWidth="1"/>
    <col min="4164" max="4176" width="11.44140625" style="4"/>
    <col min="4177" max="4177" width="13.44140625" style="4" customWidth="1"/>
    <col min="4178" max="4352" width="11.44140625" style="4"/>
    <col min="4353" max="4353" width="7.88671875" style="4" customWidth="1"/>
    <col min="4354" max="4354" width="3.33203125" style="4" customWidth="1"/>
    <col min="4355" max="4355" width="10.5546875" style="4" customWidth="1"/>
    <col min="4356" max="4356" width="13.33203125" style="4" customWidth="1"/>
    <col min="4357" max="4362" width="11.5546875" style="4" customWidth="1"/>
    <col min="4363" max="4363" width="11.109375" style="4" customWidth="1"/>
    <col min="4364" max="4377" width="11.5546875" style="4" customWidth="1"/>
    <col min="4378" max="4378" width="12.33203125" style="4" customWidth="1"/>
    <col min="4379" max="4379" width="12.44140625" style="4" customWidth="1"/>
    <col min="4380" max="4380" width="11.5546875" style="4" customWidth="1"/>
    <col min="4381" max="4381" width="11.109375" style="4" customWidth="1"/>
    <col min="4382" max="4382" width="8.6640625" style="4" customWidth="1"/>
    <col min="4383" max="4383" width="12" style="4" customWidth="1"/>
    <col min="4384" max="4385" width="8.6640625" style="4" customWidth="1"/>
    <col min="4386" max="4386" width="11.88671875" style="4" customWidth="1"/>
    <col min="4387" max="4391" width="8.6640625" style="4" customWidth="1"/>
    <col min="4392" max="4392" width="9.6640625" style="4" customWidth="1"/>
    <col min="4393" max="4403" width="8.6640625" style="4" customWidth="1"/>
    <col min="4404" max="4404" width="11.109375" style="4" customWidth="1"/>
    <col min="4405" max="4419" width="8.6640625" style="4" customWidth="1"/>
    <col min="4420" max="4432" width="11.44140625" style="4"/>
    <col min="4433" max="4433" width="13.44140625" style="4" customWidth="1"/>
    <col min="4434" max="4608" width="11.44140625" style="4"/>
    <col min="4609" max="4609" width="7.88671875" style="4" customWidth="1"/>
    <col min="4610" max="4610" width="3.33203125" style="4" customWidth="1"/>
    <col min="4611" max="4611" width="10.5546875" style="4" customWidth="1"/>
    <col min="4612" max="4612" width="13.33203125" style="4" customWidth="1"/>
    <col min="4613" max="4618" width="11.5546875" style="4" customWidth="1"/>
    <col min="4619" max="4619" width="11.109375" style="4" customWidth="1"/>
    <col min="4620" max="4633" width="11.5546875" style="4" customWidth="1"/>
    <col min="4634" max="4634" width="12.33203125" style="4" customWidth="1"/>
    <col min="4635" max="4635" width="12.44140625" style="4" customWidth="1"/>
    <col min="4636" max="4636" width="11.5546875" style="4" customWidth="1"/>
    <col min="4637" max="4637" width="11.109375" style="4" customWidth="1"/>
    <col min="4638" max="4638" width="8.6640625" style="4" customWidth="1"/>
    <col min="4639" max="4639" width="12" style="4" customWidth="1"/>
    <col min="4640" max="4641" width="8.6640625" style="4" customWidth="1"/>
    <col min="4642" max="4642" width="11.88671875" style="4" customWidth="1"/>
    <col min="4643" max="4647" width="8.6640625" style="4" customWidth="1"/>
    <col min="4648" max="4648" width="9.6640625" style="4" customWidth="1"/>
    <col min="4649" max="4659" width="8.6640625" style="4" customWidth="1"/>
    <col min="4660" max="4660" width="11.109375" style="4" customWidth="1"/>
    <col min="4661" max="4675" width="8.6640625" style="4" customWidth="1"/>
    <col min="4676" max="4688" width="11.44140625" style="4"/>
    <col min="4689" max="4689" width="13.44140625" style="4" customWidth="1"/>
    <col min="4690" max="4864" width="11.44140625" style="4"/>
    <col min="4865" max="4865" width="7.88671875" style="4" customWidth="1"/>
    <col min="4866" max="4866" width="3.33203125" style="4" customWidth="1"/>
    <col min="4867" max="4867" width="10.5546875" style="4" customWidth="1"/>
    <col min="4868" max="4868" width="13.33203125" style="4" customWidth="1"/>
    <col min="4869" max="4874" width="11.5546875" style="4" customWidth="1"/>
    <col min="4875" max="4875" width="11.109375" style="4" customWidth="1"/>
    <col min="4876" max="4889" width="11.5546875" style="4" customWidth="1"/>
    <col min="4890" max="4890" width="12.33203125" style="4" customWidth="1"/>
    <col min="4891" max="4891" width="12.44140625" style="4" customWidth="1"/>
    <col min="4892" max="4892" width="11.5546875" style="4" customWidth="1"/>
    <col min="4893" max="4893" width="11.109375" style="4" customWidth="1"/>
    <col min="4894" max="4894" width="8.6640625" style="4" customWidth="1"/>
    <col min="4895" max="4895" width="12" style="4" customWidth="1"/>
    <col min="4896" max="4897" width="8.6640625" style="4" customWidth="1"/>
    <col min="4898" max="4898" width="11.88671875" style="4" customWidth="1"/>
    <col min="4899" max="4903" width="8.6640625" style="4" customWidth="1"/>
    <col min="4904" max="4904" width="9.6640625" style="4" customWidth="1"/>
    <col min="4905" max="4915" width="8.6640625" style="4" customWidth="1"/>
    <col min="4916" max="4916" width="11.109375" style="4" customWidth="1"/>
    <col min="4917" max="4931" width="8.6640625" style="4" customWidth="1"/>
    <col min="4932" max="4944" width="11.44140625" style="4"/>
    <col min="4945" max="4945" width="13.44140625" style="4" customWidth="1"/>
    <col min="4946" max="5120" width="11.44140625" style="4"/>
    <col min="5121" max="5121" width="7.88671875" style="4" customWidth="1"/>
    <col min="5122" max="5122" width="3.33203125" style="4" customWidth="1"/>
    <col min="5123" max="5123" width="10.5546875" style="4" customWidth="1"/>
    <col min="5124" max="5124" width="13.33203125" style="4" customWidth="1"/>
    <col min="5125" max="5130" width="11.5546875" style="4" customWidth="1"/>
    <col min="5131" max="5131" width="11.109375" style="4" customWidth="1"/>
    <col min="5132" max="5145" width="11.5546875" style="4" customWidth="1"/>
    <col min="5146" max="5146" width="12.33203125" style="4" customWidth="1"/>
    <col min="5147" max="5147" width="12.44140625" style="4" customWidth="1"/>
    <col min="5148" max="5148" width="11.5546875" style="4" customWidth="1"/>
    <col min="5149" max="5149" width="11.109375" style="4" customWidth="1"/>
    <col min="5150" max="5150" width="8.6640625" style="4" customWidth="1"/>
    <col min="5151" max="5151" width="12" style="4" customWidth="1"/>
    <col min="5152" max="5153" width="8.6640625" style="4" customWidth="1"/>
    <col min="5154" max="5154" width="11.88671875" style="4" customWidth="1"/>
    <col min="5155" max="5159" width="8.6640625" style="4" customWidth="1"/>
    <col min="5160" max="5160" width="9.6640625" style="4" customWidth="1"/>
    <col min="5161" max="5171" width="8.6640625" style="4" customWidth="1"/>
    <col min="5172" max="5172" width="11.109375" style="4" customWidth="1"/>
    <col min="5173" max="5187" width="8.6640625" style="4" customWidth="1"/>
    <col min="5188" max="5200" width="11.44140625" style="4"/>
    <col min="5201" max="5201" width="13.44140625" style="4" customWidth="1"/>
    <col min="5202" max="5376" width="11.44140625" style="4"/>
    <col min="5377" max="5377" width="7.88671875" style="4" customWidth="1"/>
    <col min="5378" max="5378" width="3.33203125" style="4" customWidth="1"/>
    <col min="5379" max="5379" width="10.5546875" style="4" customWidth="1"/>
    <col min="5380" max="5380" width="13.33203125" style="4" customWidth="1"/>
    <col min="5381" max="5386" width="11.5546875" style="4" customWidth="1"/>
    <col min="5387" max="5387" width="11.109375" style="4" customWidth="1"/>
    <col min="5388" max="5401" width="11.5546875" style="4" customWidth="1"/>
    <col min="5402" max="5402" width="12.33203125" style="4" customWidth="1"/>
    <col min="5403" max="5403" width="12.44140625" style="4" customWidth="1"/>
    <col min="5404" max="5404" width="11.5546875" style="4" customWidth="1"/>
    <col min="5405" max="5405" width="11.109375" style="4" customWidth="1"/>
    <col min="5406" max="5406" width="8.6640625" style="4" customWidth="1"/>
    <col min="5407" max="5407" width="12" style="4" customWidth="1"/>
    <col min="5408" max="5409" width="8.6640625" style="4" customWidth="1"/>
    <col min="5410" max="5410" width="11.88671875" style="4" customWidth="1"/>
    <col min="5411" max="5415" width="8.6640625" style="4" customWidth="1"/>
    <col min="5416" max="5416" width="9.6640625" style="4" customWidth="1"/>
    <col min="5417" max="5427" width="8.6640625" style="4" customWidth="1"/>
    <col min="5428" max="5428" width="11.109375" style="4" customWidth="1"/>
    <col min="5429" max="5443" width="8.6640625" style="4" customWidth="1"/>
    <col min="5444" max="5456" width="11.44140625" style="4"/>
    <col min="5457" max="5457" width="13.44140625" style="4" customWidth="1"/>
    <col min="5458" max="5632" width="11.44140625" style="4"/>
    <col min="5633" max="5633" width="7.88671875" style="4" customWidth="1"/>
    <col min="5634" max="5634" width="3.33203125" style="4" customWidth="1"/>
    <col min="5635" max="5635" width="10.5546875" style="4" customWidth="1"/>
    <col min="5636" max="5636" width="13.33203125" style="4" customWidth="1"/>
    <col min="5637" max="5642" width="11.5546875" style="4" customWidth="1"/>
    <col min="5643" max="5643" width="11.109375" style="4" customWidth="1"/>
    <col min="5644" max="5657" width="11.5546875" style="4" customWidth="1"/>
    <col min="5658" max="5658" width="12.33203125" style="4" customWidth="1"/>
    <col min="5659" max="5659" width="12.44140625" style="4" customWidth="1"/>
    <col min="5660" max="5660" width="11.5546875" style="4" customWidth="1"/>
    <col min="5661" max="5661" width="11.109375" style="4" customWidth="1"/>
    <col min="5662" max="5662" width="8.6640625" style="4" customWidth="1"/>
    <col min="5663" max="5663" width="12" style="4" customWidth="1"/>
    <col min="5664" max="5665" width="8.6640625" style="4" customWidth="1"/>
    <col min="5666" max="5666" width="11.88671875" style="4" customWidth="1"/>
    <col min="5667" max="5671" width="8.6640625" style="4" customWidth="1"/>
    <col min="5672" max="5672" width="9.6640625" style="4" customWidth="1"/>
    <col min="5673" max="5683" width="8.6640625" style="4" customWidth="1"/>
    <col min="5684" max="5684" width="11.109375" style="4" customWidth="1"/>
    <col min="5685" max="5699" width="8.6640625" style="4" customWidth="1"/>
    <col min="5700" max="5712" width="11.44140625" style="4"/>
    <col min="5713" max="5713" width="13.44140625" style="4" customWidth="1"/>
    <col min="5714" max="5888" width="11.44140625" style="4"/>
    <col min="5889" max="5889" width="7.88671875" style="4" customWidth="1"/>
    <col min="5890" max="5890" width="3.33203125" style="4" customWidth="1"/>
    <col min="5891" max="5891" width="10.5546875" style="4" customWidth="1"/>
    <col min="5892" max="5892" width="13.33203125" style="4" customWidth="1"/>
    <col min="5893" max="5898" width="11.5546875" style="4" customWidth="1"/>
    <col min="5899" max="5899" width="11.109375" style="4" customWidth="1"/>
    <col min="5900" max="5913" width="11.5546875" style="4" customWidth="1"/>
    <col min="5914" max="5914" width="12.33203125" style="4" customWidth="1"/>
    <col min="5915" max="5915" width="12.44140625" style="4" customWidth="1"/>
    <col min="5916" max="5916" width="11.5546875" style="4" customWidth="1"/>
    <col min="5917" max="5917" width="11.109375" style="4" customWidth="1"/>
    <col min="5918" max="5918" width="8.6640625" style="4" customWidth="1"/>
    <col min="5919" max="5919" width="12" style="4" customWidth="1"/>
    <col min="5920" max="5921" width="8.6640625" style="4" customWidth="1"/>
    <col min="5922" max="5922" width="11.88671875" style="4" customWidth="1"/>
    <col min="5923" max="5927" width="8.6640625" style="4" customWidth="1"/>
    <col min="5928" max="5928" width="9.6640625" style="4" customWidth="1"/>
    <col min="5929" max="5939" width="8.6640625" style="4" customWidth="1"/>
    <col min="5940" max="5940" width="11.109375" style="4" customWidth="1"/>
    <col min="5941" max="5955" width="8.6640625" style="4" customWidth="1"/>
    <col min="5956" max="5968" width="11.44140625" style="4"/>
    <col min="5969" max="5969" width="13.44140625" style="4" customWidth="1"/>
    <col min="5970" max="6144" width="11.44140625" style="4"/>
    <col min="6145" max="6145" width="7.88671875" style="4" customWidth="1"/>
    <col min="6146" max="6146" width="3.33203125" style="4" customWidth="1"/>
    <col min="6147" max="6147" width="10.5546875" style="4" customWidth="1"/>
    <col min="6148" max="6148" width="13.33203125" style="4" customWidth="1"/>
    <col min="6149" max="6154" width="11.5546875" style="4" customWidth="1"/>
    <col min="6155" max="6155" width="11.109375" style="4" customWidth="1"/>
    <col min="6156" max="6169" width="11.5546875" style="4" customWidth="1"/>
    <col min="6170" max="6170" width="12.33203125" style="4" customWidth="1"/>
    <col min="6171" max="6171" width="12.44140625" style="4" customWidth="1"/>
    <col min="6172" max="6172" width="11.5546875" style="4" customWidth="1"/>
    <col min="6173" max="6173" width="11.109375" style="4" customWidth="1"/>
    <col min="6174" max="6174" width="8.6640625" style="4" customWidth="1"/>
    <col min="6175" max="6175" width="12" style="4" customWidth="1"/>
    <col min="6176" max="6177" width="8.6640625" style="4" customWidth="1"/>
    <col min="6178" max="6178" width="11.88671875" style="4" customWidth="1"/>
    <col min="6179" max="6183" width="8.6640625" style="4" customWidth="1"/>
    <col min="6184" max="6184" width="9.6640625" style="4" customWidth="1"/>
    <col min="6185" max="6195" width="8.6640625" style="4" customWidth="1"/>
    <col min="6196" max="6196" width="11.109375" style="4" customWidth="1"/>
    <col min="6197" max="6211" width="8.6640625" style="4" customWidth="1"/>
    <col min="6212" max="6224" width="11.44140625" style="4"/>
    <col min="6225" max="6225" width="13.44140625" style="4" customWidth="1"/>
    <col min="6226" max="6400" width="11.44140625" style="4"/>
    <col min="6401" max="6401" width="7.88671875" style="4" customWidth="1"/>
    <col min="6402" max="6402" width="3.33203125" style="4" customWidth="1"/>
    <col min="6403" max="6403" width="10.5546875" style="4" customWidth="1"/>
    <col min="6404" max="6404" width="13.33203125" style="4" customWidth="1"/>
    <col min="6405" max="6410" width="11.5546875" style="4" customWidth="1"/>
    <col min="6411" max="6411" width="11.109375" style="4" customWidth="1"/>
    <col min="6412" max="6425" width="11.5546875" style="4" customWidth="1"/>
    <col min="6426" max="6426" width="12.33203125" style="4" customWidth="1"/>
    <col min="6427" max="6427" width="12.44140625" style="4" customWidth="1"/>
    <col min="6428" max="6428" width="11.5546875" style="4" customWidth="1"/>
    <col min="6429" max="6429" width="11.109375" style="4" customWidth="1"/>
    <col min="6430" max="6430" width="8.6640625" style="4" customWidth="1"/>
    <col min="6431" max="6431" width="12" style="4" customWidth="1"/>
    <col min="6432" max="6433" width="8.6640625" style="4" customWidth="1"/>
    <col min="6434" max="6434" width="11.88671875" style="4" customWidth="1"/>
    <col min="6435" max="6439" width="8.6640625" style="4" customWidth="1"/>
    <col min="6440" max="6440" width="9.6640625" style="4" customWidth="1"/>
    <col min="6441" max="6451" width="8.6640625" style="4" customWidth="1"/>
    <col min="6452" max="6452" width="11.109375" style="4" customWidth="1"/>
    <col min="6453" max="6467" width="8.6640625" style="4" customWidth="1"/>
    <col min="6468" max="6480" width="11.44140625" style="4"/>
    <col min="6481" max="6481" width="13.44140625" style="4" customWidth="1"/>
    <col min="6482" max="6656" width="11.44140625" style="4"/>
    <col min="6657" max="6657" width="7.88671875" style="4" customWidth="1"/>
    <col min="6658" max="6658" width="3.33203125" style="4" customWidth="1"/>
    <col min="6659" max="6659" width="10.5546875" style="4" customWidth="1"/>
    <col min="6660" max="6660" width="13.33203125" style="4" customWidth="1"/>
    <col min="6661" max="6666" width="11.5546875" style="4" customWidth="1"/>
    <col min="6667" max="6667" width="11.109375" style="4" customWidth="1"/>
    <col min="6668" max="6681" width="11.5546875" style="4" customWidth="1"/>
    <col min="6682" max="6682" width="12.33203125" style="4" customWidth="1"/>
    <col min="6683" max="6683" width="12.44140625" style="4" customWidth="1"/>
    <col min="6684" max="6684" width="11.5546875" style="4" customWidth="1"/>
    <col min="6685" max="6685" width="11.109375" style="4" customWidth="1"/>
    <col min="6686" max="6686" width="8.6640625" style="4" customWidth="1"/>
    <col min="6687" max="6687" width="12" style="4" customWidth="1"/>
    <col min="6688" max="6689" width="8.6640625" style="4" customWidth="1"/>
    <col min="6690" max="6690" width="11.88671875" style="4" customWidth="1"/>
    <col min="6691" max="6695" width="8.6640625" style="4" customWidth="1"/>
    <col min="6696" max="6696" width="9.6640625" style="4" customWidth="1"/>
    <col min="6697" max="6707" width="8.6640625" style="4" customWidth="1"/>
    <col min="6708" max="6708" width="11.109375" style="4" customWidth="1"/>
    <col min="6709" max="6723" width="8.6640625" style="4" customWidth="1"/>
    <col min="6724" max="6736" width="11.44140625" style="4"/>
    <col min="6737" max="6737" width="13.44140625" style="4" customWidth="1"/>
    <col min="6738" max="6912" width="11.44140625" style="4"/>
    <col min="6913" max="6913" width="7.88671875" style="4" customWidth="1"/>
    <col min="6914" max="6914" width="3.33203125" style="4" customWidth="1"/>
    <col min="6915" max="6915" width="10.5546875" style="4" customWidth="1"/>
    <col min="6916" max="6916" width="13.33203125" style="4" customWidth="1"/>
    <col min="6917" max="6922" width="11.5546875" style="4" customWidth="1"/>
    <col min="6923" max="6923" width="11.109375" style="4" customWidth="1"/>
    <col min="6924" max="6937" width="11.5546875" style="4" customWidth="1"/>
    <col min="6938" max="6938" width="12.33203125" style="4" customWidth="1"/>
    <col min="6939" max="6939" width="12.44140625" style="4" customWidth="1"/>
    <col min="6940" max="6940" width="11.5546875" style="4" customWidth="1"/>
    <col min="6941" max="6941" width="11.109375" style="4" customWidth="1"/>
    <col min="6942" max="6942" width="8.6640625" style="4" customWidth="1"/>
    <col min="6943" max="6943" width="12" style="4" customWidth="1"/>
    <col min="6944" max="6945" width="8.6640625" style="4" customWidth="1"/>
    <col min="6946" max="6946" width="11.88671875" style="4" customWidth="1"/>
    <col min="6947" max="6951" width="8.6640625" style="4" customWidth="1"/>
    <col min="6952" max="6952" width="9.6640625" style="4" customWidth="1"/>
    <col min="6953" max="6963" width="8.6640625" style="4" customWidth="1"/>
    <col min="6964" max="6964" width="11.109375" style="4" customWidth="1"/>
    <col min="6965" max="6979" width="8.6640625" style="4" customWidth="1"/>
    <col min="6980" max="6992" width="11.44140625" style="4"/>
    <col min="6993" max="6993" width="13.44140625" style="4" customWidth="1"/>
    <col min="6994" max="7168" width="11.44140625" style="4"/>
    <col min="7169" max="7169" width="7.88671875" style="4" customWidth="1"/>
    <col min="7170" max="7170" width="3.33203125" style="4" customWidth="1"/>
    <col min="7171" max="7171" width="10.5546875" style="4" customWidth="1"/>
    <col min="7172" max="7172" width="13.33203125" style="4" customWidth="1"/>
    <col min="7173" max="7178" width="11.5546875" style="4" customWidth="1"/>
    <col min="7179" max="7179" width="11.109375" style="4" customWidth="1"/>
    <col min="7180" max="7193" width="11.5546875" style="4" customWidth="1"/>
    <col min="7194" max="7194" width="12.33203125" style="4" customWidth="1"/>
    <col min="7195" max="7195" width="12.44140625" style="4" customWidth="1"/>
    <col min="7196" max="7196" width="11.5546875" style="4" customWidth="1"/>
    <col min="7197" max="7197" width="11.109375" style="4" customWidth="1"/>
    <col min="7198" max="7198" width="8.6640625" style="4" customWidth="1"/>
    <col min="7199" max="7199" width="12" style="4" customWidth="1"/>
    <col min="7200" max="7201" width="8.6640625" style="4" customWidth="1"/>
    <col min="7202" max="7202" width="11.88671875" style="4" customWidth="1"/>
    <col min="7203" max="7207" width="8.6640625" style="4" customWidth="1"/>
    <col min="7208" max="7208" width="9.6640625" style="4" customWidth="1"/>
    <col min="7209" max="7219" width="8.6640625" style="4" customWidth="1"/>
    <col min="7220" max="7220" width="11.109375" style="4" customWidth="1"/>
    <col min="7221" max="7235" width="8.6640625" style="4" customWidth="1"/>
    <col min="7236" max="7248" width="11.44140625" style="4"/>
    <col min="7249" max="7249" width="13.44140625" style="4" customWidth="1"/>
    <col min="7250" max="7424" width="11.44140625" style="4"/>
    <col min="7425" max="7425" width="7.88671875" style="4" customWidth="1"/>
    <col min="7426" max="7426" width="3.33203125" style="4" customWidth="1"/>
    <col min="7427" max="7427" width="10.5546875" style="4" customWidth="1"/>
    <col min="7428" max="7428" width="13.33203125" style="4" customWidth="1"/>
    <col min="7429" max="7434" width="11.5546875" style="4" customWidth="1"/>
    <col min="7435" max="7435" width="11.109375" style="4" customWidth="1"/>
    <col min="7436" max="7449" width="11.5546875" style="4" customWidth="1"/>
    <col min="7450" max="7450" width="12.33203125" style="4" customWidth="1"/>
    <col min="7451" max="7451" width="12.44140625" style="4" customWidth="1"/>
    <col min="7452" max="7452" width="11.5546875" style="4" customWidth="1"/>
    <col min="7453" max="7453" width="11.109375" style="4" customWidth="1"/>
    <col min="7454" max="7454" width="8.6640625" style="4" customWidth="1"/>
    <col min="7455" max="7455" width="12" style="4" customWidth="1"/>
    <col min="7456" max="7457" width="8.6640625" style="4" customWidth="1"/>
    <col min="7458" max="7458" width="11.88671875" style="4" customWidth="1"/>
    <col min="7459" max="7463" width="8.6640625" style="4" customWidth="1"/>
    <col min="7464" max="7464" width="9.6640625" style="4" customWidth="1"/>
    <col min="7465" max="7475" width="8.6640625" style="4" customWidth="1"/>
    <col min="7476" max="7476" width="11.109375" style="4" customWidth="1"/>
    <col min="7477" max="7491" width="8.6640625" style="4" customWidth="1"/>
    <col min="7492" max="7504" width="11.44140625" style="4"/>
    <col min="7505" max="7505" width="13.44140625" style="4" customWidth="1"/>
    <col min="7506" max="7680" width="11.44140625" style="4"/>
    <col min="7681" max="7681" width="7.88671875" style="4" customWidth="1"/>
    <col min="7682" max="7682" width="3.33203125" style="4" customWidth="1"/>
    <col min="7683" max="7683" width="10.5546875" style="4" customWidth="1"/>
    <col min="7684" max="7684" width="13.33203125" style="4" customWidth="1"/>
    <col min="7685" max="7690" width="11.5546875" style="4" customWidth="1"/>
    <col min="7691" max="7691" width="11.109375" style="4" customWidth="1"/>
    <col min="7692" max="7705" width="11.5546875" style="4" customWidth="1"/>
    <col min="7706" max="7706" width="12.33203125" style="4" customWidth="1"/>
    <col min="7707" max="7707" width="12.44140625" style="4" customWidth="1"/>
    <col min="7708" max="7708" width="11.5546875" style="4" customWidth="1"/>
    <col min="7709" max="7709" width="11.109375" style="4" customWidth="1"/>
    <col min="7710" max="7710" width="8.6640625" style="4" customWidth="1"/>
    <col min="7711" max="7711" width="12" style="4" customWidth="1"/>
    <col min="7712" max="7713" width="8.6640625" style="4" customWidth="1"/>
    <col min="7714" max="7714" width="11.88671875" style="4" customWidth="1"/>
    <col min="7715" max="7719" width="8.6640625" style="4" customWidth="1"/>
    <col min="7720" max="7720" width="9.6640625" style="4" customWidth="1"/>
    <col min="7721" max="7731" width="8.6640625" style="4" customWidth="1"/>
    <col min="7732" max="7732" width="11.109375" style="4" customWidth="1"/>
    <col min="7733" max="7747" width="8.6640625" style="4" customWidth="1"/>
    <col min="7748" max="7760" width="11.44140625" style="4"/>
    <col min="7761" max="7761" width="13.44140625" style="4" customWidth="1"/>
    <col min="7762" max="7936" width="11.44140625" style="4"/>
    <col min="7937" max="7937" width="7.88671875" style="4" customWidth="1"/>
    <col min="7938" max="7938" width="3.33203125" style="4" customWidth="1"/>
    <col min="7939" max="7939" width="10.5546875" style="4" customWidth="1"/>
    <col min="7940" max="7940" width="13.33203125" style="4" customWidth="1"/>
    <col min="7941" max="7946" width="11.5546875" style="4" customWidth="1"/>
    <col min="7947" max="7947" width="11.109375" style="4" customWidth="1"/>
    <col min="7948" max="7961" width="11.5546875" style="4" customWidth="1"/>
    <col min="7962" max="7962" width="12.33203125" style="4" customWidth="1"/>
    <col min="7963" max="7963" width="12.44140625" style="4" customWidth="1"/>
    <col min="7964" max="7964" width="11.5546875" style="4" customWidth="1"/>
    <col min="7965" max="7965" width="11.109375" style="4" customWidth="1"/>
    <col min="7966" max="7966" width="8.6640625" style="4" customWidth="1"/>
    <col min="7967" max="7967" width="12" style="4" customWidth="1"/>
    <col min="7968" max="7969" width="8.6640625" style="4" customWidth="1"/>
    <col min="7970" max="7970" width="11.88671875" style="4" customWidth="1"/>
    <col min="7971" max="7975" width="8.6640625" style="4" customWidth="1"/>
    <col min="7976" max="7976" width="9.6640625" style="4" customWidth="1"/>
    <col min="7977" max="7987" width="8.6640625" style="4" customWidth="1"/>
    <col min="7988" max="7988" width="11.109375" style="4" customWidth="1"/>
    <col min="7989" max="8003" width="8.6640625" style="4" customWidth="1"/>
    <col min="8004" max="8016" width="11.44140625" style="4"/>
    <col min="8017" max="8017" width="13.44140625" style="4" customWidth="1"/>
    <col min="8018" max="8192" width="11.44140625" style="4"/>
    <col min="8193" max="8193" width="7.88671875" style="4" customWidth="1"/>
    <col min="8194" max="8194" width="3.33203125" style="4" customWidth="1"/>
    <col min="8195" max="8195" width="10.5546875" style="4" customWidth="1"/>
    <col min="8196" max="8196" width="13.33203125" style="4" customWidth="1"/>
    <col min="8197" max="8202" width="11.5546875" style="4" customWidth="1"/>
    <col min="8203" max="8203" width="11.109375" style="4" customWidth="1"/>
    <col min="8204" max="8217" width="11.5546875" style="4" customWidth="1"/>
    <col min="8218" max="8218" width="12.33203125" style="4" customWidth="1"/>
    <col min="8219" max="8219" width="12.44140625" style="4" customWidth="1"/>
    <col min="8220" max="8220" width="11.5546875" style="4" customWidth="1"/>
    <col min="8221" max="8221" width="11.109375" style="4" customWidth="1"/>
    <col min="8222" max="8222" width="8.6640625" style="4" customWidth="1"/>
    <col min="8223" max="8223" width="12" style="4" customWidth="1"/>
    <col min="8224" max="8225" width="8.6640625" style="4" customWidth="1"/>
    <col min="8226" max="8226" width="11.88671875" style="4" customWidth="1"/>
    <col min="8227" max="8231" width="8.6640625" style="4" customWidth="1"/>
    <col min="8232" max="8232" width="9.6640625" style="4" customWidth="1"/>
    <col min="8233" max="8243" width="8.6640625" style="4" customWidth="1"/>
    <col min="8244" max="8244" width="11.109375" style="4" customWidth="1"/>
    <col min="8245" max="8259" width="8.6640625" style="4" customWidth="1"/>
    <col min="8260" max="8272" width="11.44140625" style="4"/>
    <col min="8273" max="8273" width="13.44140625" style="4" customWidth="1"/>
    <col min="8274" max="8448" width="11.44140625" style="4"/>
    <col min="8449" max="8449" width="7.88671875" style="4" customWidth="1"/>
    <col min="8450" max="8450" width="3.33203125" style="4" customWidth="1"/>
    <col min="8451" max="8451" width="10.5546875" style="4" customWidth="1"/>
    <col min="8452" max="8452" width="13.33203125" style="4" customWidth="1"/>
    <col min="8453" max="8458" width="11.5546875" style="4" customWidth="1"/>
    <col min="8459" max="8459" width="11.109375" style="4" customWidth="1"/>
    <col min="8460" max="8473" width="11.5546875" style="4" customWidth="1"/>
    <col min="8474" max="8474" width="12.33203125" style="4" customWidth="1"/>
    <col min="8475" max="8475" width="12.44140625" style="4" customWidth="1"/>
    <col min="8476" max="8476" width="11.5546875" style="4" customWidth="1"/>
    <col min="8477" max="8477" width="11.109375" style="4" customWidth="1"/>
    <col min="8478" max="8478" width="8.6640625" style="4" customWidth="1"/>
    <col min="8479" max="8479" width="12" style="4" customWidth="1"/>
    <col min="8480" max="8481" width="8.6640625" style="4" customWidth="1"/>
    <col min="8482" max="8482" width="11.88671875" style="4" customWidth="1"/>
    <col min="8483" max="8487" width="8.6640625" style="4" customWidth="1"/>
    <col min="8488" max="8488" width="9.6640625" style="4" customWidth="1"/>
    <col min="8489" max="8499" width="8.6640625" style="4" customWidth="1"/>
    <col min="8500" max="8500" width="11.109375" style="4" customWidth="1"/>
    <col min="8501" max="8515" width="8.6640625" style="4" customWidth="1"/>
    <col min="8516" max="8528" width="11.44140625" style="4"/>
    <col min="8529" max="8529" width="13.44140625" style="4" customWidth="1"/>
    <col min="8530" max="8704" width="11.44140625" style="4"/>
    <col min="8705" max="8705" width="7.88671875" style="4" customWidth="1"/>
    <col min="8706" max="8706" width="3.33203125" style="4" customWidth="1"/>
    <col min="8707" max="8707" width="10.5546875" style="4" customWidth="1"/>
    <col min="8708" max="8708" width="13.33203125" style="4" customWidth="1"/>
    <col min="8709" max="8714" width="11.5546875" style="4" customWidth="1"/>
    <col min="8715" max="8715" width="11.109375" style="4" customWidth="1"/>
    <col min="8716" max="8729" width="11.5546875" style="4" customWidth="1"/>
    <col min="8730" max="8730" width="12.33203125" style="4" customWidth="1"/>
    <col min="8731" max="8731" width="12.44140625" style="4" customWidth="1"/>
    <col min="8732" max="8732" width="11.5546875" style="4" customWidth="1"/>
    <col min="8733" max="8733" width="11.109375" style="4" customWidth="1"/>
    <col min="8734" max="8734" width="8.6640625" style="4" customWidth="1"/>
    <col min="8735" max="8735" width="12" style="4" customWidth="1"/>
    <col min="8736" max="8737" width="8.6640625" style="4" customWidth="1"/>
    <col min="8738" max="8738" width="11.88671875" style="4" customWidth="1"/>
    <col min="8739" max="8743" width="8.6640625" style="4" customWidth="1"/>
    <col min="8744" max="8744" width="9.6640625" style="4" customWidth="1"/>
    <col min="8745" max="8755" width="8.6640625" style="4" customWidth="1"/>
    <col min="8756" max="8756" width="11.109375" style="4" customWidth="1"/>
    <col min="8757" max="8771" width="8.6640625" style="4" customWidth="1"/>
    <col min="8772" max="8784" width="11.44140625" style="4"/>
    <col min="8785" max="8785" width="13.44140625" style="4" customWidth="1"/>
    <col min="8786" max="8960" width="11.44140625" style="4"/>
    <col min="8961" max="8961" width="7.88671875" style="4" customWidth="1"/>
    <col min="8962" max="8962" width="3.33203125" style="4" customWidth="1"/>
    <col min="8963" max="8963" width="10.5546875" style="4" customWidth="1"/>
    <col min="8964" max="8964" width="13.33203125" style="4" customWidth="1"/>
    <col min="8965" max="8970" width="11.5546875" style="4" customWidth="1"/>
    <col min="8971" max="8971" width="11.109375" style="4" customWidth="1"/>
    <col min="8972" max="8985" width="11.5546875" style="4" customWidth="1"/>
    <col min="8986" max="8986" width="12.33203125" style="4" customWidth="1"/>
    <col min="8987" max="8987" width="12.44140625" style="4" customWidth="1"/>
    <col min="8988" max="8988" width="11.5546875" style="4" customWidth="1"/>
    <col min="8989" max="8989" width="11.109375" style="4" customWidth="1"/>
    <col min="8990" max="8990" width="8.6640625" style="4" customWidth="1"/>
    <col min="8991" max="8991" width="12" style="4" customWidth="1"/>
    <col min="8992" max="8993" width="8.6640625" style="4" customWidth="1"/>
    <col min="8994" max="8994" width="11.88671875" style="4" customWidth="1"/>
    <col min="8995" max="8999" width="8.6640625" style="4" customWidth="1"/>
    <col min="9000" max="9000" width="9.6640625" style="4" customWidth="1"/>
    <col min="9001" max="9011" width="8.6640625" style="4" customWidth="1"/>
    <col min="9012" max="9012" width="11.109375" style="4" customWidth="1"/>
    <col min="9013" max="9027" width="8.6640625" style="4" customWidth="1"/>
    <col min="9028" max="9040" width="11.44140625" style="4"/>
    <col min="9041" max="9041" width="13.44140625" style="4" customWidth="1"/>
    <col min="9042" max="9216" width="11.44140625" style="4"/>
    <col min="9217" max="9217" width="7.88671875" style="4" customWidth="1"/>
    <col min="9218" max="9218" width="3.33203125" style="4" customWidth="1"/>
    <col min="9219" max="9219" width="10.5546875" style="4" customWidth="1"/>
    <col min="9220" max="9220" width="13.33203125" style="4" customWidth="1"/>
    <col min="9221" max="9226" width="11.5546875" style="4" customWidth="1"/>
    <col min="9227" max="9227" width="11.109375" style="4" customWidth="1"/>
    <col min="9228" max="9241" width="11.5546875" style="4" customWidth="1"/>
    <col min="9242" max="9242" width="12.33203125" style="4" customWidth="1"/>
    <col min="9243" max="9243" width="12.44140625" style="4" customWidth="1"/>
    <col min="9244" max="9244" width="11.5546875" style="4" customWidth="1"/>
    <col min="9245" max="9245" width="11.109375" style="4" customWidth="1"/>
    <col min="9246" max="9246" width="8.6640625" style="4" customWidth="1"/>
    <col min="9247" max="9247" width="12" style="4" customWidth="1"/>
    <col min="9248" max="9249" width="8.6640625" style="4" customWidth="1"/>
    <col min="9250" max="9250" width="11.88671875" style="4" customWidth="1"/>
    <col min="9251" max="9255" width="8.6640625" style="4" customWidth="1"/>
    <col min="9256" max="9256" width="9.6640625" style="4" customWidth="1"/>
    <col min="9257" max="9267" width="8.6640625" style="4" customWidth="1"/>
    <col min="9268" max="9268" width="11.109375" style="4" customWidth="1"/>
    <col min="9269" max="9283" width="8.6640625" style="4" customWidth="1"/>
    <col min="9284" max="9296" width="11.44140625" style="4"/>
    <col min="9297" max="9297" width="13.44140625" style="4" customWidth="1"/>
    <col min="9298" max="9472" width="11.44140625" style="4"/>
    <col min="9473" max="9473" width="7.88671875" style="4" customWidth="1"/>
    <col min="9474" max="9474" width="3.33203125" style="4" customWidth="1"/>
    <col min="9475" max="9475" width="10.5546875" style="4" customWidth="1"/>
    <col min="9476" max="9476" width="13.33203125" style="4" customWidth="1"/>
    <col min="9477" max="9482" width="11.5546875" style="4" customWidth="1"/>
    <col min="9483" max="9483" width="11.109375" style="4" customWidth="1"/>
    <col min="9484" max="9497" width="11.5546875" style="4" customWidth="1"/>
    <col min="9498" max="9498" width="12.33203125" style="4" customWidth="1"/>
    <col min="9499" max="9499" width="12.44140625" style="4" customWidth="1"/>
    <col min="9500" max="9500" width="11.5546875" style="4" customWidth="1"/>
    <col min="9501" max="9501" width="11.109375" style="4" customWidth="1"/>
    <col min="9502" max="9502" width="8.6640625" style="4" customWidth="1"/>
    <col min="9503" max="9503" width="12" style="4" customWidth="1"/>
    <col min="9504" max="9505" width="8.6640625" style="4" customWidth="1"/>
    <col min="9506" max="9506" width="11.88671875" style="4" customWidth="1"/>
    <col min="9507" max="9511" width="8.6640625" style="4" customWidth="1"/>
    <col min="9512" max="9512" width="9.6640625" style="4" customWidth="1"/>
    <col min="9513" max="9523" width="8.6640625" style="4" customWidth="1"/>
    <col min="9524" max="9524" width="11.109375" style="4" customWidth="1"/>
    <col min="9525" max="9539" width="8.6640625" style="4" customWidth="1"/>
    <col min="9540" max="9552" width="11.44140625" style="4"/>
    <col min="9553" max="9553" width="13.44140625" style="4" customWidth="1"/>
    <col min="9554" max="9728" width="11.44140625" style="4"/>
    <col min="9729" max="9729" width="7.88671875" style="4" customWidth="1"/>
    <col min="9730" max="9730" width="3.33203125" style="4" customWidth="1"/>
    <col min="9731" max="9731" width="10.5546875" style="4" customWidth="1"/>
    <col min="9732" max="9732" width="13.33203125" style="4" customWidth="1"/>
    <col min="9733" max="9738" width="11.5546875" style="4" customWidth="1"/>
    <col min="9739" max="9739" width="11.109375" style="4" customWidth="1"/>
    <col min="9740" max="9753" width="11.5546875" style="4" customWidth="1"/>
    <col min="9754" max="9754" width="12.33203125" style="4" customWidth="1"/>
    <col min="9755" max="9755" width="12.44140625" style="4" customWidth="1"/>
    <col min="9756" max="9756" width="11.5546875" style="4" customWidth="1"/>
    <col min="9757" max="9757" width="11.109375" style="4" customWidth="1"/>
    <col min="9758" max="9758" width="8.6640625" style="4" customWidth="1"/>
    <col min="9759" max="9759" width="12" style="4" customWidth="1"/>
    <col min="9760" max="9761" width="8.6640625" style="4" customWidth="1"/>
    <col min="9762" max="9762" width="11.88671875" style="4" customWidth="1"/>
    <col min="9763" max="9767" width="8.6640625" style="4" customWidth="1"/>
    <col min="9768" max="9768" width="9.6640625" style="4" customWidth="1"/>
    <col min="9769" max="9779" width="8.6640625" style="4" customWidth="1"/>
    <col min="9780" max="9780" width="11.109375" style="4" customWidth="1"/>
    <col min="9781" max="9795" width="8.6640625" style="4" customWidth="1"/>
    <col min="9796" max="9808" width="11.44140625" style="4"/>
    <col min="9809" max="9809" width="13.44140625" style="4" customWidth="1"/>
    <col min="9810" max="9984" width="11.44140625" style="4"/>
    <col min="9985" max="9985" width="7.88671875" style="4" customWidth="1"/>
    <col min="9986" max="9986" width="3.33203125" style="4" customWidth="1"/>
    <col min="9987" max="9987" width="10.5546875" style="4" customWidth="1"/>
    <col min="9988" max="9988" width="13.33203125" style="4" customWidth="1"/>
    <col min="9989" max="9994" width="11.5546875" style="4" customWidth="1"/>
    <col min="9995" max="9995" width="11.109375" style="4" customWidth="1"/>
    <col min="9996" max="10009" width="11.5546875" style="4" customWidth="1"/>
    <col min="10010" max="10010" width="12.33203125" style="4" customWidth="1"/>
    <col min="10011" max="10011" width="12.44140625" style="4" customWidth="1"/>
    <col min="10012" max="10012" width="11.5546875" style="4" customWidth="1"/>
    <col min="10013" max="10013" width="11.109375" style="4" customWidth="1"/>
    <col min="10014" max="10014" width="8.6640625" style="4" customWidth="1"/>
    <col min="10015" max="10015" width="12" style="4" customWidth="1"/>
    <col min="10016" max="10017" width="8.6640625" style="4" customWidth="1"/>
    <col min="10018" max="10018" width="11.88671875" style="4" customWidth="1"/>
    <col min="10019" max="10023" width="8.6640625" style="4" customWidth="1"/>
    <col min="10024" max="10024" width="9.6640625" style="4" customWidth="1"/>
    <col min="10025" max="10035" width="8.6640625" style="4" customWidth="1"/>
    <col min="10036" max="10036" width="11.109375" style="4" customWidth="1"/>
    <col min="10037" max="10051" width="8.6640625" style="4" customWidth="1"/>
    <col min="10052" max="10064" width="11.44140625" style="4"/>
    <col min="10065" max="10065" width="13.44140625" style="4" customWidth="1"/>
    <col min="10066" max="10240" width="11.44140625" style="4"/>
    <col min="10241" max="10241" width="7.88671875" style="4" customWidth="1"/>
    <col min="10242" max="10242" width="3.33203125" style="4" customWidth="1"/>
    <col min="10243" max="10243" width="10.5546875" style="4" customWidth="1"/>
    <col min="10244" max="10244" width="13.33203125" style="4" customWidth="1"/>
    <col min="10245" max="10250" width="11.5546875" style="4" customWidth="1"/>
    <col min="10251" max="10251" width="11.109375" style="4" customWidth="1"/>
    <col min="10252" max="10265" width="11.5546875" style="4" customWidth="1"/>
    <col min="10266" max="10266" width="12.33203125" style="4" customWidth="1"/>
    <col min="10267" max="10267" width="12.44140625" style="4" customWidth="1"/>
    <col min="10268" max="10268" width="11.5546875" style="4" customWidth="1"/>
    <col min="10269" max="10269" width="11.109375" style="4" customWidth="1"/>
    <col min="10270" max="10270" width="8.6640625" style="4" customWidth="1"/>
    <col min="10271" max="10271" width="12" style="4" customWidth="1"/>
    <col min="10272" max="10273" width="8.6640625" style="4" customWidth="1"/>
    <col min="10274" max="10274" width="11.88671875" style="4" customWidth="1"/>
    <col min="10275" max="10279" width="8.6640625" style="4" customWidth="1"/>
    <col min="10280" max="10280" width="9.6640625" style="4" customWidth="1"/>
    <col min="10281" max="10291" width="8.6640625" style="4" customWidth="1"/>
    <col min="10292" max="10292" width="11.109375" style="4" customWidth="1"/>
    <col min="10293" max="10307" width="8.6640625" style="4" customWidth="1"/>
    <col min="10308" max="10320" width="11.44140625" style="4"/>
    <col min="10321" max="10321" width="13.44140625" style="4" customWidth="1"/>
    <col min="10322" max="10496" width="11.44140625" style="4"/>
    <col min="10497" max="10497" width="7.88671875" style="4" customWidth="1"/>
    <col min="10498" max="10498" width="3.33203125" style="4" customWidth="1"/>
    <col min="10499" max="10499" width="10.5546875" style="4" customWidth="1"/>
    <col min="10500" max="10500" width="13.33203125" style="4" customWidth="1"/>
    <col min="10501" max="10506" width="11.5546875" style="4" customWidth="1"/>
    <col min="10507" max="10507" width="11.109375" style="4" customWidth="1"/>
    <col min="10508" max="10521" width="11.5546875" style="4" customWidth="1"/>
    <col min="10522" max="10522" width="12.33203125" style="4" customWidth="1"/>
    <col min="10523" max="10523" width="12.44140625" style="4" customWidth="1"/>
    <col min="10524" max="10524" width="11.5546875" style="4" customWidth="1"/>
    <col min="10525" max="10525" width="11.109375" style="4" customWidth="1"/>
    <col min="10526" max="10526" width="8.6640625" style="4" customWidth="1"/>
    <col min="10527" max="10527" width="12" style="4" customWidth="1"/>
    <col min="10528" max="10529" width="8.6640625" style="4" customWidth="1"/>
    <col min="10530" max="10530" width="11.88671875" style="4" customWidth="1"/>
    <col min="10531" max="10535" width="8.6640625" style="4" customWidth="1"/>
    <col min="10536" max="10536" width="9.6640625" style="4" customWidth="1"/>
    <col min="10537" max="10547" width="8.6640625" style="4" customWidth="1"/>
    <col min="10548" max="10548" width="11.109375" style="4" customWidth="1"/>
    <col min="10549" max="10563" width="8.6640625" style="4" customWidth="1"/>
    <col min="10564" max="10576" width="11.44140625" style="4"/>
    <col min="10577" max="10577" width="13.44140625" style="4" customWidth="1"/>
    <col min="10578" max="10752" width="11.44140625" style="4"/>
    <col min="10753" max="10753" width="7.88671875" style="4" customWidth="1"/>
    <col min="10754" max="10754" width="3.33203125" style="4" customWidth="1"/>
    <col min="10755" max="10755" width="10.5546875" style="4" customWidth="1"/>
    <col min="10756" max="10756" width="13.33203125" style="4" customWidth="1"/>
    <col min="10757" max="10762" width="11.5546875" style="4" customWidth="1"/>
    <col min="10763" max="10763" width="11.109375" style="4" customWidth="1"/>
    <col min="10764" max="10777" width="11.5546875" style="4" customWidth="1"/>
    <col min="10778" max="10778" width="12.33203125" style="4" customWidth="1"/>
    <col min="10779" max="10779" width="12.44140625" style="4" customWidth="1"/>
    <col min="10780" max="10780" width="11.5546875" style="4" customWidth="1"/>
    <col min="10781" max="10781" width="11.109375" style="4" customWidth="1"/>
    <col min="10782" max="10782" width="8.6640625" style="4" customWidth="1"/>
    <col min="10783" max="10783" width="12" style="4" customWidth="1"/>
    <col min="10784" max="10785" width="8.6640625" style="4" customWidth="1"/>
    <col min="10786" max="10786" width="11.88671875" style="4" customWidth="1"/>
    <col min="10787" max="10791" width="8.6640625" style="4" customWidth="1"/>
    <col min="10792" max="10792" width="9.6640625" style="4" customWidth="1"/>
    <col min="10793" max="10803" width="8.6640625" style="4" customWidth="1"/>
    <col min="10804" max="10804" width="11.109375" style="4" customWidth="1"/>
    <col min="10805" max="10819" width="8.6640625" style="4" customWidth="1"/>
    <col min="10820" max="10832" width="11.44140625" style="4"/>
    <col min="10833" max="10833" width="13.44140625" style="4" customWidth="1"/>
    <col min="10834" max="11008" width="11.44140625" style="4"/>
    <col min="11009" max="11009" width="7.88671875" style="4" customWidth="1"/>
    <col min="11010" max="11010" width="3.33203125" style="4" customWidth="1"/>
    <col min="11011" max="11011" width="10.5546875" style="4" customWidth="1"/>
    <col min="11012" max="11012" width="13.33203125" style="4" customWidth="1"/>
    <col min="11013" max="11018" width="11.5546875" style="4" customWidth="1"/>
    <col min="11019" max="11019" width="11.109375" style="4" customWidth="1"/>
    <col min="11020" max="11033" width="11.5546875" style="4" customWidth="1"/>
    <col min="11034" max="11034" width="12.33203125" style="4" customWidth="1"/>
    <col min="11035" max="11035" width="12.44140625" style="4" customWidth="1"/>
    <col min="11036" max="11036" width="11.5546875" style="4" customWidth="1"/>
    <col min="11037" max="11037" width="11.109375" style="4" customWidth="1"/>
    <col min="11038" max="11038" width="8.6640625" style="4" customWidth="1"/>
    <col min="11039" max="11039" width="12" style="4" customWidth="1"/>
    <col min="11040" max="11041" width="8.6640625" style="4" customWidth="1"/>
    <col min="11042" max="11042" width="11.88671875" style="4" customWidth="1"/>
    <col min="11043" max="11047" width="8.6640625" style="4" customWidth="1"/>
    <col min="11048" max="11048" width="9.6640625" style="4" customWidth="1"/>
    <col min="11049" max="11059" width="8.6640625" style="4" customWidth="1"/>
    <col min="11060" max="11060" width="11.109375" style="4" customWidth="1"/>
    <col min="11061" max="11075" width="8.6640625" style="4" customWidth="1"/>
    <col min="11076" max="11088" width="11.44140625" style="4"/>
    <col min="11089" max="11089" width="13.44140625" style="4" customWidth="1"/>
    <col min="11090" max="11264" width="11.44140625" style="4"/>
    <col min="11265" max="11265" width="7.88671875" style="4" customWidth="1"/>
    <col min="11266" max="11266" width="3.33203125" style="4" customWidth="1"/>
    <col min="11267" max="11267" width="10.5546875" style="4" customWidth="1"/>
    <col min="11268" max="11268" width="13.33203125" style="4" customWidth="1"/>
    <col min="11269" max="11274" width="11.5546875" style="4" customWidth="1"/>
    <col min="11275" max="11275" width="11.109375" style="4" customWidth="1"/>
    <col min="11276" max="11289" width="11.5546875" style="4" customWidth="1"/>
    <col min="11290" max="11290" width="12.33203125" style="4" customWidth="1"/>
    <col min="11291" max="11291" width="12.44140625" style="4" customWidth="1"/>
    <col min="11292" max="11292" width="11.5546875" style="4" customWidth="1"/>
    <col min="11293" max="11293" width="11.109375" style="4" customWidth="1"/>
    <col min="11294" max="11294" width="8.6640625" style="4" customWidth="1"/>
    <col min="11295" max="11295" width="12" style="4" customWidth="1"/>
    <col min="11296" max="11297" width="8.6640625" style="4" customWidth="1"/>
    <col min="11298" max="11298" width="11.88671875" style="4" customWidth="1"/>
    <col min="11299" max="11303" width="8.6640625" style="4" customWidth="1"/>
    <col min="11304" max="11304" width="9.6640625" style="4" customWidth="1"/>
    <col min="11305" max="11315" width="8.6640625" style="4" customWidth="1"/>
    <col min="11316" max="11316" width="11.109375" style="4" customWidth="1"/>
    <col min="11317" max="11331" width="8.6640625" style="4" customWidth="1"/>
    <col min="11332" max="11344" width="11.44140625" style="4"/>
    <col min="11345" max="11345" width="13.44140625" style="4" customWidth="1"/>
    <col min="11346" max="11520" width="11.44140625" style="4"/>
    <col min="11521" max="11521" width="7.88671875" style="4" customWidth="1"/>
    <col min="11522" max="11522" width="3.33203125" style="4" customWidth="1"/>
    <col min="11523" max="11523" width="10.5546875" style="4" customWidth="1"/>
    <col min="11524" max="11524" width="13.33203125" style="4" customWidth="1"/>
    <col min="11525" max="11530" width="11.5546875" style="4" customWidth="1"/>
    <col min="11531" max="11531" width="11.109375" style="4" customWidth="1"/>
    <col min="11532" max="11545" width="11.5546875" style="4" customWidth="1"/>
    <col min="11546" max="11546" width="12.33203125" style="4" customWidth="1"/>
    <col min="11547" max="11547" width="12.44140625" style="4" customWidth="1"/>
    <col min="11548" max="11548" width="11.5546875" style="4" customWidth="1"/>
    <col min="11549" max="11549" width="11.109375" style="4" customWidth="1"/>
    <col min="11550" max="11550" width="8.6640625" style="4" customWidth="1"/>
    <col min="11551" max="11551" width="12" style="4" customWidth="1"/>
    <col min="11552" max="11553" width="8.6640625" style="4" customWidth="1"/>
    <col min="11554" max="11554" width="11.88671875" style="4" customWidth="1"/>
    <col min="11555" max="11559" width="8.6640625" style="4" customWidth="1"/>
    <col min="11560" max="11560" width="9.6640625" style="4" customWidth="1"/>
    <col min="11561" max="11571" width="8.6640625" style="4" customWidth="1"/>
    <col min="11572" max="11572" width="11.109375" style="4" customWidth="1"/>
    <col min="11573" max="11587" width="8.6640625" style="4" customWidth="1"/>
    <col min="11588" max="11600" width="11.44140625" style="4"/>
    <col min="11601" max="11601" width="13.44140625" style="4" customWidth="1"/>
    <col min="11602" max="11776" width="11.44140625" style="4"/>
    <col min="11777" max="11777" width="7.88671875" style="4" customWidth="1"/>
    <col min="11778" max="11778" width="3.33203125" style="4" customWidth="1"/>
    <col min="11779" max="11779" width="10.5546875" style="4" customWidth="1"/>
    <col min="11780" max="11780" width="13.33203125" style="4" customWidth="1"/>
    <col min="11781" max="11786" width="11.5546875" style="4" customWidth="1"/>
    <col min="11787" max="11787" width="11.109375" style="4" customWidth="1"/>
    <col min="11788" max="11801" width="11.5546875" style="4" customWidth="1"/>
    <col min="11802" max="11802" width="12.33203125" style="4" customWidth="1"/>
    <col min="11803" max="11803" width="12.44140625" style="4" customWidth="1"/>
    <col min="11804" max="11804" width="11.5546875" style="4" customWidth="1"/>
    <col min="11805" max="11805" width="11.109375" style="4" customWidth="1"/>
    <col min="11806" max="11806" width="8.6640625" style="4" customWidth="1"/>
    <col min="11807" max="11807" width="12" style="4" customWidth="1"/>
    <col min="11808" max="11809" width="8.6640625" style="4" customWidth="1"/>
    <col min="11810" max="11810" width="11.88671875" style="4" customWidth="1"/>
    <col min="11811" max="11815" width="8.6640625" style="4" customWidth="1"/>
    <col min="11816" max="11816" width="9.6640625" style="4" customWidth="1"/>
    <col min="11817" max="11827" width="8.6640625" style="4" customWidth="1"/>
    <col min="11828" max="11828" width="11.109375" style="4" customWidth="1"/>
    <col min="11829" max="11843" width="8.6640625" style="4" customWidth="1"/>
    <col min="11844" max="11856" width="11.44140625" style="4"/>
    <col min="11857" max="11857" width="13.44140625" style="4" customWidth="1"/>
    <col min="11858" max="12032" width="11.44140625" style="4"/>
    <col min="12033" max="12033" width="7.88671875" style="4" customWidth="1"/>
    <col min="12034" max="12034" width="3.33203125" style="4" customWidth="1"/>
    <col min="12035" max="12035" width="10.5546875" style="4" customWidth="1"/>
    <col min="12036" max="12036" width="13.33203125" style="4" customWidth="1"/>
    <col min="12037" max="12042" width="11.5546875" style="4" customWidth="1"/>
    <col min="12043" max="12043" width="11.109375" style="4" customWidth="1"/>
    <col min="12044" max="12057" width="11.5546875" style="4" customWidth="1"/>
    <col min="12058" max="12058" width="12.33203125" style="4" customWidth="1"/>
    <col min="12059" max="12059" width="12.44140625" style="4" customWidth="1"/>
    <col min="12060" max="12060" width="11.5546875" style="4" customWidth="1"/>
    <col min="12061" max="12061" width="11.109375" style="4" customWidth="1"/>
    <col min="12062" max="12062" width="8.6640625" style="4" customWidth="1"/>
    <col min="12063" max="12063" width="12" style="4" customWidth="1"/>
    <col min="12064" max="12065" width="8.6640625" style="4" customWidth="1"/>
    <col min="12066" max="12066" width="11.88671875" style="4" customWidth="1"/>
    <col min="12067" max="12071" width="8.6640625" style="4" customWidth="1"/>
    <col min="12072" max="12072" width="9.6640625" style="4" customWidth="1"/>
    <col min="12073" max="12083" width="8.6640625" style="4" customWidth="1"/>
    <col min="12084" max="12084" width="11.109375" style="4" customWidth="1"/>
    <col min="12085" max="12099" width="8.6640625" style="4" customWidth="1"/>
    <col min="12100" max="12112" width="11.44140625" style="4"/>
    <col min="12113" max="12113" width="13.44140625" style="4" customWidth="1"/>
    <col min="12114" max="12288" width="11.44140625" style="4"/>
    <col min="12289" max="12289" width="7.88671875" style="4" customWidth="1"/>
    <col min="12290" max="12290" width="3.33203125" style="4" customWidth="1"/>
    <col min="12291" max="12291" width="10.5546875" style="4" customWidth="1"/>
    <col min="12292" max="12292" width="13.33203125" style="4" customWidth="1"/>
    <col min="12293" max="12298" width="11.5546875" style="4" customWidth="1"/>
    <col min="12299" max="12299" width="11.109375" style="4" customWidth="1"/>
    <col min="12300" max="12313" width="11.5546875" style="4" customWidth="1"/>
    <col min="12314" max="12314" width="12.33203125" style="4" customWidth="1"/>
    <col min="12315" max="12315" width="12.44140625" style="4" customWidth="1"/>
    <col min="12316" max="12316" width="11.5546875" style="4" customWidth="1"/>
    <col min="12317" max="12317" width="11.109375" style="4" customWidth="1"/>
    <col min="12318" max="12318" width="8.6640625" style="4" customWidth="1"/>
    <col min="12319" max="12319" width="12" style="4" customWidth="1"/>
    <col min="12320" max="12321" width="8.6640625" style="4" customWidth="1"/>
    <col min="12322" max="12322" width="11.88671875" style="4" customWidth="1"/>
    <col min="12323" max="12327" width="8.6640625" style="4" customWidth="1"/>
    <col min="12328" max="12328" width="9.6640625" style="4" customWidth="1"/>
    <col min="12329" max="12339" width="8.6640625" style="4" customWidth="1"/>
    <col min="12340" max="12340" width="11.109375" style="4" customWidth="1"/>
    <col min="12341" max="12355" width="8.6640625" style="4" customWidth="1"/>
    <col min="12356" max="12368" width="11.44140625" style="4"/>
    <col min="12369" max="12369" width="13.44140625" style="4" customWidth="1"/>
    <col min="12370" max="12544" width="11.44140625" style="4"/>
    <col min="12545" max="12545" width="7.88671875" style="4" customWidth="1"/>
    <col min="12546" max="12546" width="3.33203125" style="4" customWidth="1"/>
    <col min="12547" max="12547" width="10.5546875" style="4" customWidth="1"/>
    <col min="12548" max="12548" width="13.33203125" style="4" customWidth="1"/>
    <col min="12549" max="12554" width="11.5546875" style="4" customWidth="1"/>
    <col min="12555" max="12555" width="11.109375" style="4" customWidth="1"/>
    <col min="12556" max="12569" width="11.5546875" style="4" customWidth="1"/>
    <col min="12570" max="12570" width="12.33203125" style="4" customWidth="1"/>
    <col min="12571" max="12571" width="12.44140625" style="4" customWidth="1"/>
    <col min="12572" max="12572" width="11.5546875" style="4" customWidth="1"/>
    <col min="12573" max="12573" width="11.109375" style="4" customWidth="1"/>
    <col min="12574" max="12574" width="8.6640625" style="4" customWidth="1"/>
    <col min="12575" max="12575" width="12" style="4" customWidth="1"/>
    <col min="12576" max="12577" width="8.6640625" style="4" customWidth="1"/>
    <col min="12578" max="12578" width="11.88671875" style="4" customWidth="1"/>
    <col min="12579" max="12583" width="8.6640625" style="4" customWidth="1"/>
    <col min="12584" max="12584" width="9.6640625" style="4" customWidth="1"/>
    <col min="12585" max="12595" width="8.6640625" style="4" customWidth="1"/>
    <col min="12596" max="12596" width="11.109375" style="4" customWidth="1"/>
    <col min="12597" max="12611" width="8.6640625" style="4" customWidth="1"/>
    <col min="12612" max="12624" width="11.44140625" style="4"/>
    <col min="12625" max="12625" width="13.44140625" style="4" customWidth="1"/>
    <col min="12626" max="12800" width="11.44140625" style="4"/>
    <col min="12801" max="12801" width="7.88671875" style="4" customWidth="1"/>
    <col min="12802" max="12802" width="3.33203125" style="4" customWidth="1"/>
    <col min="12803" max="12803" width="10.5546875" style="4" customWidth="1"/>
    <col min="12804" max="12804" width="13.33203125" style="4" customWidth="1"/>
    <col min="12805" max="12810" width="11.5546875" style="4" customWidth="1"/>
    <col min="12811" max="12811" width="11.109375" style="4" customWidth="1"/>
    <col min="12812" max="12825" width="11.5546875" style="4" customWidth="1"/>
    <col min="12826" max="12826" width="12.33203125" style="4" customWidth="1"/>
    <col min="12827" max="12827" width="12.44140625" style="4" customWidth="1"/>
    <col min="12828" max="12828" width="11.5546875" style="4" customWidth="1"/>
    <col min="12829" max="12829" width="11.109375" style="4" customWidth="1"/>
    <col min="12830" max="12830" width="8.6640625" style="4" customWidth="1"/>
    <col min="12831" max="12831" width="12" style="4" customWidth="1"/>
    <col min="12832" max="12833" width="8.6640625" style="4" customWidth="1"/>
    <col min="12834" max="12834" width="11.88671875" style="4" customWidth="1"/>
    <col min="12835" max="12839" width="8.6640625" style="4" customWidth="1"/>
    <col min="12840" max="12840" width="9.6640625" style="4" customWidth="1"/>
    <col min="12841" max="12851" width="8.6640625" style="4" customWidth="1"/>
    <col min="12852" max="12852" width="11.109375" style="4" customWidth="1"/>
    <col min="12853" max="12867" width="8.6640625" style="4" customWidth="1"/>
    <col min="12868" max="12880" width="11.44140625" style="4"/>
    <col min="12881" max="12881" width="13.44140625" style="4" customWidth="1"/>
    <col min="12882" max="13056" width="11.44140625" style="4"/>
    <col min="13057" max="13057" width="7.88671875" style="4" customWidth="1"/>
    <col min="13058" max="13058" width="3.33203125" style="4" customWidth="1"/>
    <col min="13059" max="13059" width="10.5546875" style="4" customWidth="1"/>
    <col min="13060" max="13060" width="13.33203125" style="4" customWidth="1"/>
    <col min="13061" max="13066" width="11.5546875" style="4" customWidth="1"/>
    <col min="13067" max="13067" width="11.109375" style="4" customWidth="1"/>
    <col min="13068" max="13081" width="11.5546875" style="4" customWidth="1"/>
    <col min="13082" max="13082" width="12.33203125" style="4" customWidth="1"/>
    <col min="13083" max="13083" width="12.44140625" style="4" customWidth="1"/>
    <col min="13084" max="13084" width="11.5546875" style="4" customWidth="1"/>
    <col min="13085" max="13085" width="11.109375" style="4" customWidth="1"/>
    <col min="13086" max="13086" width="8.6640625" style="4" customWidth="1"/>
    <col min="13087" max="13087" width="12" style="4" customWidth="1"/>
    <col min="13088" max="13089" width="8.6640625" style="4" customWidth="1"/>
    <col min="13090" max="13090" width="11.88671875" style="4" customWidth="1"/>
    <col min="13091" max="13095" width="8.6640625" style="4" customWidth="1"/>
    <col min="13096" max="13096" width="9.6640625" style="4" customWidth="1"/>
    <col min="13097" max="13107" width="8.6640625" style="4" customWidth="1"/>
    <col min="13108" max="13108" width="11.109375" style="4" customWidth="1"/>
    <col min="13109" max="13123" width="8.6640625" style="4" customWidth="1"/>
    <col min="13124" max="13136" width="11.44140625" style="4"/>
    <col min="13137" max="13137" width="13.44140625" style="4" customWidth="1"/>
    <col min="13138" max="13312" width="11.44140625" style="4"/>
    <col min="13313" max="13313" width="7.88671875" style="4" customWidth="1"/>
    <col min="13314" max="13314" width="3.33203125" style="4" customWidth="1"/>
    <col min="13315" max="13315" width="10.5546875" style="4" customWidth="1"/>
    <col min="13316" max="13316" width="13.33203125" style="4" customWidth="1"/>
    <col min="13317" max="13322" width="11.5546875" style="4" customWidth="1"/>
    <col min="13323" max="13323" width="11.109375" style="4" customWidth="1"/>
    <col min="13324" max="13337" width="11.5546875" style="4" customWidth="1"/>
    <col min="13338" max="13338" width="12.33203125" style="4" customWidth="1"/>
    <col min="13339" max="13339" width="12.44140625" style="4" customWidth="1"/>
    <col min="13340" max="13340" width="11.5546875" style="4" customWidth="1"/>
    <col min="13341" max="13341" width="11.109375" style="4" customWidth="1"/>
    <col min="13342" max="13342" width="8.6640625" style="4" customWidth="1"/>
    <col min="13343" max="13343" width="12" style="4" customWidth="1"/>
    <col min="13344" max="13345" width="8.6640625" style="4" customWidth="1"/>
    <col min="13346" max="13346" width="11.88671875" style="4" customWidth="1"/>
    <col min="13347" max="13351" width="8.6640625" style="4" customWidth="1"/>
    <col min="13352" max="13352" width="9.6640625" style="4" customWidth="1"/>
    <col min="13353" max="13363" width="8.6640625" style="4" customWidth="1"/>
    <col min="13364" max="13364" width="11.109375" style="4" customWidth="1"/>
    <col min="13365" max="13379" width="8.6640625" style="4" customWidth="1"/>
    <col min="13380" max="13392" width="11.44140625" style="4"/>
    <col min="13393" max="13393" width="13.44140625" style="4" customWidth="1"/>
    <col min="13394" max="13568" width="11.44140625" style="4"/>
    <col min="13569" max="13569" width="7.88671875" style="4" customWidth="1"/>
    <col min="13570" max="13570" width="3.33203125" style="4" customWidth="1"/>
    <col min="13571" max="13571" width="10.5546875" style="4" customWidth="1"/>
    <col min="13572" max="13572" width="13.33203125" style="4" customWidth="1"/>
    <col min="13573" max="13578" width="11.5546875" style="4" customWidth="1"/>
    <col min="13579" max="13579" width="11.109375" style="4" customWidth="1"/>
    <col min="13580" max="13593" width="11.5546875" style="4" customWidth="1"/>
    <col min="13594" max="13594" width="12.33203125" style="4" customWidth="1"/>
    <col min="13595" max="13595" width="12.44140625" style="4" customWidth="1"/>
    <col min="13596" max="13596" width="11.5546875" style="4" customWidth="1"/>
    <col min="13597" max="13597" width="11.109375" style="4" customWidth="1"/>
    <col min="13598" max="13598" width="8.6640625" style="4" customWidth="1"/>
    <col min="13599" max="13599" width="12" style="4" customWidth="1"/>
    <col min="13600" max="13601" width="8.6640625" style="4" customWidth="1"/>
    <col min="13602" max="13602" width="11.88671875" style="4" customWidth="1"/>
    <col min="13603" max="13607" width="8.6640625" style="4" customWidth="1"/>
    <col min="13608" max="13608" width="9.6640625" style="4" customWidth="1"/>
    <col min="13609" max="13619" width="8.6640625" style="4" customWidth="1"/>
    <col min="13620" max="13620" width="11.109375" style="4" customWidth="1"/>
    <col min="13621" max="13635" width="8.6640625" style="4" customWidth="1"/>
    <col min="13636" max="13648" width="11.44140625" style="4"/>
    <col min="13649" max="13649" width="13.44140625" style="4" customWidth="1"/>
    <col min="13650" max="13824" width="11.44140625" style="4"/>
    <col min="13825" max="13825" width="7.88671875" style="4" customWidth="1"/>
    <col min="13826" max="13826" width="3.33203125" style="4" customWidth="1"/>
    <col min="13827" max="13827" width="10.5546875" style="4" customWidth="1"/>
    <col min="13828" max="13828" width="13.33203125" style="4" customWidth="1"/>
    <col min="13829" max="13834" width="11.5546875" style="4" customWidth="1"/>
    <col min="13835" max="13835" width="11.109375" style="4" customWidth="1"/>
    <col min="13836" max="13849" width="11.5546875" style="4" customWidth="1"/>
    <col min="13850" max="13850" width="12.33203125" style="4" customWidth="1"/>
    <col min="13851" max="13851" width="12.44140625" style="4" customWidth="1"/>
    <col min="13852" max="13852" width="11.5546875" style="4" customWidth="1"/>
    <col min="13853" max="13853" width="11.109375" style="4" customWidth="1"/>
    <col min="13854" max="13854" width="8.6640625" style="4" customWidth="1"/>
    <col min="13855" max="13855" width="12" style="4" customWidth="1"/>
    <col min="13856" max="13857" width="8.6640625" style="4" customWidth="1"/>
    <col min="13858" max="13858" width="11.88671875" style="4" customWidth="1"/>
    <col min="13859" max="13863" width="8.6640625" style="4" customWidth="1"/>
    <col min="13864" max="13864" width="9.6640625" style="4" customWidth="1"/>
    <col min="13865" max="13875" width="8.6640625" style="4" customWidth="1"/>
    <col min="13876" max="13876" width="11.109375" style="4" customWidth="1"/>
    <col min="13877" max="13891" width="8.6640625" style="4" customWidth="1"/>
    <col min="13892" max="13904" width="11.44140625" style="4"/>
    <col min="13905" max="13905" width="13.44140625" style="4" customWidth="1"/>
    <col min="13906" max="14080" width="11.44140625" style="4"/>
    <col min="14081" max="14081" width="7.88671875" style="4" customWidth="1"/>
    <col min="14082" max="14082" width="3.33203125" style="4" customWidth="1"/>
    <col min="14083" max="14083" width="10.5546875" style="4" customWidth="1"/>
    <col min="14084" max="14084" width="13.33203125" style="4" customWidth="1"/>
    <col min="14085" max="14090" width="11.5546875" style="4" customWidth="1"/>
    <col min="14091" max="14091" width="11.109375" style="4" customWidth="1"/>
    <col min="14092" max="14105" width="11.5546875" style="4" customWidth="1"/>
    <col min="14106" max="14106" width="12.33203125" style="4" customWidth="1"/>
    <col min="14107" max="14107" width="12.44140625" style="4" customWidth="1"/>
    <col min="14108" max="14108" width="11.5546875" style="4" customWidth="1"/>
    <col min="14109" max="14109" width="11.109375" style="4" customWidth="1"/>
    <col min="14110" max="14110" width="8.6640625" style="4" customWidth="1"/>
    <col min="14111" max="14111" width="12" style="4" customWidth="1"/>
    <col min="14112" max="14113" width="8.6640625" style="4" customWidth="1"/>
    <col min="14114" max="14114" width="11.88671875" style="4" customWidth="1"/>
    <col min="14115" max="14119" width="8.6640625" style="4" customWidth="1"/>
    <col min="14120" max="14120" width="9.6640625" style="4" customWidth="1"/>
    <col min="14121" max="14131" width="8.6640625" style="4" customWidth="1"/>
    <col min="14132" max="14132" width="11.109375" style="4" customWidth="1"/>
    <col min="14133" max="14147" width="8.6640625" style="4" customWidth="1"/>
    <col min="14148" max="14160" width="11.44140625" style="4"/>
    <col min="14161" max="14161" width="13.44140625" style="4" customWidth="1"/>
    <col min="14162" max="14336" width="11.44140625" style="4"/>
    <col min="14337" max="14337" width="7.88671875" style="4" customWidth="1"/>
    <col min="14338" max="14338" width="3.33203125" style="4" customWidth="1"/>
    <col min="14339" max="14339" width="10.5546875" style="4" customWidth="1"/>
    <col min="14340" max="14340" width="13.33203125" style="4" customWidth="1"/>
    <col min="14341" max="14346" width="11.5546875" style="4" customWidth="1"/>
    <col min="14347" max="14347" width="11.109375" style="4" customWidth="1"/>
    <col min="14348" max="14361" width="11.5546875" style="4" customWidth="1"/>
    <col min="14362" max="14362" width="12.33203125" style="4" customWidth="1"/>
    <col min="14363" max="14363" width="12.44140625" style="4" customWidth="1"/>
    <col min="14364" max="14364" width="11.5546875" style="4" customWidth="1"/>
    <col min="14365" max="14365" width="11.109375" style="4" customWidth="1"/>
    <col min="14366" max="14366" width="8.6640625" style="4" customWidth="1"/>
    <col min="14367" max="14367" width="12" style="4" customWidth="1"/>
    <col min="14368" max="14369" width="8.6640625" style="4" customWidth="1"/>
    <col min="14370" max="14370" width="11.88671875" style="4" customWidth="1"/>
    <col min="14371" max="14375" width="8.6640625" style="4" customWidth="1"/>
    <col min="14376" max="14376" width="9.6640625" style="4" customWidth="1"/>
    <col min="14377" max="14387" width="8.6640625" style="4" customWidth="1"/>
    <col min="14388" max="14388" width="11.109375" style="4" customWidth="1"/>
    <col min="14389" max="14403" width="8.6640625" style="4" customWidth="1"/>
    <col min="14404" max="14416" width="11.44140625" style="4"/>
    <col min="14417" max="14417" width="13.44140625" style="4" customWidth="1"/>
    <col min="14418" max="14592" width="11.44140625" style="4"/>
    <col min="14593" max="14593" width="7.88671875" style="4" customWidth="1"/>
    <col min="14594" max="14594" width="3.33203125" style="4" customWidth="1"/>
    <col min="14595" max="14595" width="10.5546875" style="4" customWidth="1"/>
    <col min="14596" max="14596" width="13.33203125" style="4" customWidth="1"/>
    <col min="14597" max="14602" width="11.5546875" style="4" customWidth="1"/>
    <col min="14603" max="14603" width="11.109375" style="4" customWidth="1"/>
    <col min="14604" max="14617" width="11.5546875" style="4" customWidth="1"/>
    <col min="14618" max="14618" width="12.33203125" style="4" customWidth="1"/>
    <col min="14619" max="14619" width="12.44140625" style="4" customWidth="1"/>
    <col min="14620" max="14620" width="11.5546875" style="4" customWidth="1"/>
    <col min="14621" max="14621" width="11.109375" style="4" customWidth="1"/>
    <col min="14622" max="14622" width="8.6640625" style="4" customWidth="1"/>
    <col min="14623" max="14623" width="12" style="4" customWidth="1"/>
    <col min="14624" max="14625" width="8.6640625" style="4" customWidth="1"/>
    <col min="14626" max="14626" width="11.88671875" style="4" customWidth="1"/>
    <col min="14627" max="14631" width="8.6640625" style="4" customWidth="1"/>
    <col min="14632" max="14632" width="9.6640625" style="4" customWidth="1"/>
    <col min="14633" max="14643" width="8.6640625" style="4" customWidth="1"/>
    <col min="14644" max="14644" width="11.109375" style="4" customWidth="1"/>
    <col min="14645" max="14659" width="8.6640625" style="4" customWidth="1"/>
    <col min="14660" max="14672" width="11.44140625" style="4"/>
    <col min="14673" max="14673" width="13.44140625" style="4" customWidth="1"/>
    <col min="14674" max="14848" width="11.44140625" style="4"/>
    <col min="14849" max="14849" width="7.88671875" style="4" customWidth="1"/>
    <col min="14850" max="14850" width="3.33203125" style="4" customWidth="1"/>
    <col min="14851" max="14851" width="10.5546875" style="4" customWidth="1"/>
    <col min="14852" max="14852" width="13.33203125" style="4" customWidth="1"/>
    <col min="14853" max="14858" width="11.5546875" style="4" customWidth="1"/>
    <col min="14859" max="14859" width="11.109375" style="4" customWidth="1"/>
    <col min="14860" max="14873" width="11.5546875" style="4" customWidth="1"/>
    <col min="14874" max="14874" width="12.33203125" style="4" customWidth="1"/>
    <col min="14875" max="14875" width="12.44140625" style="4" customWidth="1"/>
    <col min="14876" max="14876" width="11.5546875" style="4" customWidth="1"/>
    <col min="14877" max="14877" width="11.109375" style="4" customWidth="1"/>
    <col min="14878" max="14878" width="8.6640625" style="4" customWidth="1"/>
    <col min="14879" max="14879" width="12" style="4" customWidth="1"/>
    <col min="14880" max="14881" width="8.6640625" style="4" customWidth="1"/>
    <col min="14882" max="14882" width="11.88671875" style="4" customWidth="1"/>
    <col min="14883" max="14887" width="8.6640625" style="4" customWidth="1"/>
    <col min="14888" max="14888" width="9.6640625" style="4" customWidth="1"/>
    <col min="14889" max="14899" width="8.6640625" style="4" customWidth="1"/>
    <col min="14900" max="14900" width="11.109375" style="4" customWidth="1"/>
    <col min="14901" max="14915" width="8.6640625" style="4" customWidth="1"/>
    <col min="14916" max="14928" width="11.44140625" style="4"/>
    <col min="14929" max="14929" width="13.44140625" style="4" customWidth="1"/>
    <col min="14930" max="15104" width="11.44140625" style="4"/>
    <col min="15105" max="15105" width="7.88671875" style="4" customWidth="1"/>
    <col min="15106" max="15106" width="3.33203125" style="4" customWidth="1"/>
    <col min="15107" max="15107" width="10.5546875" style="4" customWidth="1"/>
    <col min="15108" max="15108" width="13.33203125" style="4" customWidth="1"/>
    <col min="15109" max="15114" width="11.5546875" style="4" customWidth="1"/>
    <col min="15115" max="15115" width="11.109375" style="4" customWidth="1"/>
    <col min="15116" max="15129" width="11.5546875" style="4" customWidth="1"/>
    <col min="15130" max="15130" width="12.33203125" style="4" customWidth="1"/>
    <col min="15131" max="15131" width="12.44140625" style="4" customWidth="1"/>
    <col min="15132" max="15132" width="11.5546875" style="4" customWidth="1"/>
    <col min="15133" max="15133" width="11.109375" style="4" customWidth="1"/>
    <col min="15134" max="15134" width="8.6640625" style="4" customWidth="1"/>
    <col min="15135" max="15135" width="12" style="4" customWidth="1"/>
    <col min="15136" max="15137" width="8.6640625" style="4" customWidth="1"/>
    <col min="15138" max="15138" width="11.88671875" style="4" customWidth="1"/>
    <col min="15139" max="15143" width="8.6640625" style="4" customWidth="1"/>
    <col min="15144" max="15144" width="9.6640625" style="4" customWidth="1"/>
    <col min="15145" max="15155" width="8.6640625" style="4" customWidth="1"/>
    <col min="15156" max="15156" width="11.109375" style="4" customWidth="1"/>
    <col min="15157" max="15171" width="8.6640625" style="4" customWidth="1"/>
    <col min="15172" max="15184" width="11.44140625" style="4"/>
    <col min="15185" max="15185" width="13.44140625" style="4" customWidth="1"/>
    <col min="15186" max="15360" width="11.44140625" style="4"/>
    <col min="15361" max="15361" width="7.88671875" style="4" customWidth="1"/>
    <col min="15362" max="15362" width="3.33203125" style="4" customWidth="1"/>
    <col min="15363" max="15363" width="10.5546875" style="4" customWidth="1"/>
    <col min="15364" max="15364" width="13.33203125" style="4" customWidth="1"/>
    <col min="15365" max="15370" width="11.5546875" style="4" customWidth="1"/>
    <col min="15371" max="15371" width="11.109375" style="4" customWidth="1"/>
    <col min="15372" max="15385" width="11.5546875" style="4" customWidth="1"/>
    <col min="15386" max="15386" width="12.33203125" style="4" customWidth="1"/>
    <col min="15387" max="15387" width="12.44140625" style="4" customWidth="1"/>
    <col min="15388" max="15388" width="11.5546875" style="4" customWidth="1"/>
    <col min="15389" max="15389" width="11.109375" style="4" customWidth="1"/>
    <col min="15390" max="15390" width="8.6640625" style="4" customWidth="1"/>
    <col min="15391" max="15391" width="12" style="4" customWidth="1"/>
    <col min="15392" max="15393" width="8.6640625" style="4" customWidth="1"/>
    <col min="15394" max="15394" width="11.88671875" style="4" customWidth="1"/>
    <col min="15395" max="15399" width="8.6640625" style="4" customWidth="1"/>
    <col min="15400" max="15400" width="9.6640625" style="4" customWidth="1"/>
    <col min="15401" max="15411" width="8.6640625" style="4" customWidth="1"/>
    <col min="15412" max="15412" width="11.109375" style="4" customWidth="1"/>
    <col min="15413" max="15427" width="8.6640625" style="4" customWidth="1"/>
    <col min="15428" max="15440" width="11.44140625" style="4"/>
    <col min="15441" max="15441" width="13.44140625" style="4" customWidth="1"/>
    <col min="15442" max="15616" width="11.44140625" style="4"/>
    <col min="15617" max="15617" width="7.88671875" style="4" customWidth="1"/>
    <col min="15618" max="15618" width="3.33203125" style="4" customWidth="1"/>
    <col min="15619" max="15619" width="10.5546875" style="4" customWidth="1"/>
    <col min="15620" max="15620" width="13.33203125" style="4" customWidth="1"/>
    <col min="15621" max="15626" width="11.5546875" style="4" customWidth="1"/>
    <col min="15627" max="15627" width="11.109375" style="4" customWidth="1"/>
    <col min="15628" max="15641" width="11.5546875" style="4" customWidth="1"/>
    <col min="15642" max="15642" width="12.33203125" style="4" customWidth="1"/>
    <col min="15643" max="15643" width="12.44140625" style="4" customWidth="1"/>
    <col min="15644" max="15644" width="11.5546875" style="4" customWidth="1"/>
    <col min="15645" max="15645" width="11.109375" style="4" customWidth="1"/>
    <col min="15646" max="15646" width="8.6640625" style="4" customWidth="1"/>
    <col min="15647" max="15647" width="12" style="4" customWidth="1"/>
    <col min="15648" max="15649" width="8.6640625" style="4" customWidth="1"/>
    <col min="15650" max="15650" width="11.88671875" style="4" customWidth="1"/>
    <col min="15651" max="15655" width="8.6640625" style="4" customWidth="1"/>
    <col min="15656" max="15656" width="9.6640625" style="4" customWidth="1"/>
    <col min="15657" max="15667" width="8.6640625" style="4" customWidth="1"/>
    <col min="15668" max="15668" width="11.109375" style="4" customWidth="1"/>
    <col min="15669" max="15683" width="8.6640625" style="4" customWidth="1"/>
    <col min="15684" max="15696" width="11.44140625" style="4"/>
    <col min="15697" max="15697" width="13.44140625" style="4" customWidth="1"/>
    <col min="15698" max="15872" width="11.44140625" style="4"/>
    <col min="15873" max="15873" width="7.88671875" style="4" customWidth="1"/>
    <col min="15874" max="15874" width="3.33203125" style="4" customWidth="1"/>
    <col min="15875" max="15875" width="10.5546875" style="4" customWidth="1"/>
    <col min="15876" max="15876" width="13.33203125" style="4" customWidth="1"/>
    <col min="15877" max="15882" width="11.5546875" style="4" customWidth="1"/>
    <col min="15883" max="15883" width="11.109375" style="4" customWidth="1"/>
    <col min="15884" max="15897" width="11.5546875" style="4" customWidth="1"/>
    <col min="15898" max="15898" width="12.33203125" style="4" customWidth="1"/>
    <col min="15899" max="15899" width="12.44140625" style="4" customWidth="1"/>
    <col min="15900" max="15900" width="11.5546875" style="4" customWidth="1"/>
    <col min="15901" max="15901" width="11.109375" style="4" customWidth="1"/>
    <col min="15902" max="15902" width="8.6640625" style="4" customWidth="1"/>
    <col min="15903" max="15903" width="12" style="4" customWidth="1"/>
    <col min="15904" max="15905" width="8.6640625" style="4" customWidth="1"/>
    <col min="15906" max="15906" width="11.88671875" style="4" customWidth="1"/>
    <col min="15907" max="15911" width="8.6640625" style="4" customWidth="1"/>
    <col min="15912" max="15912" width="9.6640625" style="4" customWidth="1"/>
    <col min="15913" max="15923" width="8.6640625" style="4" customWidth="1"/>
    <col min="15924" max="15924" width="11.109375" style="4" customWidth="1"/>
    <col min="15925" max="15939" width="8.6640625" style="4" customWidth="1"/>
    <col min="15940" max="15952" width="11.44140625" style="4"/>
    <col min="15953" max="15953" width="13.44140625" style="4" customWidth="1"/>
    <col min="15954" max="16128" width="11.44140625" style="4"/>
    <col min="16129" max="16129" width="7.88671875" style="4" customWidth="1"/>
    <col min="16130" max="16130" width="3.33203125" style="4" customWidth="1"/>
    <col min="16131" max="16131" width="10.5546875" style="4" customWidth="1"/>
    <col min="16132" max="16132" width="13.33203125" style="4" customWidth="1"/>
    <col min="16133" max="16138" width="11.5546875" style="4" customWidth="1"/>
    <col min="16139" max="16139" width="11.109375" style="4" customWidth="1"/>
    <col min="16140" max="16153" width="11.5546875" style="4" customWidth="1"/>
    <col min="16154" max="16154" width="12.33203125" style="4" customWidth="1"/>
    <col min="16155" max="16155" width="12.44140625" style="4" customWidth="1"/>
    <col min="16156" max="16156" width="11.5546875" style="4" customWidth="1"/>
    <col min="16157" max="16157" width="11.109375" style="4" customWidth="1"/>
    <col min="16158" max="16158" width="8.6640625" style="4" customWidth="1"/>
    <col min="16159" max="16159" width="12" style="4" customWidth="1"/>
    <col min="16160" max="16161" width="8.6640625" style="4" customWidth="1"/>
    <col min="16162" max="16162" width="11.88671875" style="4" customWidth="1"/>
    <col min="16163" max="16167" width="8.6640625" style="4" customWidth="1"/>
    <col min="16168" max="16168" width="9.6640625" style="4" customWidth="1"/>
    <col min="16169" max="16179" width="8.6640625" style="4" customWidth="1"/>
    <col min="16180" max="16180" width="11.109375" style="4" customWidth="1"/>
    <col min="16181" max="16195" width="8.6640625" style="4" customWidth="1"/>
    <col min="16196" max="16208" width="11.44140625" style="4"/>
    <col min="16209" max="16209" width="13.44140625" style="4" customWidth="1"/>
    <col min="16210" max="16384" width="11.44140625" style="4"/>
  </cols>
  <sheetData>
    <row r="1" spans="1:83" x14ac:dyDescent="0.25">
      <c r="A1" s="3"/>
      <c r="B1" s="3"/>
      <c r="C1" s="3"/>
      <c r="D1" s="3"/>
      <c r="E1" s="3"/>
      <c r="F1" s="3"/>
      <c r="G1" s="3"/>
      <c r="H1" s="3"/>
      <c r="I1" s="3"/>
      <c r="J1" s="3"/>
      <c r="K1" s="3"/>
      <c r="L1" s="3"/>
      <c r="M1" s="4"/>
      <c r="N1" s="4"/>
      <c r="O1" s="4"/>
      <c r="P1" s="4"/>
      <c r="Q1" s="4"/>
      <c r="R1" s="4"/>
      <c r="S1" s="4"/>
      <c r="T1" s="4"/>
      <c r="U1" s="4"/>
      <c r="V1" s="4"/>
      <c r="W1" s="4"/>
      <c r="X1" s="4"/>
      <c r="Y1" s="4"/>
      <c r="AC1" s="7"/>
      <c r="AD1" s="7"/>
      <c r="AE1" s="7"/>
      <c r="AF1" s="7"/>
      <c r="AG1" s="7"/>
      <c r="AH1" s="7"/>
      <c r="AI1" s="8"/>
      <c r="AJ1" s="8"/>
      <c r="AK1" s="8"/>
      <c r="AL1" s="7"/>
      <c r="AM1" s="7"/>
      <c r="AN1" s="7"/>
      <c r="AO1" s="7"/>
      <c r="AP1" s="7"/>
      <c r="AQ1" s="7"/>
      <c r="AR1" s="7"/>
      <c r="AS1" s="7"/>
      <c r="AT1" s="7"/>
      <c r="AU1" s="7"/>
      <c r="AV1" s="7"/>
      <c r="AW1" s="7"/>
      <c r="AX1" s="7"/>
      <c r="AY1" s="7"/>
      <c r="AZ1" s="7"/>
      <c r="BA1" s="7"/>
      <c r="BB1" s="7"/>
      <c r="BC1" s="7"/>
      <c r="BD1" s="7"/>
      <c r="BE1" s="7"/>
      <c r="BF1" s="7"/>
      <c r="BG1" s="9"/>
      <c r="BH1" s="8" t="s">
        <v>100</v>
      </c>
      <c r="BI1" s="8"/>
      <c r="BJ1" s="8"/>
      <c r="BK1" s="8"/>
      <c r="BL1" s="8"/>
      <c r="BM1" s="10" t="s">
        <v>101</v>
      </c>
      <c r="BQ1" s="10" t="s">
        <v>102</v>
      </c>
      <c r="BW1" s="10" t="s">
        <v>103</v>
      </c>
    </row>
    <row r="2" spans="1:83" ht="13.8" thickBot="1" x14ac:dyDescent="0.3">
      <c r="A2" s="3"/>
      <c r="B2" s="3"/>
      <c r="C2" s="3"/>
      <c r="D2" s="3"/>
      <c r="E2" s="3"/>
      <c r="F2" s="3"/>
      <c r="G2" s="3"/>
      <c r="H2" s="3"/>
      <c r="I2" s="3"/>
      <c r="J2" s="3"/>
      <c r="K2" s="3"/>
      <c r="L2" s="3"/>
      <c r="M2" s="4"/>
      <c r="N2" s="4"/>
      <c r="O2" s="4"/>
      <c r="P2" s="4"/>
      <c r="Q2" s="4"/>
      <c r="R2" s="4"/>
      <c r="S2" s="4"/>
      <c r="T2" s="4"/>
      <c r="U2" s="4"/>
      <c r="V2" s="4"/>
      <c r="W2" s="4"/>
      <c r="X2" s="4"/>
      <c r="Y2" s="4"/>
      <c r="AC2" s="7"/>
      <c r="AD2" s="7"/>
      <c r="AE2" s="7"/>
      <c r="AF2" s="7"/>
      <c r="AG2" s="7"/>
      <c r="AH2" s="7"/>
      <c r="AI2" s="8"/>
      <c r="AJ2" s="8"/>
      <c r="AK2" s="8"/>
      <c r="AL2" s="7"/>
      <c r="AM2" s="7"/>
      <c r="AN2" s="7"/>
      <c r="AO2" s="7"/>
      <c r="AP2" s="7"/>
      <c r="AQ2" s="7"/>
      <c r="AR2" s="7"/>
      <c r="AS2" s="7"/>
      <c r="AT2" s="7"/>
      <c r="AU2" s="7"/>
      <c r="AV2" s="7"/>
      <c r="AW2" s="7"/>
      <c r="AX2" s="7"/>
      <c r="AY2" s="7"/>
      <c r="AZ2" s="7"/>
      <c r="BA2" s="7"/>
      <c r="BB2" s="7"/>
      <c r="BC2" s="7"/>
      <c r="BD2" s="7"/>
      <c r="BE2" s="7"/>
      <c r="BF2" s="11"/>
      <c r="BG2" s="9"/>
      <c r="BH2" s="8"/>
      <c r="BI2" s="8"/>
      <c r="BJ2" s="8"/>
      <c r="BK2" s="8"/>
      <c r="BL2" s="8"/>
      <c r="CB2" s="11"/>
    </row>
    <row r="3" spans="1:83" x14ac:dyDescent="0.25">
      <c r="A3" s="3"/>
      <c r="B3" s="3"/>
      <c r="C3" s="12"/>
      <c r="D3" s="13"/>
      <c r="E3" s="13"/>
      <c r="F3" s="13"/>
      <c r="G3" s="13"/>
      <c r="H3" s="13"/>
      <c r="I3" s="13"/>
      <c r="J3" s="13"/>
      <c r="K3" s="14"/>
      <c r="L3" s="3"/>
      <c r="M3" s="4"/>
      <c r="N3" s="4"/>
      <c r="O3" s="4"/>
      <c r="P3" s="4"/>
      <c r="Q3" s="4"/>
      <c r="R3" s="4"/>
      <c r="S3" s="4"/>
      <c r="T3" s="4"/>
      <c r="U3" s="4"/>
      <c r="V3" s="4"/>
      <c r="W3" s="4"/>
      <c r="X3" s="4"/>
      <c r="Y3" s="4"/>
      <c r="AB3" s="15"/>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H3" s="18" t="s">
        <v>104</v>
      </c>
      <c r="BI3" s="18" t="s">
        <v>105</v>
      </c>
      <c r="BJ3" s="18" t="s">
        <v>106</v>
      </c>
      <c r="BK3" s="18" t="s">
        <v>107</v>
      </c>
      <c r="BL3" s="18" t="s">
        <v>108</v>
      </c>
      <c r="BM3" s="19" t="s">
        <v>104</v>
      </c>
      <c r="BN3" s="19" t="s">
        <v>105</v>
      </c>
      <c r="BO3" s="19" t="s">
        <v>106</v>
      </c>
      <c r="BP3" s="19" t="s">
        <v>107</v>
      </c>
      <c r="BQ3" s="18" t="s">
        <v>104</v>
      </c>
      <c r="BR3" s="18" t="s">
        <v>105</v>
      </c>
      <c r="BS3" s="18" t="s">
        <v>106</v>
      </c>
      <c r="BT3" s="18" t="s">
        <v>107</v>
      </c>
      <c r="BU3" s="18" t="s">
        <v>109</v>
      </c>
      <c r="BV3" s="18" t="s">
        <v>108</v>
      </c>
      <c r="BW3" s="18" t="s">
        <v>104</v>
      </c>
      <c r="BX3" s="18" t="s">
        <v>105</v>
      </c>
      <c r="BY3" s="18" t="s">
        <v>107</v>
      </c>
      <c r="BZ3" s="18" t="s">
        <v>110</v>
      </c>
      <c r="CA3" s="20" t="s">
        <v>111</v>
      </c>
      <c r="CE3" s="3"/>
    </row>
    <row r="4" spans="1:83" x14ac:dyDescent="0.25">
      <c r="A4" s="3"/>
      <c r="B4" s="3"/>
      <c r="C4" s="21"/>
      <c r="D4" s="3"/>
      <c r="E4" s="3"/>
      <c r="F4" s="3"/>
      <c r="G4" s="3"/>
      <c r="H4" s="3"/>
      <c r="I4" s="3"/>
      <c r="J4" s="3"/>
      <c r="K4" s="22"/>
      <c r="L4" s="3"/>
      <c r="M4" s="4"/>
      <c r="N4" s="4"/>
      <c r="O4" s="4"/>
      <c r="P4" s="4"/>
      <c r="Q4" s="4"/>
      <c r="R4" s="4"/>
      <c r="S4" s="4"/>
      <c r="T4" s="4"/>
      <c r="U4" s="4"/>
      <c r="V4" s="4"/>
      <c r="W4" s="4"/>
      <c r="X4" s="4"/>
      <c r="Y4" s="4"/>
      <c r="AB4" s="15"/>
      <c r="AC4" s="16"/>
      <c r="AD4" s="23"/>
      <c r="AE4" s="16"/>
      <c r="AF4" s="16"/>
      <c r="AG4" s="16"/>
      <c r="AH4" s="16"/>
      <c r="AI4" s="16"/>
      <c r="AJ4" s="16"/>
      <c r="AK4" s="23"/>
      <c r="AL4" s="16"/>
      <c r="AM4" s="16"/>
      <c r="AN4" s="16"/>
      <c r="AO4" s="16"/>
      <c r="AP4" s="16"/>
      <c r="AQ4" s="15"/>
      <c r="AR4" s="23"/>
      <c r="AS4" s="16"/>
      <c r="AT4" s="16"/>
      <c r="AU4" s="16"/>
      <c r="AV4" s="16"/>
      <c r="AW4" s="16"/>
      <c r="AX4" s="16"/>
      <c r="AY4" s="23"/>
      <c r="AZ4" s="16"/>
      <c r="BA4" s="16"/>
      <c r="BB4" s="16"/>
      <c r="BC4" s="16"/>
      <c r="BD4" s="16"/>
      <c r="BE4" s="16"/>
      <c r="BG4" s="17">
        <v>1</v>
      </c>
      <c r="BH4" s="18">
        <f t="shared" ref="BH4:BH13" si="0">IF(BI4="","",IF(BI4="FM",D84*2))</f>
        <v>0</v>
      </c>
      <c r="BI4" s="18" t="str">
        <f t="shared" ref="BI4:BI13" si="1">IF(D84="","","FM")</f>
        <v>FM</v>
      </c>
      <c r="BJ4" s="18">
        <f t="shared" ref="BJ4:BJ13" si="2">IF(BI4="","",IF(BI4="FM",AC84/2))</f>
        <v>30</v>
      </c>
      <c r="BK4" s="24">
        <f t="shared" ref="BK4:BK13" si="3">IF(BI4="","",IF(BI4="FM",AE84))</f>
        <v>-10</v>
      </c>
      <c r="BL4" s="25"/>
      <c r="BM4" s="26" t="str">
        <f>IF(BO4="","",1)</f>
        <v/>
      </c>
      <c r="BN4" s="19" t="str">
        <f>IF(BO4="","","CL")</f>
        <v/>
      </c>
      <c r="BO4" s="19" t="str">
        <f t="shared" ref="BO4:BO23" si="4">IF(AW266=0,"",AW266)</f>
        <v/>
      </c>
      <c r="BP4" s="19" t="str">
        <f>IF(BO4="","",J358)</f>
        <v/>
      </c>
      <c r="BQ4" s="18">
        <f t="shared" ref="BQ4:BQ13" si="5">IF(AB84="","",IF(AB84&lt;=90,1*D84,IF(AB84&lt;=180,2*D84,IF(AB84&lt;=270,3*D84,IF(AB84&lt;=360,4*D84)))))</f>
        <v>0</v>
      </c>
      <c r="BR4" s="18" t="str">
        <f t="shared" ref="BR4:BR13" si="6">IF(I84="","",IF(I84="VAS","CP",IF(I84="VA","CP",IF(I84="VRA","CPA",IF(I84="VR","CPA")))))</f>
        <v>CP</v>
      </c>
      <c r="BS4" s="27">
        <f t="shared" ref="BS4:BS13" si="7">IF(AB84="","",IF(AB84&lt;=90,AB84,IF(AB84&lt;=180,AB84/2,IF(AB84&lt;=270,AB84/3,IF(AB84&lt;=360,AB84/4)))))</f>
        <v>60</v>
      </c>
      <c r="BT4" s="27">
        <f t="shared" ref="BT4:BT13" si="8">IF(AD84="","",(AD84-AE84))</f>
        <v>10</v>
      </c>
      <c r="BU4" s="28"/>
      <c r="BV4" s="18" t="str">
        <f t="shared" ref="BV4:BV13" si="9">IF(I84="","",IF(I84="VAS","",IF(I84="VA","",IF(I84="VRA",10.4,IF(I84="VR",10.4)))))</f>
        <v/>
      </c>
      <c r="BW4" s="18">
        <f t="shared" ref="BW4:BW13" si="10">IF(AB84="","",IF(AB84&lt;=90,1*D84,IF(AB84&lt;=180,2*D84,IF(AB84&lt;=270,3*D84,IF(AB84&lt;=360,4*D84)))))</f>
        <v>0</v>
      </c>
      <c r="BX4" s="18" t="str">
        <f t="shared" ref="BX4:BX13" si="11">IF(AF84="","","EQL")</f>
        <v>EQL</v>
      </c>
      <c r="BY4" s="18">
        <f t="shared" ref="BY4:BY13" si="12">IF(AF84=0,"",AF84)</f>
        <v>10</v>
      </c>
      <c r="BZ4" s="18">
        <f t="shared" ref="BZ4:BZ13" si="13">IF(BX4="","",IF(AB84&lt;=90,AB84,IF(AB84&lt;=180,AB84/2,IF(AB84&lt;=270,AB84/3,IF(AB84&lt;=360,AB84/4)))))</f>
        <v>60</v>
      </c>
      <c r="CA4" s="25"/>
      <c r="CB4" s="4">
        <f>IF(ISERROR(BH4*BJ4*BK4),0,BH4*BJ4*BK4)</f>
        <v>0</v>
      </c>
      <c r="CC4" s="4">
        <f>IF(ISERROR(BQ4*BS4*BT4),0,BQ4*BS4*BT4)</f>
        <v>0</v>
      </c>
      <c r="CD4" s="4">
        <f>IF(ISERROR(BW4*BY4*BZ4),0,BW4*BY4*BZ4)</f>
        <v>0</v>
      </c>
      <c r="CE4" s="29"/>
    </row>
    <row r="5" spans="1:83" x14ac:dyDescent="0.25">
      <c r="A5" s="3"/>
      <c r="B5" s="3"/>
      <c r="C5" s="21"/>
      <c r="D5" s="3"/>
      <c r="E5" s="3"/>
      <c r="F5" s="3"/>
      <c r="G5" s="3"/>
      <c r="H5" s="3"/>
      <c r="I5" s="3"/>
      <c r="J5" s="3"/>
      <c r="K5" s="22"/>
      <c r="L5" s="3"/>
      <c r="M5" s="4"/>
      <c r="N5" s="4"/>
      <c r="O5" s="4"/>
      <c r="P5" s="4"/>
      <c r="Q5" s="4"/>
      <c r="R5" s="4"/>
      <c r="S5" s="4"/>
      <c r="T5" s="4"/>
      <c r="U5" s="4"/>
      <c r="V5" s="4"/>
      <c r="W5" s="4"/>
      <c r="X5" s="4"/>
      <c r="Y5" s="4"/>
      <c r="AB5" s="15"/>
      <c r="AC5" s="16"/>
      <c r="AD5" s="16"/>
      <c r="AE5" s="16"/>
      <c r="AF5" s="16"/>
      <c r="AG5" s="16"/>
      <c r="AH5" s="16"/>
      <c r="AI5" s="16"/>
      <c r="AJ5" s="16"/>
      <c r="AK5" s="16"/>
      <c r="AL5" s="16"/>
      <c r="AM5" s="16"/>
      <c r="AN5" s="16"/>
      <c r="AO5" s="16"/>
      <c r="AP5" s="16"/>
      <c r="AQ5" s="15"/>
      <c r="AR5" s="16"/>
      <c r="AS5" s="16"/>
      <c r="AT5" s="16"/>
      <c r="AU5" s="16"/>
      <c r="AV5" s="16"/>
      <c r="AW5" s="16"/>
      <c r="AX5" s="16"/>
      <c r="AY5" s="16"/>
      <c r="AZ5" s="16"/>
      <c r="BA5" s="16"/>
      <c r="BB5" s="16"/>
      <c r="BC5" s="16"/>
      <c r="BD5" s="16"/>
      <c r="BE5" s="16"/>
      <c r="BG5" s="17">
        <v>2</v>
      </c>
      <c r="BH5" s="18">
        <f t="shared" si="0"/>
        <v>0</v>
      </c>
      <c r="BI5" s="18" t="str">
        <f t="shared" si="1"/>
        <v>FM</v>
      </c>
      <c r="BJ5" s="18">
        <f t="shared" si="2"/>
        <v>30</v>
      </c>
      <c r="BK5" s="24">
        <f t="shared" si="3"/>
        <v>-10</v>
      </c>
      <c r="BL5" s="25"/>
      <c r="BM5" s="26" t="str">
        <f t="shared" ref="BM5:BM23" si="14">IF(BO5="","",1)</f>
        <v/>
      </c>
      <c r="BN5" s="19" t="str">
        <f t="shared" ref="BN5:BN23" si="15">IF(BO5="","","CL")</f>
        <v/>
      </c>
      <c r="BO5" s="19" t="str">
        <f t="shared" si="4"/>
        <v/>
      </c>
      <c r="BP5" s="19" t="str">
        <f>IF(BO5="","",J358)</f>
        <v/>
      </c>
      <c r="BQ5" s="18">
        <f t="shared" si="5"/>
        <v>0</v>
      </c>
      <c r="BR5" s="18" t="str">
        <f t="shared" si="6"/>
        <v>CP</v>
      </c>
      <c r="BS5" s="27">
        <f t="shared" si="7"/>
        <v>60</v>
      </c>
      <c r="BT5" s="27">
        <f t="shared" si="8"/>
        <v>10</v>
      </c>
      <c r="BU5" s="28"/>
      <c r="BV5" s="18" t="str">
        <f t="shared" si="9"/>
        <v/>
      </c>
      <c r="BW5" s="18">
        <f t="shared" si="10"/>
        <v>0</v>
      </c>
      <c r="BX5" s="18" t="str">
        <f t="shared" si="11"/>
        <v>EQL</v>
      </c>
      <c r="BY5" s="18">
        <f t="shared" si="12"/>
        <v>10</v>
      </c>
      <c r="BZ5" s="18">
        <f t="shared" si="13"/>
        <v>60</v>
      </c>
      <c r="CA5" s="25"/>
      <c r="CB5" s="4">
        <f t="shared" ref="CB5:CB68" si="16">IF(ISERROR(BH5*BJ5*BK5),0,BH5*BJ5*BK5)</f>
        <v>0</v>
      </c>
      <c r="CC5" s="4">
        <f t="shared" ref="CC5:CC13" si="17">IF(ISERROR(BQ5*BS5*BT5),0,BQ5*BS5*BT5)</f>
        <v>0</v>
      </c>
      <c r="CD5" s="4">
        <f t="shared" ref="CD5:CD23" si="18">IF(ISERROR(BW5*BY5*BZ5),0,BW5*BY5*BZ5)</f>
        <v>0</v>
      </c>
      <c r="CE5" s="29"/>
    </row>
    <row r="6" spans="1:83" x14ac:dyDescent="0.25">
      <c r="A6" s="3"/>
      <c r="B6" s="3"/>
      <c r="C6" s="21"/>
      <c r="D6" s="3"/>
      <c r="E6" s="3"/>
      <c r="F6" s="3"/>
      <c r="G6" s="3"/>
      <c r="H6" s="3"/>
      <c r="I6" s="3"/>
      <c r="J6" s="3"/>
      <c r="K6" s="22"/>
      <c r="L6" s="3"/>
      <c r="M6" s="4"/>
      <c r="N6" s="4"/>
      <c r="O6" s="4"/>
      <c r="P6" s="4"/>
      <c r="Q6" s="4"/>
      <c r="R6" s="4"/>
      <c r="S6" s="4"/>
      <c r="T6" s="4"/>
      <c r="U6" s="4"/>
      <c r="V6" s="4"/>
      <c r="W6" s="4"/>
      <c r="X6" s="4"/>
      <c r="Y6" s="4"/>
      <c r="AB6" s="15"/>
      <c r="AC6" s="16"/>
      <c r="AD6" s="30"/>
      <c r="AE6" s="31"/>
      <c r="AF6" s="30"/>
      <c r="AG6" s="30"/>
      <c r="AH6" s="30"/>
      <c r="AI6" s="30"/>
      <c r="AJ6" s="30"/>
      <c r="AK6" s="16"/>
      <c r="AL6" s="30"/>
      <c r="AM6" s="31"/>
      <c r="AN6" s="30"/>
      <c r="AO6" s="30"/>
      <c r="AP6" s="30"/>
      <c r="AQ6" s="15"/>
      <c r="AR6" s="16"/>
      <c r="AS6" s="30"/>
      <c r="AT6" s="31"/>
      <c r="AU6" s="30"/>
      <c r="AV6" s="30"/>
      <c r="AW6" s="30"/>
      <c r="AX6" s="30"/>
      <c r="AY6" s="16"/>
      <c r="AZ6" s="30"/>
      <c r="BA6" s="31"/>
      <c r="BB6" s="30"/>
      <c r="BC6" s="30"/>
      <c r="BD6" s="30"/>
      <c r="BE6" s="30"/>
      <c r="BG6" s="17">
        <v>3</v>
      </c>
      <c r="BH6" s="18">
        <f t="shared" si="0"/>
        <v>0</v>
      </c>
      <c r="BI6" s="18" t="str">
        <f t="shared" si="1"/>
        <v>FM</v>
      </c>
      <c r="BJ6" s="18">
        <f t="shared" si="2"/>
        <v>30</v>
      </c>
      <c r="BK6" s="24">
        <f t="shared" si="3"/>
        <v>-10</v>
      </c>
      <c r="BL6" s="25"/>
      <c r="BM6" s="26" t="str">
        <f t="shared" si="14"/>
        <v/>
      </c>
      <c r="BN6" s="19" t="str">
        <f t="shared" si="15"/>
        <v/>
      </c>
      <c r="BO6" s="19" t="str">
        <f t="shared" si="4"/>
        <v/>
      </c>
      <c r="BP6" s="19" t="str">
        <f>IF(BO6="","",J358)</f>
        <v/>
      </c>
      <c r="BQ6" s="18">
        <f t="shared" si="5"/>
        <v>0</v>
      </c>
      <c r="BR6" s="18" t="str">
        <f t="shared" si="6"/>
        <v>CP</v>
      </c>
      <c r="BS6" s="27">
        <f t="shared" si="7"/>
        <v>60</v>
      </c>
      <c r="BT6" s="27">
        <f t="shared" si="8"/>
        <v>10</v>
      </c>
      <c r="BU6" s="28"/>
      <c r="BV6" s="18" t="str">
        <f t="shared" si="9"/>
        <v/>
      </c>
      <c r="BW6" s="18">
        <f t="shared" si="10"/>
        <v>0</v>
      </c>
      <c r="BX6" s="18" t="str">
        <f t="shared" si="11"/>
        <v>EQL</v>
      </c>
      <c r="BY6" s="18">
        <f t="shared" si="12"/>
        <v>10</v>
      </c>
      <c r="BZ6" s="18">
        <f t="shared" si="13"/>
        <v>60</v>
      </c>
      <c r="CA6" s="25"/>
      <c r="CB6" s="4">
        <f t="shared" si="16"/>
        <v>0</v>
      </c>
      <c r="CC6" s="4">
        <f t="shared" si="17"/>
        <v>0</v>
      </c>
      <c r="CD6" s="4">
        <f t="shared" si="18"/>
        <v>0</v>
      </c>
      <c r="CE6" s="29"/>
    </row>
    <row r="7" spans="1:83" x14ac:dyDescent="0.25">
      <c r="A7" s="3"/>
      <c r="B7" s="3"/>
      <c r="C7" s="21"/>
      <c r="D7" s="3"/>
      <c r="E7" s="3"/>
      <c r="F7" s="3"/>
      <c r="G7" s="3"/>
      <c r="H7" s="3"/>
      <c r="I7" s="3"/>
      <c r="J7" s="3"/>
      <c r="K7" s="22"/>
      <c r="L7" s="3"/>
      <c r="M7" s="4"/>
      <c r="N7" s="4"/>
      <c r="O7" s="4"/>
      <c r="P7" s="4"/>
      <c r="Q7" s="4"/>
      <c r="R7" s="4"/>
      <c r="S7" s="4"/>
      <c r="T7" s="4"/>
      <c r="U7" s="4"/>
      <c r="V7" s="4"/>
      <c r="W7" s="4"/>
      <c r="X7" s="4"/>
      <c r="Y7" s="4"/>
      <c r="AB7" s="15"/>
      <c r="AC7" s="16"/>
      <c r="AD7" s="23"/>
      <c r="AE7" s="23"/>
      <c r="AF7" s="23"/>
      <c r="AG7" s="23"/>
      <c r="AH7" s="23"/>
      <c r="AI7" s="23"/>
      <c r="AJ7" s="23"/>
      <c r="AK7" s="16"/>
      <c r="AL7" s="23"/>
      <c r="AM7" s="23"/>
      <c r="AN7" s="23"/>
      <c r="AO7" s="23"/>
      <c r="AP7" s="23"/>
      <c r="AQ7" s="15"/>
      <c r="AR7" s="16"/>
      <c r="AS7" s="23"/>
      <c r="AT7" s="23"/>
      <c r="AU7" s="23"/>
      <c r="AV7" s="23"/>
      <c r="AW7" s="23"/>
      <c r="AX7" s="23"/>
      <c r="AY7" s="16"/>
      <c r="AZ7" s="23"/>
      <c r="BA7" s="23"/>
      <c r="BB7" s="23"/>
      <c r="BC7" s="23"/>
      <c r="BD7" s="23"/>
      <c r="BE7" s="23"/>
      <c r="BG7" s="17">
        <v>4</v>
      </c>
      <c r="BH7" s="18">
        <f t="shared" si="0"/>
        <v>0</v>
      </c>
      <c r="BI7" s="18" t="str">
        <f t="shared" si="1"/>
        <v>FM</v>
      </c>
      <c r="BJ7" s="18">
        <f t="shared" si="2"/>
        <v>30</v>
      </c>
      <c r="BK7" s="24">
        <f t="shared" si="3"/>
        <v>-10</v>
      </c>
      <c r="BL7" s="25"/>
      <c r="BM7" s="26" t="str">
        <f t="shared" si="14"/>
        <v/>
      </c>
      <c r="BN7" s="19" t="str">
        <f t="shared" si="15"/>
        <v/>
      </c>
      <c r="BO7" s="19" t="str">
        <f t="shared" si="4"/>
        <v/>
      </c>
      <c r="BP7" s="19" t="str">
        <f>IF(BO7="","",J358)</f>
        <v/>
      </c>
      <c r="BQ7" s="18">
        <f t="shared" si="5"/>
        <v>0</v>
      </c>
      <c r="BR7" s="18" t="str">
        <f t="shared" si="6"/>
        <v>CP</v>
      </c>
      <c r="BS7" s="27">
        <f t="shared" si="7"/>
        <v>60</v>
      </c>
      <c r="BT7" s="27">
        <f t="shared" si="8"/>
        <v>10</v>
      </c>
      <c r="BU7" s="28"/>
      <c r="BV7" s="18" t="str">
        <f t="shared" si="9"/>
        <v/>
      </c>
      <c r="BW7" s="18">
        <f t="shared" si="10"/>
        <v>0</v>
      </c>
      <c r="BX7" s="18" t="str">
        <f t="shared" si="11"/>
        <v>EQL</v>
      </c>
      <c r="BY7" s="18">
        <f t="shared" si="12"/>
        <v>10</v>
      </c>
      <c r="BZ7" s="18">
        <f t="shared" si="13"/>
        <v>60</v>
      </c>
      <c r="CA7" s="25"/>
      <c r="CB7" s="4">
        <f t="shared" si="16"/>
        <v>0</v>
      </c>
      <c r="CC7" s="4">
        <f t="shared" si="17"/>
        <v>0</v>
      </c>
      <c r="CD7" s="4">
        <f t="shared" si="18"/>
        <v>0</v>
      </c>
      <c r="CE7" s="29"/>
    </row>
    <row r="8" spans="1:83" x14ac:dyDescent="0.25">
      <c r="A8" s="3"/>
      <c r="B8" s="3"/>
      <c r="C8" s="21"/>
      <c r="D8" s="3"/>
      <c r="E8" s="3"/>
      <c r="F8" s="3"/>
      <c r="G8" s="3"/>
      <c r="H8" s="3"/>
      <c r="I8" s="3"/>
      <c r="J8" s="3"/>
      <c r="K8" s="22"/>
      <c r="L8" s="3"/>
      <c r="M8" s="4"/>
      <c r="N8" s="4"/>
      <c r="O8" s="4"/>
      <c r="P8" s="4"/>
      <c r="Q8" s="4"/>
      <c r="R8" s="4"/>
      <c r="S8" s="4"/>
      <c r="T8" s="4"/>
      <c r="U8" s="4"/>
      <c r="V8" s="4"/>
      <c r="W8" s="4"/>
      <c r="X8" s="4"/>
      <c r="Y8" s="4"/>
      <c r="AB8" s="15"/>
      <c r="AC8" s="23"/>
      <c r="AD8" s="16"/>
      <c r="AE8" s="16"/>
      <c r="AF8" s="16"/>
      <c r="AG8" s="16"/>
      <c r="AH8" s="16"/>
      <c r="AI8" s="16"/>
      <c r="AJ8" s="16"/>
      <c r="AK8" s="23"/>
      <c r="AL8" s="16"/>
      <c r="AM8" s="16"/>
      <c r="AN8" s="16"/>
      <c r="AO8" s="16"/>
      <c r="AP8" s="16"/>
      <c r="AQ8" s="15"/>
      <c r="AR8" s="23"/>
      <c r="AS8" s="16"/>
      <c r="AT8" s="16"/>
      <c r="AU8" s="16"/>
      <c r="AV8" s="16"/>
      <c r="AW8" s="16"/>
      <c r="AX8" s="16"/>
      <c r="AY8" s="23"/>
      <c r="AZ8" s="16"/>
      <c r="BA8" s="16"/>
      <c r="BB8" s="16"/>
      <c r="BC8" s="16"/>
      <c r="BD8" s="16"/>
      <c r="BE8" s="16"/>
      <c r="BG8" s="17">
        <v>5</v>
      </c>
      <c r="BH8" s="18">
        <f t="shared" si="0"/>
        <v>0</v>
      </c>
      <c r="BI8" s="18" t="str">
        <f t="shared" si="1"/>
        <v>FM</v>
      </c>
      <c r="BJ8" s="18">
        <f t="shared" si="2"/>
        <v>30</v>
      </c>
      <c r="BK8" s="24">
        <f t="shared" si="3"/>
        <v>-10</v>
      </c>
      <c r="BL8" s="25"/>
      <c r="BM8" s="26" t="str">
        <f t="shared" si="14"/>
        <v/>
      </c>
      <c r="BN8" s="19" t="str">
        <f t="shared" si="15"/>
        <v/>
      </c>
      <c r="BO8" s="19" t="str">
        <f t="shared" si="4"/>
        <v/>
      </c>
      <c r="BP8" s="19" t="str">
        <f>IF(BO8="","",J358)</f>
        <v/>
      </c>
      <c r="BQ8" s="18">
        <f t="shared" si="5"/>
        <v>0</v>
      </c>
      <c r="BR8" s="18" t="str">
        <f t="shared" si="6"/>
        <v>CP</v>
      </c>
      <c r="BS8" s="27">
        <f t="shared" si="7"/>
        <v>60</v>
      </c>
      <c r="BT8" s="27">
        <f t="shared" si="8"/>
        <v>10</v>
      </c>
      <c r="BU8" s="28"/>
      <c r="BV8" s="18" t="str">
        <f t="shared" si="9"/>
        <v/>
      </c>
      <c r="BW8" s="18">
        <f t="shared" si="10"/>
        <v>0</v>
      </c>
      <c r="BX8" s="18" t="str">
        <f t="shared" si="11"/>
        <v>EQL</v>
      </c>
      <c r="BY8" s="18">
        <f t="shared" si="12"/>
        <v>10</v>
      </c>
      <c r="BZ8" s="18">
        <f t="shared" si="13"/>
        <v>60</v>
      </c>
      <c r="CA8" s="25"/>
      <c r="CB8" s="4">
        <f t="shared" si="16"/>
        <v>0</v>
      </c>
      <c r="CC8" s="4">
        <f t="shared" si="17"/>
        <v>0</v>
      </c>
      <c r="CD8" s="4">
        <f t="shared" si="18"/>
        <v>0</v>
      </c>
      <c r="CE8" s="29"/>
    </row>
    <row r="9" spans="1:83" x14ac:dyDescent="0.25">
      <c r="A9" s="3"/>
      <c r="B9" s="3"/>
      <c r="C9" s="21"/>
      <c r="D9" s="3"/>
      <c r="E9" s="3"/>
      <c r="F9" s="3"/>
      <c r="G9" s="3"/>
      <c r="H9" s="3"/>
      <c r="I9" s="3"/>
      <c r="J9" s="3"/>
      <c r="K9" s="22"/>
      <c r="L9" s="3"/>
      <c r="M9" s="4"/>
      <c r="N9" s="4"/>
      <c r="O9" s="4"/>
      <c r="P9" s="4"/>
      <c r="Q9" s="4"/>
      <c r="R9" s="4"/>
      <c r="S9" s="4"/>
      <c r="T9" s="4"/>
      <c r="U9" s="4"/>
      <c r="V9" s="4"/>
      <c r="W9" s="4"/>
      <c r="X9" s="4"/>
      <c r="Y9" s="4"/>
      <c r="AB9" s="15"/>
      <c r="AC9" s="30"/>
      <c r="AD9" s="32"/>
      <c r="AE9" s="33"/>
      <c r="AF9" s="30"/>
      <c r="AG9" s="30"/>
      <c r="AH9" s="30"/>
      <c r="AI9" s="30"/>
      <c r="AJ9" s="30"/>
      <c r="AK9" s="30"/>
      <c r="AL9" s="32"/>
      <c r="AM9" s="33"/>
      <c r="AN9" s="30"/>
      <c r="AO9" s="30"/>
      <c r="AP9" s="30"/>
      <c r="AQ9" s="15"/>
      <c r="AR9" s="30"/>
      <c r="AS9" s="32"/>
      <c r="AT9" s="33"/>
      <c r="AU9" s="30"/>
      <c r="AV9" s="30"/>
      <c r="AW9" s="30"/>
      <c r="AX9" s="30"/>
      <c r="AY9" s="30"/>
      <c r="AZ9" s="32"/>
      <c r="BA9" s="33"/>
      <c r="BB9" s="30"/>
      <c r="BC9" s="30"/>
      <c r="BD9" s="30"/>
      <c r="BE9" s="30"/>
      <c r="BG9" s="17">
        <v>6</v>
      </c>
      <c r="BH9" s="18">
        <f t="shared" si="0"/>
        <v>0</v>
      </c>
      <c r="BI9" s="18" t="str">
        <f t="shared" si="1"/>
        <v>FM</v>
      </c>
      <c r="BJ9" s="18">
        <f t="shared" si="2"/>
        <v>30</v>
      </c>
      <c r="BK9" s="24">
        <f t="shared" si="3"/>
        <v>-10</v>
      </c>
      <c r="BL9" s="25"/>
      <c r="BM9" s="26" t="str">
        <f t="shared" si="14"/>
        <v/>
      </c>
      <c r="BN9" s="19" t="str">
        <f t="shared" si="15"/>
        <v/>
      </c>
      <c r="BO9" s="19" t="str">
        <f t="shared" si="4"/>
        <v/>
      </c>
      <c r="BP9" s="19" t="str">
        <f>IF(BO9="","",J358)</f>
        <v/>
      </c>
      <c r="BQ9" s="18">
        <f t="shared" si="5"/>
        <v>0</v>
      </c>
      <c r="BR9" s="18" t="str">
        <f t="shared" si="6"/>
        <v>CP</v>
      </c>
      <c r="BS9" s="27">
        <f t="shared" si="7"/>
        <v>60</v>
      </c>
      <c r="BT9" s="27">
        <f t="shared" si="8"/>
        <v>10</v>
      </c>
      <c r="BU9" s="28"/>
      <c r="BV9" s="18" t="str">
        <f t="shared" si="9"/>
        <v/>
      </c>
      <c r="BW9" s="18">
        <f t="shared" si="10"/>
        <v>0</v>
      </c>
      <c r="BX9" s="18" t="str">
        <f t="shared" si="11"/>
        <v>EQL</v>
      </c>
      <c r="BY9" s="18">
        <f t="shared" si="12"/>
        <v>10</v>
      </c>
      <c r="BZ9" s="18">
        <f t="shared" si="13"/>
        <v>60</v>
      </c>
      <c r="CA9" s="25"/>
      <c r="CB9" s="4">
        <f t="shared" si="16"/>
        <v>0</v>
      </c>
      <c r="CC9" s="4">
        <f t="shared" si="17"/>
        <v>0</v>
      </c>
      <c r="CD9" s="4">
        <f t="shared" si="18"/>
        <v>0</v>
      </c>
      <c r="CE9" s="29"/>
    </row>
    <row r="10" spans="1:83" x14ac:dyDescent="0.25">
      <c r="A10" s="3"/>
      <c r="B10" s="3"/>
      <c r="C10" s="21"/>
      <c r="D10" s="3"/>
      <c r="E10" s="3"/>
      <c r="F10" s="3"/>
      <c r="G10" s="3"/>
      <c r="H10" s="3"/>
      <c r="I10" s="3"/>
      <c r="J10" s="3"/>
      <c r="K10" s="22"/>
      <c r="L10" s="3"/>
      <c r="M10" s="4"/>
      <c r="N10" s="4"/>
      <c r="O10" s="4"/>
      <c r="P10" s="4"/>
      <c r="Q10" s="4"/>
      <c r="R10" s="4"/>
      <c r="S10" s="4"/>
      <c r="T10" s="4"/>
      <c r="U10" s="4"/>
      <c r="V10" s="4"/>
      <c r="W10" s="4"/>
      <c r="X10" s="4"/>
      <c r="Y10" s="4"/>
      <c r="AB10" s="15"/>
      <c r="AC10" s="30"/>
      <c r="AD10" s="30"/>
      <c r="AE10" s="33"/>
      <c r="AF10" s="33"/>
      <c r="AG10" s="30"/>
      <c r="AH10" s="16"/>
      <c r="AI10" s="16"/>
      <c r="AJ10" s="16"/>
      <c r="AK10" s="30"/>
      <c r="AL10" s="30"/>
      <c r="AM10" s="33"/>
      <c r="AN10" s="33"/>
      <c r="AO10" s="30"/>
      <c r="AP10" s="16"/>
      <c r="AQ10" s="15"/>
      <c r="AR10" s="30"/>
      <c r="AS10" s="30"/>
      <c r="AT10" s="33"/>
      <c r="AU10" s="33"/>
      <c r="AV10" s="30"/>
      <c r="AW10" s="16"/>
      <c r="AX10" s="16"/>
      <c r="AY10" s="30"/>
      <c r="AZ10" s="30"/>
      <c r="BA10" s="33"/>
      <c r="BB10" s="33"/>
      <c r="BC10" s="30"/>
      <c r="BD10" s="16"/>
      <c r="BE10" s="16"/>
      <c r="BG10" s="17">
        <v>7</v>
      </c>
      <c r="BH10" s="18">
        <f t="shared" si="0"/>
        <v>0</v>
      </c>
      <c r="BI10" s="18" t="str">
        <f t="shared" si="1"/>
        <v>FM</v>
      </c>
      <c r="BJ10" s="18">
        <f t="shared" si="2"/>
        <v>30</v>
      </c>
      <c r="BK10" s="24">
        <f t="shared" si="3"/>
        <v>-10</v>
      </c>
      <c r="BL10" s="25"/>
      <c r="BM10" s="26" t="str">
        <f t="shared" si="14"/>
        <v/>
      </c>
      <c r="BN10" s="19" t="str">
        <f t="shared" si="15"/>
        <v/>
      </c>
      <c r="BO10" s="19" t="str">
        <f t="shared" si="4"/>
        <v/>
      </c>
      <c r="BP10" s="19" t="str">
        <f>IF(BO10="","",J358)</f>
        <v/>
      </c>
      <c r="BQ10" s="18">
        <f t="shared" si="5"/>
        <v>0</v>
      </c>
      <c r="BR10" s="18" t="str">
        <f t="shared" si="6"/>
        <v>CP</v>
      </c>
      <c r="BS10" s="27">
        <f t="shared" si="7"/>
        <v>60</v>
      </c>
      <c r="BT10" s="27">
        <f t="shared" si="8"/>
        <v>10</v>
      </c>
      <c r="BU10" s="28"/>
      <c r="BV10" s="18" t="str">
        <f t="shared" si="9"/>
        <v/>
      </c>
      <c r="BW10" s="18">
        <f t="shared" si="10"/>
        <v>0</v>
      </c>
      <c r="BX10" s="18" t="str">
        <f t="shared" si="11"/>
        <v>EQL</v>
      </c>
      <c r="BY10" s="18">
        <f t="shared" si="12"/>
        <v>10</v>
      </c>
      <c r="BZ10" s="18">
        <f t="shared" si="13"/>
        <v>60</v>
      </c>
      <c r="CA10" s="25"/>
      <c r="CB10" s="4">
        <f t="shared" si="16"/>
        <v>0</v>
      </c>
      <c r="CC10" s="4">
        <f t="shared" si="17"/>
        <v>0</v>
      </c>
      <c r="CD10" s="4">
        <f t="shared" si="18"/>
        <v>0</v>
      </c>
      <c r="CE10" s="29"/>
    </row>
    <row r="11" spans="1:83" x14ac:dyDescent="0.25">
      <c r="A11" s="3"/>
      <c r="B11" s="3"/>
      <c r="C11" s="21"/>
      <c r="D11" s="3"/>
      <c r="E11" s="3"/>
      <c r="F11" s="3"/>
      <c r="G11" s="3"/>
      <c r="H11" s="3"/>
      <c r="I11" s="3"/>
      <c r="J11" s="3"/>
      <c r="K11" s="22"/>
      <c r="L11" s="3"/>
      <c r="M11" s="4"/>
      <c r="N11" s="4"/>
      <c r="O11" s="4"/>
      <c r="P11" s="4"/>
      <c r="Q11" s="4"/>
      <c r="R11" s="4"/>
      <c r="S11" s="4"/>
      <c r="T11" s="4"/>
      <c r="U11" s="4"/>
      <c r="V11" s="4"/>
      <c r="W11" s="4"/>
      <c r="X11" s="4"/>
      <c r="Y11" s="4"/>
      <c r="AB11" s="15"/>
      <c r="AC11" s="30"/>
      <c r="AD11" s="30"/>
      <c r="AE11" s="33"/>
      <c r="AF11" s="33"/>
      <c r="AG11" s="15"/>
      <c r="AH11" s="30"/>
      <c r="AI11" s="16"/>
      <c r="AJ11" s="16"/>
      <c r="AK11" s="30"/>
      <c r="AL11" s="30"/>
      <c r="AM11" s="33"/>
      <c r="AN11" s="33"/>
      <c r="AO11" s="30"/>
      <c r="AP11" s="16"/>
      <c r="AQ11" s="15"/>
      <c r="AR11" s="30"/>
      <c r="AS11" s="30"/>
      <c r="AT11" s="33"/>
      <c r="AU11" s="33"/>
      <c r="AV11" s="30"/>
      <c r="AW11" s="16"/>
      <c r="AX11" s="16"/>
      <c r="AY11" s="30"/>
      <c r="AZ11" s="30"/>
      <c r="BA11" s="33"/>
      <c r="BB11" s="33"/>
      <c r="BC11" s="30"/>
      <c r="BD11" s="16"/>
      <c r="BE11" s="16"/>
      <c r="BG11" s="17">
        <v>8</v>
      </c>
      <c r="BH11" s="18">
        <f t="shared" si="0"/>
        <v>0</v>
      </c>
      <c r="BI11" s="18" t="str">
        <f t="shared" si="1"/>
        <v>FM</v>
      </c>
      <c r="BJ11" s="18">
        <f t="shared" si="2"/>
        <v>30</v>
      </c>
      <c r="BK11" s="24">
        <f t="shared" si="3"/>
        <v>-10</v>
      </c>
      <c r="BL11" s="25"/>
      <c r="BM11" s="26" t="str">
        <f t="shared" si="14"/>
        <v/>
      </c>
      <c r="BN11" s="19" t="str">
        <f t="shared" si="15"/>
        <v/>
      </c>
      <c r="BO11" s="19" t="str">
        <f t="shared" si="4"/>
        <v/>
      </c>
      <c r="BP11" s="19" t="str">
        <f>IF(BO11="","",J358)</f>
        <v/>
      </c>
      <c r="BQ11" s="18">
        <f t="shared" si="5"/>
        <v>0</v>
      </c>
      <c r="BR11" s="18" t="str">
        <f t="shared" si="6"/>
        <v>CP</v>
      </c>
      <c r="BS11" s="27">
        <f t="shared" si="7"/>
        <v>60</v>
      </c>
      <c r="BT11" s="27">
        <f t="shared" si="8"/>
        <v>10</v>
      </c>
      <c r="BU11" s="28"/>
      <c r="BV11" s="18" t="str">
        <f t="shared" si="9"/>
        <v/>
      </c>
      <c r="BW11" s="18">
        <f t="shared" si="10"/>
        <v>0</v>
      </c>
      <c r="BX11" s="18" t="str">
        <f t="shared" si="11"/>
        <v>EQL</v>
      </c>
      <c r="BY11" s="18">
        <f t="shared" si="12"/>
        <v>10</v>
      </c>
      <c r="BZ11" s="18">
        <f t="shared" si="13"/>
        <v>60</v>
      </c>
      <c r="CA11" s="25"/>
      <c r="CB11" s="4">
        <f t="shared" si="16"/>
        <v>0</v>
      </c>
      <c r="CC11" s="4">
        <f t="shared" si="17"/>
        <v>0</v>
      </c>
      <c r="CD11" s="4">
        <f t="shared" si="18"/>
        <v>0</v>
      </c>
      <c r="CE11" s="29"/>
    </row>
    <row r="12" spans="1:83" x14ac:dyDescent="0.25">
      <c r="A12" s="3"/>
      <c r="B12" s="3"/>
      <c r="C12" s="21"/>
      <c r="D12" s="3"/>
      <c r="E12" s="3"/>
      <c r="F12" s="3"/>
      <c r="G12" s="3"/>
      <c r="H12" s="3"/>
      <c r="I12" s="3"/>
      <c r="J12" s="3"/>
      <c r="K12" s="22"/>
      <c r="L12" s="3"/>
      <c r="M12" s="4"/>
      <c r="N12" s="4"/>
      <c r="O12" s="4"/>
      <c r="P12" s="4"/>
      <c r="Q12" s="4"/>
      <c r="R12" s="4"/>
      <c r="S12" s="4"/>
      <c r="T12" s="4"/>
      <c r="U12" s="4"/>
      <c r="V12" s="4"/>
      <c r="W12" s="4"/>
      <c r="X12" s="4"/>
      <c r="Y12" s="4"/>
      <c r="AB12" s="15"/>
      <c r="AC12" s="30"/>
      <c r="AD12" s="30"/>
      <c r="AE12" s="33"/>
      <c r="AF12" s="33"/>
      <c r="AG12" s="15"/>
      <c r="AH12" s="30"/>
      <c r="AI12" s="16"/>
      <c r="AJ12" s="16"/>
      <c r="AK12" s="30"/>
      <c r="AL12" s="30"/>
      <c r="AM12" s="33"/>
      <c r="AN12" s="33"/>
      <c r="AO12" s="30"/>
      <c r="AP12" s="16"/>
      <c r="AQ12" s="15"/>
      <c r="AR12" s="30"/>
      <c r="AS12" s="30"/>
      <c r="AT12" s="33"/>
      <c r="AU12" s="33"/>
      <c r="AV12" s="30"/>
      <c r="AW12" s="16"/>
      <c r="AX12" s="16"/>
      <c r="AY12" s="30"/>
      <c r="AZ12" s="30"/>
      <c r="BA12" s="33"/>
      <c r="BB12" s="33"/>
      <c r="BC12" s="15"/>
      <c r="BD12" s="30"/>
      <c r="BE12" s="16"/>
      <c r="BG12" s="17">
        <v>9</v>
      </c>
      <c r="BH12" s="18">
        <f t="shared" si="0"/>
        <v>0</v>
      </c>
      <c r="BI12" s="18" t="str">
        <f t="shared" si="1"/>
        <v>FM</v>
      </c>
      <c r="BJ12" s="18">
        <f t="shared" si="2"/>
        <v>30</v>
      </c>
      <c r="BK12" s="24">
        <f t="shared" si="3"/>
        <v>-10</v>
      </c>
      <c r="BL12" s="25"/>
      <c r="BM12" s="26" t="str">
        <f t="shared" si="14"/>
        <v/>
      </c>
      <c r="BN12" s="19" t="str">
        <f t="shared" si="15"/>
        <v/>
      </c>
      <c r="BO12" s="19" t="str">
        <f t="shared" si="4"/>
        <v/>
      </c>
      <c r="BP12" s="19" t="str">
        <f>IF(BO12="","",J358)</f>
        <v/>
      </c>
      <c r="BQ12" s="18">
        <f t="shared" si="5"/>
        <v>0</v>
      </c>
      <c r="BR12" s="18" t="str">
        <f t="shared" si="6"/>
        <v>CP</v>
      </c>
      <c r="BS12" s="27">
        <f t="shared" si="7"/>
        <v>60</v>
      </c>
      <c r="BT12" s="27">
        <f t="shared" si="8"/>
        <v>10</v>
      </c>
      <c r="BU12" s="28"/>
      <c r="BV12" s="18" t="str">
        <f t="shared" si="9"/>
        <v/>
      </c>
      <c r="BW12" s="18">
        <f t="shared" si="10"/>
        <v>0</v>
      </c>
      <c r="BX12" s="18" t="str">
        <f t="shared" si="11"/>
        <v>EQL</v>
      </c>
      <c r="BY12" s="18">
        <f t="shared" si="12"/>
        <v>10</v>
      </c>
      <c r="BZ12" s="18">
        <f t="shared" si="13"/>
        <v>60</v>
      </c>
      <c r="CA12" s="25"/>
      <c r="CB12" s="4">
        <f t="shared" si="16"/>
        <v>0</v>
      </c>
      <c r="CC12" s="4">
        <f t="shared" si="17"/>
        <v>0</v>
      </c>
      <c r="CD12" s="4">
        <f t="shared" si="18"/>
        <v>0</v>
      </c>
      <c r="CE12" s="29"/>
    </row>
    <row r="13" spans="1:83" x14ac:dyDescent="0.25">
      <c r="A13" s="3"/>
      <c r="B13" s="3"/>
      <c r="C13" s="21"/>
      <c r="D13" s="3"/>
      <c r="E13" s="3"/>
      <c r="F13" s="3"/>
      <c r="G13" s="3"/>
      <c r="H13" s="3"/>
      <c r="I13" s="3"/>
      <c r="J13" s="3"/>
      <c r="K13" s="22"/>
      <c r="L13" s="3"/>
      <c r="M13" s="4"/>
      <c r="N13" s="4"/>
      <c r="O13" s="4"/>
      <c r="P13" s="4"/>
      <c r="Q13" s="4"/>
      <c r="R13" s="4"/>
      <c r="S13" s="4"/>
      <c r="T13" s="4"/>
      <c r="U13" s="4"/>
      <c r="V13" s="4"/>
      <c r="W13" s="4"/>
      <c r="X13" s="4"/>
      <c r="Y13" s="4"/>
      <c r="AB13" s="15"/>
      <c r="AC13" s="30"/>
      <c r="AD13" s="30"/>
      <c r="AE13" s="33"/>
      <c r="AF13" s="33"/>
      <c r="AG13" s="15"/>
      <c r="AH13" s="30"/>
      <c r="AI13" s="16"/>
      <c r="AJ13" s="16"/>
      <c r="AK13" s="30"/>
      <c r="AL13" s="30"/>
      <c r="AM13" s="33"/>
      <c r="AN13" s="33"/>
      <c r="AO13" s="30"/>
      <c r="AP13" s="16"/>
      <c r="AQ13" s="15"/>
      <c r="AR13" s="30"/>
      <c r="AS13" s="30"/>
      <c r="AT13" s="33"/>
      <c r="AU13" s="33"/>
      <c r="AV13" s="30"/>
      <c r="AW13" s="16"/>
      <c r="AX13" s="16"/>
      <c r="AY13" s="30"/>
      <c r="AZ13" s="30"/>
      <c r="BA13" s="33"/>
      <c r="BB13" s="33"/>
      <c r="BC13" s="15"/>
      <c r="BD13" s="30"/>
      <c r="BE13" s="16"/>
      <c r="BG13" s="17">
        <v>10</v>
      </c>
      <c r="BH13" s="18">
        <f t="shared" si="0"/>
        <v>0</v>
      </c>
      <c r="BI13" s="18" t="str">
        <f t="shared" si="1"/>
        <v>FM</v>
      </c>
      <c r="BJ13" s="18">
        <f t="shared" si="2"/>
        <v>30</v>
      </c>
      <c r="BK13" s="24">
        <f t="shared" si="3"/>
        <v>-10</v>
      </c>
      <c r="BL13" s="25"/>
      <c r="BM13" s="26" t="str">
        <f t="shared" si="14"/>
        <v/>
      </c>
      <c r="BN13" s="19" t="str">
        <f t="shared" si="15"/>
        <v/>
      </c>
      <c r="BO13" s="19" t="str">
        <f t="shared" si="4"/>
        <v/>
      </c>
      <c r="BP13" s="19" t="str">
        <f>IF(BO13="","",J358)</f>
        <v/>
      </c>
      <c r="BQ13" s="18">
        <f t="shared" si="5"/>
        <v>0</v>
      </c>
      <c r="BR13" s="18" t="str">
        <f t="shared" si="6"/>
        <v>CP</v>
      </c>
      <c r="BS13" s="27">
        <f t="shared" si="7"/>
        <v>60</v>
      </c>
      <c r="BT13" s="27">
        <f t="shared" si="8"/>
        <v>10</v>
      </c>
      <c r="BU13" s="28"/>
      <c r="BV13" s="18" t="str">
        <f t="shared" si="9"/>
        <v/>
      </c>
      <c r="BW13" s="18">
        <f t="shared" si="10"/>
        <v>0</v>
      </c>
      <c r="BX13" s="18" t="str">
        <f t="shared" si="11"/>
        <v>EQL</v>
      </c>
      <c r="BY13" s="18">
        <f t="shared" si="12"/>
        <v>10</v>
      </c>
      <c r="BZ13" s="18">
        <f t="shared" si="13"/>
        <v>60</v>
      </c>
      <c r="CA13" s="25"/>
      <c r="CB13" s="4">
        <f t="shared" si="16"/>
        <v>0</v>
      </c>
      <c r="CC13" s="4">
        <f t="shared" si="17"/>
        <v>0</v>
      </c>
      <c r="CD13" s="4">
        <f t="shared" si="18"/>
        <v>0</v>
      </c>
      <c r="CE13" s="29"/>
    </row>
    <row r="14" spans="1:83" x14ac:dyDescent="0.25">
      <c r="A14" s="3"/>
      <c r="B14" s="3"/>
      <c r="C14" s="21"/>
      <c r="D14" s="3"/>
      <c r="E14" s="3"/>
      <c r="F14" s="3"/>
      <c r="G14" s="3"/>
      <c r="H14" s="3"/>
      <c r="I14" s="3"/>
      <c r="J14" s="3"/>
      <c r="K14" s="22"/>
      <c r="L14" s="3"/>
      <c r="M14" s="4"/>
      <c r="N14" s="4"/>
      <c r="O14" s="4"/>
      <c r="P14" s="4"/>
      <c r="Q14" s="4"/>
      <c r="R14" s="4"/>
      <c r="S14" s="4"/>
      <c r="T14" s="4"/>
      <c r="U14" s="4"/>
      <c r="V14" s="4"/>
      <c r="W14" s="4"/>
      <c r="X14" s="4"/>
      <c r="Y14" s="4"/>
      <c r="AB14" s="15"/>
      <c r="AC14" s="30"/>
      <c r="AD14" s="30"/>
      <c r="AE14" s="33"/>
      <c r="AF14" s="33"/>
      <c r="AG14" s="15"/>
      <c r="AH14" s="30"/>
      <c r="AI14" s="16"/>
      <c r="AJ14" s="16"/>
      <c r="AK14" s="30"/>
      <c r="AL14" s="30"/>
      <c r="AM14" s="33"/>
      <c r="AN14" s="33"/>
      <c r="AO14" s="30"/>
      <c r="AP14" s="16"/>
      <c r="AQ14" s="15"/>
      <c r="AR14" s="30"/>
      <c r="AS14" s="30"/>
      <c r="AT14" s="33"/>
      <c r="AU14" s="33"/>
      <c r="AV14" s="15"/>
      <c r="AW14" s="30"/>
      <c r="AX14" s="16"/>
      <c r="AY14" s="30"/>
      <c r="AZ14" s="30"/>
      <c r="BA14" s="33"/>
      <c r="BB14" s="33"/>
      <c r="BC14" s="30"/>
      <c r="BD14" s="16"/>
      <c r="BE14" s="16"/>
      <c r="BG14" s="17">
        <v>11</v>
      </c>
      <c r="BH14" s="18">
        <f t="shared" ref="BH14:BH23" si="19">IF(E84="","",IF(E84&lt;=60,1*D84,IF(E84&lt;=120,2*D84,IF(E84&lt;=180,3*D84,IF(E84&lt;=240,4*D84,IF(E84&lt;=300,5*D84,IF(E84&lt;=360,6*D84)))))))</f>
        <v>0</v>
      </c>
      <c r="BI14" s="18" t="str">
        <f t="shared" ref="BI14:BI23" si="20">IF(D84="","","FM")</f>
        <v>FM</v>
      </c>
      <c r="BJ14" s="18">
        <f t="shared" ref="BJ14:BJ23" si="21">IF(D84="","",IF(E84&lt;=60,E84,IF(E84&lt;=120,E84/2,IF(E84&lt;=180,E84/3,IF(E84&lt;=240,E84/4,IF(E84&lt;=300,E84/5,IF(E84&lt;=360,E84/6)))))))</f>
        <v>0</v>
      </c>
      <c r="BK14" s="24">
        <f t="shared" ref="BK14:BK23" si="22">IF(BI14="","",IF(BI14="FM",H84))</f>
        <v>0</v>
      </c>
      <c r="BL14" s="25"/>
      <c r="BM14" s="26" t="str">
        <f t="shared" si="14"/>
        <v/>
      </c>
      <c r="BN14" s="19" t="str">
        <f t="shared" si="15"/>
        <v/>
      </c>
      <c r="BO14" s="19" t="str">
        <f t="shared" si="4"/>
        <v/>
      </c>
      <c r="BP14" s="19" t="str">
        <f>IF(BO14="","",J358)</f>
        <v/>
      </c>
      <c r="BQ14" s="34" t="b">
        <f>IF(AY113="","",IF(AY113="T1",AZ113,IF(AY113="T2",AZ122,IF(AY113="T3",AZ131,IF(AY113="T4",AZ146)))))</f>
        <v>0</v>
      </c>
      <c r="BR14" s="34" t="b">
        <f>IF(AY113="","",IF(AY113="T1",BA113,IF(AY113="T2",BA122,IF(AY113="T3",BA131,IF(AY113="T4",BA146)))))</f>
        <v>0</v>
      </c>
      <c r="BS14" s="35" t="b">
        <f>IF(AY113="","",IF(AY113="T1",BB113,IF(AY113="T2",BB122,IF(AY113="T3",BB131,IF(AY113="T4",BB146)))))</f>
        <v>0</v>
      </c>
      <c r="BT14" s="35" t="b">
        <f>IF(AY113="","",IF(AY113="T1",BC113,IF(AY113="T2",BC122,IF(AY113="T3",BC131,IF(AY113="T4",BC146)))))</f>
        <v>0</v>
      </c>
      <c r="BU14" s="36" t="b">
        <f t="shared" ref="BU14:BU24" si="23">IF(AY113="","",IF(AY113="T1","",IF(AY113="T2","",IF(AY113="T3","",IF(AY113="T4","")))))</f>
        <v>0</v>
      </c>
      <c r="BV14" s="36" t="b">
        <f>IF(AY113="","",IF(AY113="T1","",IF(AY113="T2","",IF(AY113="T3","",IF(AY113="T4","")))))</f>
        <v>0</v>
      </c>
      <c r="BW14" s="18">
        <f t="shared" ref="BW14:BW23" si="24">IF(BX14="","",IF(E84&lt;=60,1*D84,IF(E84&lt;=120,2*D84,IF(E84&lt;=180,3*D84,IF(E84&lt;=240,4*D84)))))</f>
        <v>0</v>
      </c>
      <c r="BX14" s="18" t="str">
        <f t="shared" ref="BX14:BX23" si="25">IF(I84="","",IF(I84="VA","EQCE",IF(I84="VAS","EQCE",IF(I84="VRA","EQCE",IF(I84="VR","")))))</f>
        <v>EQCE</v>
      </c>
      <c r="BY14" s="18">
        <f>IF(BX14="","",10)</f>
        <v>10</v>
      </c>
      <c r="BZ14" s="18">
        <f t="shared" ref="BZ14:BZ23" si="26">IF(BX14="","",IF(E84&lt;=60,E84+20,IF(E84&lt;=120,(E84/2)+20,IF(E84&lt;=180,(E84/3)+20,IF(E84&lt;=240,(E84/4)+20)))))</f>
        <v>20</v>
      </c>
      <c r="CA14" s="18">
        <f>IF(BX14="","",10)</f>
        <v>10</v>
      </c>
      <c r="CB14" s="4">
        <f t="shared" si="16"/>
        <v>0</v>
      </c>
      <c r="CD14" s="4">
        <f t="shared" si="18"/>
        <v>0</v>
      </c>
      <c r="CE14" s="29">
        <f t="shared" ref="CE14:CE24" si="27">IF(ISERROR(BQ14*(BS14+IF(ISERROR(VALUE(BV14)),0,BV14))*BT14),0,BQ14*(BS14+IF(ISERROR(VALUE(BV14)),0,BV14))*BT14)</f>
        <v>0</v>
      </c>
    </row>
    <row r="15" spans="1:83" x14ac:dyDescent="0.25">
      <c r="A15" s="3"/>
      <c r="B15" s="3"/>
      <c r="C15" s="21"/>
      <c r="D15" s="3"/>
      <c r="E15" s="3"/>
      <c r="F15" s="3"/>
      <c r="G15" s="3"/>
      <c r="H15" s="3"/>
      <c r="I15" s="3"/>
      <c r="J15" s="3"/>
      <c r="K15" s="22"/>
      <c r="L15" s="3"/>
      <c r="M15" s="4"/>
      <c r="N15" s="4"/>
      <c r="O15" s="4"/>
      <c r="P15" s="4"/>
      <c r="Q15" s="4"/>
      <c r="R15" s="4"/>
      <c r="S15" s="4"/>
      <c r="T15" s="4"/>
      <c r="U15" s="4"/>
      <c r="V15" s="4"/>
      <c r="W15" s="4"/>
      <c r="X15" s="4"/>
      <c r="Y15" s="4"/>
      <c r="AB15" s="15"/>
      <c r="AC15" s="30"/>
      <c r="AD15" s="30"/>
      <c r="AE15" s="33"/>
      <c r="AF15" s="30"/>
      <c r="AG15" s="15"/>
      <c r="AH15" s="30"/>
      <c r="AI15" s="16"/>
      <c r="AJ15" s="16"/>
      <c r="AK15" s="30"/>
      <c r="AL15" s="30"/>
      <c r="AM15" s="33"/>
      <c r="AN15" s="33"/>
      <c r="AO15" s="30"/>
      <c r="AP15" s="16"/>
      <c r="AQ15" s="15"/>
      <c r="AR15" s="30"/>
      <c r="AS15" s="30"/>
      <c r="AT15" s="33"/>
      <c r="AU15" s="33"/>
      <c r="AV15" s="30"/>
      <c r="AW15" s="16"/>
      <c r="AX15" s="16"/>
      <c r="AY15" s="30"/>
      <c r="AZ15" s="30"/>
      <c r="BA15" s="33"/>
      <c r="BB15" s="33"/>
      <c r="BC15" s="30"/>
      <c r="BD15" s="16"/>
      <c r="BE15" s="16"/>
      <c r="BG15" s="17">
        <v>12</v>
      </c>
      <c r="BH15" s="18">
        <f t="shared" si="19"/>
        <v>0</v>
      </c>
      <c r="BI15" s="18" t="str">
        <f t="shared" si="20"/>
        <v>FM</v>
      </c>
      <c r="BJ15" s="18">
        <f t="shared" si="21"/>
        <v>0</v>
      </c>
      <c r="BK15" s="24">
        <f t="shared" si="22"/>
        <v>0</v>
      </c>
      <c r="BL15" s="25"/>
      <c r="BM15" s="26" t="str">
        <f t="shared" si="14"/>
        <v/>
      </c>
      <c r="BN15" s="19" t="str">
        <f t="shared" si="15"/>
        <v/>
      </c>
      <c r="BO15" s="19" t="str">
        <f t="shared" si="4"/>
        <v/>
      </c>
      <c r="BP15" s="19" t="str">
        <f>IF(BO15="","",J358)</f>
        <v/>
      </c>
      <c r="BQ15" s="34" t="b">
        <f>IF(AY114="","",IF(AY114="T1",AZ114,IF(AY114="T2",AZ123,IF(AY114="T3",AZ132,IF(AY114="T4",AZ147)))))</f>
        <v>0</v>
      </c>
      <c r="BR15" s="34" t="b">
        <f>IF(AY114="","",IF(AY114="T1",BA114,IF(AY114="T2",BA123,IF(AY114="T3",BA132,IF(AY114="T4",BA147)))))</f>
        <v>0</v>
      </c>
      <c r="BS15" s="35" t="b">
        <f>IF(AY114="","",IF(AY114="T1",BB114,IF(AY114="T2",BB123,IF(AY114="T3",BB132,IF(AY114="T4",BB147)))))</f>
        <v>0</v>
      </c>
      <c r="BT15" s="35" t="b">
        <f>IF(AY114="","",IF(AY114="T1",BC114,IF(AY114="T2",BC123,IF(AY114="T3",BC132,IF(AY114="T4",BC147)))))</f>
        <v>0</v>
      </c>
      <c r="BU15" s="36" t="b">
        <f t="shared" si="23"/>
        <v>0</v>
      </c>
      <c r="BV15" s="36" t="b">
        <f>IF(AY114="","",IF(AY114="T1","",IF(AY114="T2","",IF(AY114="T3","",IF(AY114="T4","")))))</f>
        <v>0</v>
      </c>
      <c r="BW15" s="18">
        <f t="shared" si="24"/>
        <v>0</v>
      </c>
      <c r="BX15" s="18" t="str">
        <f t="shared" si="25"/>
        <v>EQCE</v>
      </c>
      <c r="BY15" s="18">
        <f t="shared" ref="BY15:BY22" si="28">IF(BX15="","",10)</f>
        <v>10</v>
      </c>
      <c r="BZ15" s="18">
        <f t="shared" si="26"/>
        <v>20</v>
      </c>
      <c r="CA15" s="18">
        <f t="shared" ref="CA15:CA22" si="29">IF(BX15="","",10)</f>
        <v>10</v>
      </c>
      <c r="CB15" s="4">
        <f t="shared" si="16"/>
        <v>0</v>
      </c>
      <c r="CD15" s="4">
        <f t="shared" si="18"/>
        <v>0</v>
      </c>
      <c r="CE15" s="29">
        <f t="shared" si="27"/>
        <v>0</v>
      </c>
    </row>
    <row r="16" spans="1:83" x14ac:dyDescent="0.25">
      <c r="A16" s="3"/>
      <c r="B16" s="3"/>
      <c r="C16" s="21"/>
      <c r="D16" s="3"/>
      <c r="E16" s="3"/>
      <c r="F16" s="3"/>
      <c r="G16" s="3"/>
      <c r="H16" s="3"/>
      <c r="I16" s="3"/>
      <c r="J16" s="3"/>
      <c r="K16" s="22"/>
      <c r="L16" s="3"/>
      <c r="M16" s="4"/>
      <c r="N16" s="4"/>
      <c r="O16" s="4"/>
      <c r="P16" s="4"/>
      <c r="Q16" s="4"/>
      <c r="R16" s="4"/>
      <c r="S16" s="4"/>
      <c r="T16" s="4"/>
      <c r="U16" s="4"/>
      <c r="V16" s="4"/>
      <c r="W16" s="4"/>
      <c r="X16" s="4"/>
      <c r="Y16" s="4"/>
      <c r="AB16" s="15"/>
      <c r="AC16" s="30"/>
      <c r="AD16" s="30"/>
      <c r="AE16" s="33"/>
      <c r="AF16" s="33"/>
      <c r="AG16" s="15"/>
      <c r="AH16" s="30"/>
      <c r="AI16" s="16"/>
      <c r="AJ16" s="16"/>
      <c r="AK16" s="30"/>
      <c r="AL16" s="30"/>
      <c r="AM16" s="33"/>
      <c r="AN16" s="30"/>
      <c r="AO16" s="30"/>
      <c r="AP16" s="16"/>
      <c r="AQ16" s="15"/>
      <c r="AR16" s="30"/>
      <c r="AS16" s="30"/>
      <c r="AT16" s="33"/>
      <c r="AU16" s="33"/>
      <c r="AV16" s="30"/>
      <c r="AW16" s="16"/>
      <c r="AX16" s="16"/>
      <c r="AY16" s="30"/>
      <c r="AZ16" s="30"/>
      <c r="BA16" s="33"/>
      <c r="BB16" s="33"/>
      <c r="BC16" s="30"/>
      <c r="BD16" s="16"/>
      <c r="BE16" s="16"/>
      <c r="BG16" s="17">
        <v>13</v>
      </c>
      <c r="BH16" s="18">
        <f t="shared" si="19"/>
        <v>0</v>
      </c>
      <c r="BI16" s="18" t="str">
        <f t="shared" si="20"/>
        <v>FM</v>
      </c>
      <c r="BJ16" s="18">
        <f t="shared" si="21"/>
        <v>0</v>
      </c>
      <c r="BK16" s="24">
        <f t="shared" si="22"/>
        <v>0</v>
      </c>
      <c r="BL16" s="25"/>
      <c r="BM16" s="26" t="str">
        <f t="shared" si="14"/>
        <v/>
      </c>
      <c r="BN16" s="19" t="str">
        <f t="shared" si="15"/>
        <v/>
      </c>
      <c r="BO16" s="19" t="str">
        <f t="shared" si="4"/>
        <v/>
      </c>
      <c r="BP16" s="19" t="str">
        <f>IF(BO16="","",J358)</f>
        <v/>
      </c>
      <c r="BQ16" s="34" t="b">
        <f>IF(AY115="","",IF(AY115="T1",AZ115,IF(AY115="T2",AZ124,IF(AY115="T3",AZ133,IF(AY115="T4",AZ148)))))</f>
        <v>0</v>
      </c>
      <c r="BR16" s="34" t="b">
        <f>IF(AY115="","",IF(AY115="T1",BA115,IF(AY115="T2",BA124,IF(AY115="T3",BA133,IF(AY115="T4",BA148)))))</f>
        <v>0</v>
      </c>
      <c r="BS16" s="35" t="b">
        <f>IF(AY115="","",IF(AY115="T1",BB115,IF(AY115="T2",BB124,IF(AY115="T3",BB133,IF(AY115="T4",BB148)))))</f>
        <v>0</v>
      </c>
      <c r="BT16" s="35" t="b">
        <f>IF(AY115="","",IF(AY115="T1",BC115,IF(AY115="T2",BC124,IF(AY115="T3",BC133,IF(AY115="T4",BC148)))))</f>
        <v>0</v>
      </c>
      <c r="BU16" s="36" t="b">
        <f t="shared" si="23"/>
        <v>0</v>
      </c>
      <c r="BV16" s="36" t="b">
        <f>IF(AY115="","",IF(AY115="T1","",IF(AY115="T2","",IF(AY115="T3","",IF(AY115="T4","")))))</f>
        <v>0</v>
      </c>
      <c r="BW16" s="18">
        <f t="shared" si="24"/>
        <v>0</v>
      </c>
      <c r="BX16" s="18" t="str">
        <f t="shared" si="25"/>
        <v>EQCE</v>
      </c>
      <c r="BY16" s="18">
        <f t="shared" si="28"/>
        <v>10</v>
      </c>
      <c r="BZ16" s="18">
        <f t="shared" si="26"/>
        <v>20</v>
      </c>
      <c r="CA16" s="18">
        <f t="shared" si="29"/>
        <v>10</v>
      </c>
      <c r="CB16" s="4">
        <f t="shared" si="16"/>
        <v>0</v>
      </c>
      <c r="CD16" s="4">
        <f t="shared" si="18"/>
        <v>0</v>
      </c>
      <c r="CE16" s="29">
        <f t="shared" si="27"/>
        <v>0</v>
      </c>
    </row>
    <row r="17" spans="1:84" x14ac:dyDescent="0.25">
      <c r="A17" s="3"/>
      <c r="B17" s="3"/>
      <c r="C17" s="21"/>
      <c r="D17" s="3"/>
      <c r="E17" s="3"/>
      <c r="F17" s="3"/>
      <c r="G17" s="3"/>
      <c r="H17" s="3"/>
      <c r="I17" s="3"/>
      <c r="J17" s="3"/>
      <c r="K17" s="22"/>
      <c r="L17" s="3"/>
      <c r="M17" s="4"/>
      <c r="N17" s="4"/>
      <c r="O17" s="4"/>
      <c r="P17" s="4"/>
      <c r="Q17" s="4"/>
      <c r="R17" s="4"/>
      <c r="S17" s="4"/>
      <c r="T17" s="4"/>
      <c r="U17" s="4"/>
      <c r="V17" s="4"/>
      <c r="W17" s="4"/>
      <c r="X17" s="4"/>
      <c r="Y17" s="4"/>
      <c r="AB17" s="15"/>
      <c r="AC17" s="30"/>
      <c r="AD17" s="30"/>
      <c r="AE17" s="30"/>
      <c r="AF17" s="30"/>
      <c r="AG17" s="15"/>
      <c r="AH17" s="30"/>
      <c r="AI17" s="16"/>
      <c r="AJ17" s="16"/>
      <c r="AK17" s="30"/>
      <c r="AL17" s="30"/>
      <c r="AM17" s="33"/>
      <c r="AN17" s="30"/>
      <c r="AO17" s="30"/>
      <c r="AP17" s="16"/>
      <c r="AQ17" s="15"/>
      <c r="AR17" s="30"/>
      <c r="AS17" s="30"/>
      <c r="AT17" s="33"/>
      <c r="AU17" s="33"/>
      <c r="AV17" s="30"/>
      <c r="AW17" s="16"/>
      <c r="AX17" s="16"/>
      <c r="AY17" s="16"/>
      <c r="AZ17" s="16"/>
      <c r="BA17" s="37"/>
      <c r="BB17" s="37"/>
      <c r="BC17" s="30"/>
      <c r="BD17" s="16"/>
      <c r="BE17" s="16"/>
      <c r="BG17" s="17">
        <v>14</v>
      </c>
      <c r="BH17" s="18">
        <f t="shared" si="19"/>
        <v>0</v>
      </c>
      <c r="BI17" s="18" t="str">
        <f t="shared" si="20"/>
        <v>FM</v>
      </c>
      <c r="BJ17" s="18">
        <f t="shared" si="21"/>
        <v>0</v>
      </c>
      <c r="BK17" s="24">
        <f t="shared" si="22"/>
        <v>0</v>
      </c>
      <c r="BL17" s="25"/>
      <c r="BM17" s="26" t="str">
        <f t="shared" si="14"/>
        <v/>
      </c>
      <c r="BN17" s="19" t="str">
        <f t="shared" si="15"/>
        <v/>
      </c>
      <c r="BO17" s="19" t="str">
        <f t="shared" si="4"/>
        <v/>
      </c>
      <c r="BP17" s="19" t="str">
        <f>IF(BO17="","",J358)</f>
        <v/>
      </c>
      <c r="BQ17" s="34" t="b">
        <f>IF(AY116="","",IF(AY116="T1",AZ116,IF(AY116="T2",AZ125,IF(AY116="T3",AZ134,IF(AY116="T4",AZ149)))))</f>
        <v>0</v>
      </c>
      <c r="BR17" s="34" t="b">
        <f>IF(AY116="","",IF(AY116="T1",BA116,IF(AY116="T2",BA125,IF(AY116="T3",BA134,IF(AY116="T4",BA149)))))</f>
        <v>0</v>
      </c>
      <c r="BS17" s="35" t="b">
        <f>IF(AY116="","",IF(AY116="T1",BB116,IF(AY116="T2",BB125,IF(AY116="T3",BB134,IF(AY116="T4",BB149)))))</f>
        <v>0</v>
      </c>
      <c r="BT17" s="35" t="b">
        <f>IF(AY116="","",IF(AY116="T1",BC116,IF(AY116="T2",BC125,IF(AY116="T3",BC134,IF(AY116="T4",BC149)))))</f>
        <v>0</v>
      </c>
      <c r="BU17" s="36" t="b">
        <f t="shared" si="23"/>
        <v>0</v>
      </c>
      <c r="BV17" s="36" t="b">
        <f>IF(AY116="","",IF(AY116="T1",BE116,IF(AY116="T2",BE125,IF(AY116="T3","",IF(AY116="T4","")))))</f>
        <v>0</v>
      </c>
      <c r="BW17" s="18">
        <f t="shared" si="24"/>
        <v>0</v>
      </c>
      <c r="BX17" s="18" t="str">
        <f t="shared" si="25"/>
        <v>EQCE</v>
      </c>
      <c r="BY17" s="18">
        <f t="shared" si="28"/>
        <v>10</v>
      </c>
      <c r="BZ17" s="18">
        <f t="shared" si="26"/>
        <v>20</v>
      </c>
      <c r="CA17" s="18">
        <f t="shared" si="29"/>
        <v>10</v>
      </c>
      <c r="CB17" s="4">
        <f t="shared" si="16"/>
        <v>0</v>
      </c>
      <c r="CD17" s="4">
        <f t="shared" si="18"/>
        <v>0</v>
      </c>
      <c r="CE17" s="29">
        <f t="shared" si="27"/>
        <v>0</v>
      </c>
    </row>
    <row r="18" spans="1:84" x14ac:dyDescent="0.25">
      <c r="A18" s="3"/>
      <c r="B18" s="3"/>
      <c r="C18" s="21"/>
      <c r="D18" s="3"/>
      <c r="E18" s="3"/>
      <c r="F18" s="3"/>
      <c r="G18" s="3"/>
      <c r="H18" s="3"/>
      <c r="I18" s="3"/>
      <c r="J18" s="3"/>
      <c r="K18" s="22"/>
      <c r="L18" s="3"/>
      <c r="M18" s="4"/>
      <c r="N18" s="4"/>
      <c r="O18" s="4"/>
      <c r="P18" s="4"/>
      <c r="Q18" s="4"/>
      <c r="R18" s="4"/>
      <c r="S18" s="4"/>
      <c r="T18" s="4"/>
      <c r="U18" s="4"/>
      <c r="V18" s="4"/>
      <c r="W18" s="4"/>
      <c r="X18" s="4"/>
      <c r="Y18" s="4"/>
      <c r="AB18" s="15"/>
      <c r="AC18" s="30"/>
      <c r="AD18" s="30"/>
      <c r="AE18" s="33"/>
      <c r="AF18" s="30"/>
      <c r="AG18" s="30"/>
      <c r="AH18" s="16"/>
      <c r="AI18" s="16"/>
      <c r="AJ18" s="16"/>
      <c r="AK18" s="30"/>
      <c r="AL18" s="30"/>
      <c r="AM18" s="33"/>
      <c r="AN18" s="30"/>
      <c r="AO18" s="30"/>
      <c r="AP18" s="16"/>
      <c r="AQ18" s="15"/>
      <c r="AR18" s="30"/>
      <c r="AS18" s="30"/>
      <c r="AT18" s="30"/>
      <c r="AU18" s="30"/>
      <c r="AV18" s="30"/>
      <c r="AW18" s="16"/>
      <c r="AX18" s="16"/>
      <c r="AY18" s="30"/>
      <c r="AZ18" s="30"/>
      <c r="BA18" s="33"/>
      <c r="BB18" s="33"/>
      <c r="BC18" s="30"/>
      <c r="BD18" s="16"/>
      <c r="BE18" s="16"/>
      <c r="BG18" s="17">
        <v>15</v>
      </c>
      <c r="BH18" s="18">
        <f t="shared" si="19"/>
        <v>0</v>
      </c>
      <c r="BI18" s="18" t="str">
        <f t="shared" si="20"/>
        <v>FM</v>
      </c>
      <c r="BJ18" s="18">
        <f t="shared" si="21"/>
        <v>0</v>
      </c>
      <c r="BK18" s="24">
        <f t="shared" si="22"/>
        <v>0</v>
      </c>
      <c r="BL18" s="25"/>
      <c r="BM18" s="26" t="str">
        <f t="shared" si="14"/>
        <v/>
      </c>
      <c r="BN18" s="19" t="str">
        <f t="shared" si="15"/>
        <v/>
      </c>
      <c r="BO18" s="19" t="str">
        <f t="shared" si="4"/>
        <v/>
      </c>
      <c r="BP18" s="19" t="str">
        <f>IF(BO18="","",J358)</f>
        <v/>
      </c>
      <c r="BQ18" s="34" t="b">
        <f>IF(AY117="","",IF(AY117="T1",AZ117,IF(AY117="T2",AZ126,IF(AY117="T3",AZ135,IF(AY117="T4",AZ150)))))</f>
        <v>0</v>
      </c>
      <c r="BR18" s="34" t="b">
        <f>IF(AY117="","",IF(AY117="T1",BA117,IF(AY117="T2",BA126,IF(AY117="T3",BA135,IF(AY117="T4",BA150)))))</f>
        <v>0</v>
      </c>
      <c r="BS18" s="35" t="b">
        <f>IF(AY117="","",IF(AY117="T1",BB117,IF(AY117="T2",BB126,IF(AY117="T3",BB135,IF(AY117="T4",BB150)))))</f>
        <v>0</v>
      </c>
      <c r="BT18" s="35" t="b">
        <f>IF(AY117="","",IF(AY117="T1",BC117,IF(AY117="T2",BC126,IF(AY117="T3",BC135,IF(AY117="T4",BC150)))))</f>
        <v>0</v>
      </c>
      <c r="BU18" s="36" t="b">
        <f t="shared" si="23"/>
        <v>0</v>
      </c>
      <c r="BV18" s="36" t="b">
        <f>IF(AY117="","",IF(AY117="T1","",IF(AY117="T2","",IF(AY117="T3","",IF(AY117="T4","")))))</f>
        <v>0</v>
      </c>
      <c r="BW18" s="18">
        <f t="shared" si="24"/>
        <v>0</v>
      </c>
      <c r="BX18" s="18" t="str">
        <f t="shared" si="25"/>
        <v>EQCE</v>
      </c>
      <c r="BY18" s="18">
        <f t="shared" si="28"/>
        <v>10</v>
      </c>
      <c r="BZ18" s="18">
        <f t="shared" si="26"/>
        <v>20</v>
      </c>
      <c r="CA18" s="18">
        <f t="shared" si="29"/>
        <v>10</v>
      </c>
      <c r="CB18" s="4">
        <f t="shared" si="16"/>
        <v>0</v>
      </c>
      <c r="CD18" s="4">
        <f t="shared" si="18"/>
        <v>0</v>
      </c>
      <c r="CE18" s="29">
        <f t="shared" si="27"/>
        <v>0</v>
      </c>
      <c r="CF18" s="284"/>
    </row>
    <row r="19" spans="1:84" x14ac:dyDescent="0.25">
      <c r="A19" s="3"/>
      <c r="B19" s="3"/>
      <c r="C19" s="21"/>
      <c r="D19" s="3"/>
      <c r="E19" s="3"/>
      <c r="F19" s="3"/>
      <c r="G19" s="3"/>
      <c r="H19" s="3"/>
      <c r="I19" s="3"/>
      <c r="J19" s="3"/>
      <c r="K19" s="22"/>
      <c r="L19" s="3"/>
      <c r="M19" s="4"/>
      <c r="N19" s="4"/>
      <c r="O19" s="4"/>
      <c r="P19" s="4"/>
      <c r="Q19" s="4"/>
      <c r="R19" s="4"/>
      <c r="S19" s="4"/>
      <c r="T19" s="4"/>
      <c r="U19" s="4"/>
      <c r="V19" s="4"/>
      <c r="W19" s="4"/>
      <c r="X19" s="4"/>
      <c r="Y19" s="4"/>
      <c r="AB19" s="15"/>
      <c r="AC19" s="30"/>
      <c r="AD19" s="30"/>
      <c r="AE19" s="33"/>
      <c r="AF19" s="30"/>
      <c r="AG19" s="30"/>
      <c r="AH19" s="16"/>
      <c r="AI19" s="16"/>
      <c r="AJ19" s="16"/>
      <c r="AK19" s="30"/>
      <c r="AL19" s="32"/>
      <c r="AM19" s="33"/>
      <c r="AN19" s="30"/>
      <c r="AO19" s="30"/>
      <c r="AP19" s="16"/>
      <c r="AQ19" s="15"/>
      <c r="AR19" s="30"/>
      <c r="AS19" s="30"/>
      <c r="AT19" s="33"/>
      <c r="AU19" s="30"/>
      <c r="AV19" s="30"/>
      <c r="AW19" s="16"/>
      <c r="AX19" s="16"/>
      <c r="AY19" s="30"/>
      <c r="AZ19" s="30"/>
      <c r="BA19" s="33"/>
      <c r="BB19" s="30"/>
      <c r="BC19" s="30"/>
      <c r="BD19" s="16"/>
      <c r="BE19" s="16"/>
      <c r="BG19" s="17">
        <v>16</v>
      </c>
      <c r="BH19" s="18">
        <f t="shared" si="19"/>
        <v>0</v>
      </c>
      <c r="BI19" s="18" t="str">
        <f t="shared" si="20"/>
        <v>FM</v>
      </c>
      <c r="BJ19" s="18">
        <f t="shared" si="21"/>
        <v>0</v>
      </c>
      <c r="BK19" s="24">
        <f t="shared" si="22"/>
        <v>0</v>
      </c>
      <c r="BL19" s="28"/>
      <c r="BM19" s="26" t="str">
        <f t="shared" si="14"/>
        <v/>
      </c>
      <c r="BN19" s="19" t="str">
        <f t="shared" si="15"/>
        <v/>
      </c>
      <c r="BO19" s="19" t="str">
        <f t="shared" si="4"/>
        <v/>
      </c>
      <c r="BP19" s="19" t="str">
        <f>IF(BO19="","",J358)</f>
        <v/>
      </c>
      <c r="BQ19" s="34" t="b">
        <f>IF(AY118="","",IF(AY118="T1","",IF(AY118="T2","",IF(AY118="T3",AZ136,IF(AY118="T4",AZ151)))))</f>
        <v>0</v>
      </c>
      <c r="BR19" s="34" t="b">
        <f>IF(AY118="","",IF(AY118="T1","",IF(AY118="T2","",IF(AY118="T3",BA136,IF(AY118="T4",BA151)))))</f>
        <v>0</v>
      </c>
      <c r="BS19" s="35" t="b">
        <f>IF(AY118="","",IF(AY118="T1","",IF(AY118="T2","",IF(AY118="T3",BB136,IF(AY118="T4",BB151)))))</f>
        <v>0</v>
      </c>
      <c r="BT19" s="35" t="b">
        <f>IF(AY118="","",IF(AY118="T1","",IF(AY118="T2","",IF(AY118="T3",BC136,IF(AY118="T4",BC151)))))</f>
        <v>0</v>
      </c>
      <c r="BU19" s="36" t="b">
        <f t="shared" si="23"/>
        <v>0</v>
      </c>
      <c r="BV19" s="36" t="b">
        <f>IF(AY118="","",IF(AY118="T1","",IF(AY118="T2","",IF(AY118="T3","",IF(AY118="T4",BE151)))))</f>
        <v>0</v>
      </c>
      <c r="BW19" s="18">
        <f t="shared" si="24"/>
        <v>0</v>
      </c>
      <c r="BX19" s="18" t="str">
        <f t="shared" si="25"/>
        <v>EQCE</v>
      </c>
      <c r="BY19" s="18">
        <f t="shared" si="28"/>
        <v>10</v>
      </c>
      <c r="BZ19" s="18">
        <f t="shared" si="26"/>
        <v>20</v>
      </c>
      <c r="CA19" s="18">
        <f t="shared" si="29"/>
        <v>10</v>
      </c>
      <c r="CB19" s="4">
        <f t="shared" si="16"/>
        <v>0</v>
      </c>
      <c r="CD19" s="4">
        <f t="shared" si="18"/>
        <v>0</v>
      </c>
      <c r="CE19" s="29">
        <f t="shared" si="27"/>
        <v>0</v>
      </c>
    </row>
    <row r="20" spans="1:84" x14ac:dyDescent="0.25">
      <c r="A20" s="3"/>
      <c r="B20" s="3"/>
      <c r="C20" s="21"/>
      <c r="D20" s="3"/>
      <c r="E20" s="3"/>
      <c r="F20" s="3"/>
      <c r="G20" s="3"/>
      <c r="H20" s="3"/>
      <c r="I20" s="3"/>
      <c r="J20" s="3"/>
      <c r="K20" s="22"/>
      <c r="L20" s="3"/>
      <c r="M20" s="4"/>
      <c r="N20" s="4"/>
      <c r="O20" s="4"/>
      <c r="P20" s="4"/>
      <c r="Q20" s="4"/>
      <c r="R20" s="4"/>
      <c r="S20" s="4"/>
      <c r="T20" s="4"/>
      <c r="U20" s="4"/>
      <c r="V20" s="4"/>
      <c r="W20" s="4"/>
      <c r="X20" s="4"/>
      <c r="Y20" s="4"/>
      <c r="AB20" s="15"/>
      <c r="AC20" s="30"/>
      <c r="AD20" s="32"/>
      <c r="AE20" s="33"/>
      <c r="AF20" s="30"/>
      <c r="AG20" s="30"/>
      <c r="AH20" s="16"/>
      <c r="AI20" s="16"/>
      <c r="AJ20" s="16"/>
      <c r="AK20" s="23"/>
      <c r="AL20" s="16"/>
      <c r="AM20" s="16"/>
      <c r="AN20" s="16"/>
      <c r="AO20" s="16"/>
      <c r="AP20" s="16"/>
      <c r="AQ20" s="15"/>
      <c r="AR20" s="30"/>
      <c r="AS20" s="30"/>
      <c r="AT20" s="33"/>
      <c r="AU20" s="30"/>
      <c r="AV20" s="30"/>
      <c r="AW20" s="16"/>
      <c r="AX20" s="16"/>
      <c r="AY20" s="30"/>
      <c r="AZ20" s="32"/>
      <c r="BA20" s="33"/>
      <c r="BB20" s="30"/>
      <c r="BC20" s="30"/>
      <c r="BD20" s="16"/>
      <c r="BE20" s="16"/>
      <c r="BG20" s="17">
        <v>17</v>
      </c>
      <c r="BH20" s="18">
        <f t="shared" si="19"/>
        <v>0</v>
      </c>
      <c r="BI20" s="18" t="str">
        <f t="shared" si="20"/>
        <v>FM</v>
      </c>
      <c r="BJ20" s="18">
        <f t="shared" si="21"/>
        <v>0</v>
      </c>
      <c r="BK20" s="24">
        <f t="shared" si="22"/>
        <v>0</v>
      </c>
      <c r="BL20" s="28"/>
      <c r="BM20" s="26" t="str">
        <f t="shared" si="14"/>
        <v/>
      </c>
      <c r="BN20" s="19" t="str">
        <f t="shared" si="15"/>
        <v/>
      </c>
      <c r="BO20" s="19" t="str">
        <f t="shared" si="4"/>
        <v/>
      </c>
      <c r="BP20" s="19" t="str">
        <f>IF(BO20="","",J358)</f>
        <v/>
      </c>
      <c r="BQ20" s="34" t="b">
        <f>IF(AY119="","",IF(AY119="T1","",IF(AY119="T2","",IF(AY119="T3",AZ137,IF(AY119="T4",AZ152)))))</f>
        <v>0</v>
      </c>
      <c r="BR20" s="34" t="b">
        <f>IF(AY119="","",IF(AY119="T1","",IF(AY119="T2","",IF(AY119="T3",BA137,IF(AY119="T4",BA152)))))</f>
        <v>0</v>
      </c>
      <c r="BS20" s="35" t="b">
        <f>IF(AY119="","",IF(AY119="T1","",IF(AY119="T2","",IF(AY119="T3",BB137,IF(AY119="T4",BB152)))))</f>
        <v>0</v>
      </c>
      <c r="BT20" s="35" t="b">
        <f>IF(AY119="","",IF(AY119="T1","",IF(AY119="T2","",IF(AY119="T3",BC137,IF(AY119="T4",BC152)))))</f>
        <v>0</v>
      </c>
      <c r="BU20" s="36" t="b">
        <f t="shared" si="23"/>
        <v>0</v>
      </c>
      <c r="BV20" s="36" t="b">
        <f>IF(AY119="","",IF(AY119="T1","",IF(AY119="T2","",IF(AY119="T3",BE137,IF(AY119="T4",BE152)))))</f>
        <v>0</v>
      </c>
      <c r="BW20" s="18">
        <f t="shared" si="24"/>
        <v>0</v>
      </c>
      <c r="BX20" s="18" t="str">
        <f t="shared" si="25"/>
        <v>EQCE</v>
      </c>
      <c r="BY20" s="18">
        <f t="shared" si="28"/>
        <v>10</v>
      </c>
      <c r="BZ20" s="18">
        <f t="shared" si="26"/>
        <v>20</v>
      </c>
      <c r="CA20" s="18">
        <f t="shared" si="29"/>
        <v>10</v>
      </c>
      <c r="CB20" s="4">
        <f t="shared" si="16"/>
        <v>0</v>
      </c>
      <c r="CD20" s="4">
        <f t="shared" si="18"/>
        <v>0</v>
      </c>
      <c r="CE20" s="29">
        <f t="shared" si="27"/>
        <v>0</v>
      </c>
    </row>
    <row r="21" spans="1:84" ht="13.8" thickBot="1" x14ac:dyDescent="0.3">
      <c r="A21" s="3"/>
      <c r="B21" s="3"/>
      <c r="C21" s="38"/>
      <c r="D21" s="39"/>
      <c r="E21" s="39"/>
      <c r="F21" s="39"/>
      <c r="G21" s="39"/>
      <c r="H21" s="39"/>
      <c r="I21" s="39"/>
      <c r="J21" s="39"/>
      <c r="K21" s="40"/>
      <c r="L21" s="3"/>
      <c r="M21" s="4"/>
      <c r="N21" s="4"/>
      <c r="O21" s="4"/>
      <c r="P21" s="4"/>
      <c r="Q21" s="4"/>
      <c r="R21" s="4"/>
      <c r="S21" s="4"/>
      <c r="T21" s="4"/>
      <c r="U21" s="4"/>
      <c r="V21" s="4"/>
      <c r="W21" s="4"/>
      <c r="X21" s="4"/>
      <c r="Y21" s="4"/>
      <c r="AB21" s="15"/>
      <c r="AC21" s="30"/>
      <c r="AD21" s="32"/>
      <c r="AE21" s="33"/>
      <c r="AF21" s="30"/>
      <c r="AG21" s="30"/>
      <c r="AH21" s="16"/>
      <c r="AI21" s="16"/>
      <c r="AJ21" s="16"/>
      <c r="AK21" s="30"/>
      <c r="AL21" s="32"/>
      <c r="AM21" s="33"/>
      <c r="AN21" s="30"/>
      <c r="AO21" s="30"/>
      <c r="AP21" s="30"/>
      <c r="AQ21" s="15"/>
      <c r="AR21" s="30"/>
      <c r="AS21" s="32"/>
      <c r="AT21" s="33"/>
      <c r="AU21" s="30"/>
      <c r="AV21" s="30"/>
      <c r="AW21" s="16"/>
      <c r="AX21" s="16"/>
      <c r="AY21" s="30"/>
      <c r="AZ21" s="32"/>
      <c r="BA21" s="33"/>
      <c r="BB21" s="30"/>
      <c r="BC21" s="30"/>
      <c r="BD21" s="16"/>
      <c r="BE21" s="16"/>
      <c r="BG21" s="17">
        <v>18</v>
      </c>
      <c r="BH21" s="18">
        <f t="shared" si="19"/>
        <v>0</v>
      </c>
      <c r="BI21" s="18" t="str">
        <f t="shared" si="20"/>
        <v>FM</v>
      </c>
      <c r="BJ21" s="18">
        <f t="shared" si="21"/>
        <v>0</v>
      </c>
      <c r="BK21" s="24">
        <f t="shared" si="22"/>
        <v>0</v>
      </c>
      <c r="BL21" s="28"/>
      <c r="BM21" s="26" t="str">
        <f t="shared" si="14"/>
        <v/>
      </c>
      <c r="BN21" s="19" t="str">
        <f t="shared" si="15"/>
        <v/>
      </c>
      <c r="BO21" s="19" t="str">
        <f t="shared" si="4"/>
        <v/>
      </c>
      <c r="BP21" s="19" t="str">
        <f>IF(BO21="","",J358)</f>
        <v/>
      </c>
      <c r="BQ21" s="34" t="b">
        <f>IF(AY120="","",IF(AY120="T1","",IF(AY120="T2","",IF(AY120="T3",AZ138,IF(AY120="T4",AZ153)))))</f>
        <v>0</v>
      </c>
      <c r="BR21" s="34" t="b">
        <f>IF(AY120="","",IF(AY120="T1","",IF(AY120="T2","",IF(AY120="T3",BA138,IF(AY120="T4",BA153)))))</f>
        <v>0</v>
      </c>
      <c r="BS21" s="35" t="b">
        <f>IF(AY120="","",IF(AY120="T1","",IF(AY120="T2","",IF(AY120="T3",BB138,IF(AY120="T4",BB153)))))</f>
        <v>0</v>
      </c>
      <c r="BT21" s="35" t="b">
        <f>IF(AY120="","",IF(AY120="T1","",IF(AY120="T2","",IF(AY120="T3",BC138,IF(AY120="T4",BC153)))))</f>
        <v>0</v>
      </c>
      <c r="BU21" s="36" t="b">
        <f t="shared" si="23"/>
        <v>0</v>
      </c>
      <c r="BV21" s="36" t="b">
        <f>IF(AY120="","",IF(AY120="T1","",IF(AY120="T2","",IF(AY120="T3","",IF(AY120="T4","")))))</f>
        <v>0</v>
      </c>
      <c r="BW21" s="18">
        <f t="shared" si="24"/>
        <v>0</v>
      </c>
      <c r="BX21" s="18" t="str">
        <f t="shared" si="25"/>
        <v>EQCE</v>
      </c>
      <c r="BY21" s="18">
        <f t="shared" si="28"/>
        <v>10</v>
      </c>
      <c r="BZ21" s="18">
        <f t="shared" si="26"/>
        <v>20</v>
      </c>
      <c r="CA21" s="18">
        <f t="shared" si="29"/>
        <v>10</v>
      </c>
      <c r="CB21" s="4">
        <f t="shared" si="16"/>
        <v>0</v>
      </c>
      <c r="CD21" s="4">
        <f t="shared" si="18"/>
        <v>0</v>
      </c>
      <c r="CE21" s="29">
        <f t="shared" si="27"/>
        <v>0</v>
      </c>
    </row>
    <row r="22" spans="1:84" x14ac:dyDescent="0.25">
      <c r="A22" s="3"/>
      <c r="B22" s="3"/>
      <c r="C22" s="3"/>
      <c r="D22" s="3"/>
      <c r="E22" s="3"/>
      <c r="F22" s="3"/>
      <c r="G22" s="3"/>
      <c r="H22" s="3"/>
      <c r="I22" s="3"/>
      <c r="J22" s="3"/>
      <c r="K22" s="3"/>
      <c r="L22" s="3"/>
      <c r="M22" s="4"/>
      <c r="N22" s="4"/>
      <c r="O22" s="4"/>
      <c r="P22" s="4"/>
      <c r="Q22" s="4"/>
      <c r="R22" s="4"/>
      <c r="S22" s="4"/>
      <c r="T22" s="4"/>
      <c r="U22" s="4"/>
      <c r="V22" s="4"/>
      <c r="W22" s="4"/>
      <c r="X22" s="4"/>
      <c r="Y22" s="4"/>
      <c r="AB22" s="15"/>
      <c r="AC22" s="30"/>
      <c r="AD22" s="32"/>
      <c r="AE22" s="33"/>
      <c r="AF22" s="30"/>
      <c r="AG22" s="30"/>
      <c r="AH22" s="16"/>
      <c r="AI22" s="16"/>
      <c r="AJ22" s="16"/>
      <c r="AK22" s="30"/>
      <c r="AL22" s="32"/>
      <c r="AM22" s="33"/>
      <c r="AN22" s="30"/>
      <c r="AO22" s="30"/>
      <c r="AP22" s="30"/>
      <c r="AQ22" s="15"/>
      <c r="AR22" s="30"/>
      <c r="AS22" s="32"/>
      <c r="AT22" s="33"/>
      <c r="AU22" s="30"/>
      <c r="AV22" s="30"/>
      <c r="AW22" s="16"/>
      <c r="AX22" s="16"/>
      <c r="AY22" s="30"/>
      <c r="AZ22" s="32"/>
      <c r="BA22" s="33"/>
      <c r="BB22" s="30"/>
      <c r="BC22" s="30"/>
      <c r="BD22" s="16"/>
      <c r="BE22" s="16"/>
      <c r="BG22" s="17">
        <v>19</v>
      </c>
      <c r="BH22" s="18">
        <f t="shared" si="19"/>
        <v>0</v>
      </c>
      <c r="BI22" s="18" t="str">
        <f t="shared" si="20"/>
        <v>FM</v>
      </c>
      <c r="BJ22" s="18">
        <f t="shared" si="21"/>
        <v>0</v>
      </c>
      <c r="BK22" s="24">
        <f t="shared" si="22"/>
        <v>0</v>
      </c>
      <c r="BL22" s="25"/>
      <c r="BM22" s="26" t="str">
        <f t="shared" si="14"/>
        <v/>
      </c>
      <c r="BN22" s="19" t="str">
        <f t="shared" si="15"/>
        <v/>
      </c>
      <c r="BO22" s="19" t="str">
        <f t="shared" si="4"/>
        <v/>
      </c>
      <c r="BP22" s="19" t="str">
        <f>IF(BO22="","",J358)</f>
        <v/>
      </c>
      <c r="BQ22" s="34" t="b">
        <f>IF(AY121="","",IF(AY121="T1","",IF(AY121="T2","",IF(AY121="T3",AZ139,IF(AY121="T4","")))))</f>
        <v>0</v>
      </c>
      <c r="BR22" s="34" t="b">
        <f>IF(AY121="","",IF(AY121="T1","",IF(AY121="T2","",IF(AY121="T3",BA139,IF(AY121="T4","")))))</f>
        <v>0</v>
      </c>
      <c r="BS22" s="35" t="b">
        <f>IF(AY121="","",IF(AY121="T1","",IF(AY121="T2","",IF(AY121="T3",BB139,IF(AY121="T4","")))))</f>
        <v>0</v>
      </c>
      <c r="BT22" s="35" t="b">
        <f>IF(AY121="","",IF(AY121="T1","",IF(AY121="T2","",IF(AY121="T3",BC139,IF(AY121="T4","")))))</f>
        <v>0</v>
      </c>
      <c r="BU22" s="36" t="b">
        <f t="shared" si="23"/>
        <v>0</v>
      </c>
      <c r="BV22" s="36" t="b">
        <f>IF(AY121="","",IF(AY121="T1","",IF(AY121="T2","",IF(AY121="T3",BE139,IF(AY121="T4","")))))</f>
        <v>0</v>
      </c>
      <c r="BW22" s="18">
        <f t="shared" si="24"/>
        <v>0</v>
      </c>
      <c r="BX22" s="18" t="str">
        <f t="shared" si="25"/>
        <v>EQCE</v>
      </c>
      <c r="BY22" s="18">
        <f t="shared" si="28"/>
        <v>10</v>
      </c>
      <c r="BZ22" s="18">
        <f t="shared" si="26"/>
        <v>20</v>
      </c>
      <c r="CA22" s="18">
        <f t="shared" si="29"/>
        <v>10</v>
      </c>
      <c r="CB22" s="4">
        <f t="shared" si="16"/>
        <v>0</v>
      </c>
      <c r="CD22" s="4">
        <f t="shared" si="18"/>
        <v>0</v>
      </c>
      <c r="CE22" s="29">
        <f t="shared" si="27"/>
        <v>0</v>
      </c>
    </row>
    <row r="23" spans="1:84" ht="15.6" x14ac:dyDescent="0.3">
      <c r="A23" s="3"/>
      <c r="B23" s="3"/>
      <c r="C23" s="41" t="s">
        <v>112</v>
      </c>
      <c r="D23" s="3"/>
      <c r="E23" s="3"/>
      <c r="F23" s="3"/>
      <c r="G23" s="3"/>
      <c r="H23" s="3"/>
      <c r="I23" s="3"/>
      <c r="J23" s="3"/>
      <c r="K23" s="3"/>
      <c r="L23" s="3"/>
      <c r="M23" s="4"/>
      <c r="N23" s="4"/>
      <c r="O23" s="4"/>
      <c r="P23" s="4"/>
      <c r="Q23" s="4"/>
      <c r="R23" s="4"/>
      <c r="S23" s="4"/>
      <c r="T23" s="4"/>
      <c r="U23" s="4"/>
      <c r="V23" s="4"/>
      <c r="W23" s="4"/>
      <c r="X23" s="4"/>
      <c r="Y23" s="4"/>
      <c r="AB23" s="15"/>
      <c r="AC23" s="30"/>
      <c r="AD23" s="32"/>
      <c r="AE23" s="33"/>
      <c r="AF23" s="30"/>
      <c r="AG23" s="30"/>
      <c r="AH23" s="16"/>
      <c r="AI23" s="16"/>
      <c r="AJ23" s="16"/>
      <c r="AK23" s="30"/>
      <c r="AL23" s="32"/>
      <c r="AM23" s="33"/>
      <c r="AN23" s="30"/>
      <c r="AO23" s="30"/>
      <c r="AP23" s="30"/>
      <c r="AQ23" s="15"/>
      <c r="AR23" s="30"/>
      <c r="AS23" s="32"/>
      <c r="AT23" s="33"/>
      <c r="AU23" s="30"/>
      <c r="AV23" s="30"/>
      <c r="AW23" s="16"/>
      <c r="AX23" s="16"/>
      <c r="AY23" s="23"/>
      <c r="AZ23" s="16"/>
      <c r="BA23" s="16"/>
      <c r="BB23" s="16"/>
      <c r="BC23" s="16"/>
      <c r="BD23" s="16"/>
      <c r="BE23" s="16"/>
      <c r="BG23" s="17">
        <v>20</v>
      </c>
      <c r="BH23" s="18">
        <f t="shared" si="19"/>
        <v>0</v>
      </c>
      <c r="BI23" s="18" t="str">
        <f t="shared" si="20"/>
        <v>FM</v>
      </c>
      <c r="BJ23" s="18">
        <f t="shared" si="21"/>
        <v>0</v>
      </c>
      <c r="BK23" s="24">
        <f t="shared" si="22"/>
        <v>0</v>
      </c>
      <c r="BL23" s="25"/>
      <c r="BM23" s="26" t="str">
        <f t="shared" si="14"/>
        <v/>
      </c>
      <c r="BN23" s="19" t="str">
        <f t="shared" si="15"/>
        <v/>
      </c>
      <c r="BO23" s="19" t="str">
        <f t="shared" si="4"/>
        <v/>
      </c>
      <c r="BP23" s="19" t="str">
        <f>IF(BO23="","",J358)</f>
        <v/>
      </c>
      <c r="BQ23" s="34" t="b">
        <f>IF(AY122="","",IF(AY122="T1","",IF(AY122="T2","",IF(AY122="T3",AZ140,IF(AY122="T4","")))))</f>
        <v>0</v>
      </c>
      <c r="BR23" s="34" t="b">
        <f>IF(AY122="","",IF(AY122="T1","",IF(AY122="T2","",IF(AY122="T3",BA140,IF(AY122="T4","")))))</f>
        <v>0</v>
      </c>
      <c r="BS23" s="35" t="b">
        <f>IF(AY122="","",IF(AY122="T1","",IF(AY122="T2","",IF(AY122="T3",BB140,IF(AY122="T4","")))))</f>
        <v>0</v>
      </c>
      <c r="BT23" s="35" t="b">
        <f>IF(AY122="","",IF(AY122="T1","",IF(AY122="T2","",IF(AY122="T3",BC140,IF(AY122="T4","")))))</f>
        <v>0</v>
      </c>
      <c r="BU23" s="36" t="b">
        <f t="shared" si="23"/>
        <v>0</v>
      </c>
      <c r="BV23" s="36" t="b">
        <f>IF(AY122="","",IF(AY122="T1","",IF(AY122="T2","",IF(AY122="T3",BE140,IF(AY122="T4","")))))</f>
        <v>0</v>
      </c>
      <c r="BW23" s="18">
        <f t="shared" si="24"/>
        <v>0</v>
      </c>
      <c r="BX23" s="18" t="str">
        <f t="shared" si="25"/>
        <v>EQCE</v>
      </c>
      <c r="BY23" s="18">
        <f>IF(BX23="","",10)</f>
        <v>10</v>
      </c>
      <c r="BZ23" s="18">
        <f t="shared" si="26"/>
        <v>20</v>
      </c>
      <c r="CA23" s="18">
        <f>IF(BX23="","",10)</f>
        <v>10</v>
      </c>
      <c r="CB23" s="4">
        <f t="shared" si="16"/>
        <v>0</v>
      </c>
      <c r="CD23" s="4">
        <f t="shared" si="18"/>
        <v>0</v>
      </c>
      <c r="CE23" s="29">
        <f t="shared" si="27"/>
        <v>0</v>
      </c>
    </row>
    <row r="24" spans="1:84" x14ac:dyDescent="0.25">
      <c r="A24" s="3"/>
      <c r="B24" s="3"/>
      <c r="C24" s="3"/>
      <c r="D24" s="3"/>
      <c r="E24" s="3"/>
      <c r="F24" s="3"/>
      <c r="G24" s="3"/>
      <c r="H24" s="3"/>
      <c r="I24" s="3"/>
      <c r="J24" s="3"/>
      <c r="K24" s="3"/>
      <c r="L24" s="3"/>
      <c r="M24" s="4"/>
      <c r="N24" s="4"/>
      <c r="O24" s="4"/>
      <c r="P24" s="4"/>
      <c r="Q24" s="4"/>
      <c r="R24" s="4"/>
      <c r="S24" s="4"/>
      <c r="T24" s="4"/>
      <c r="U24" s="4"/>
      <c r="V24" s="4"/>
      <c r="W24" s="4"/>
      <c r="X24" s="4"/>
      <c r="Y24" s="4"/>
      <c r="AB24" s="15"/>
      <c r="AC24" s="23"/>
      <c r="AD24" s="16"/>
      <c r="AE24" s="16"/>
      <c r="AF24" s="16"/>
      <c r="AG24" s="16"/>
      <c r="AH24" s="16"/>
      <c r="AI24" s="16"/>
      <c r="AJ24" s="16"/>
      <c r="AK24" s="23"/>
      <c r="AL24" s="16"/>
      <c r="AM24" s="16"/>
      <c r="AN24" s="16"/>
      <c r="AO24" s="16"/>
      <c r="AP24" s="16"/>
      <c r="AQ24" s="15"/>
      <c r="AR24" s="23"/>
      <c r="AS24" s="16"/>
      <c r="AT24" s="16"/>
      <c r="AU24" s="16"/>
      <c r="AV24" s="16"/>
      <c r="AW24" s="16"/>
      <c r="AX24" s="16"/>
      <c r="AY24" s="30"/>
      <c r="AZ24" s="32"/>
      <c r="BA24" s="33"/>
      <c r="BB24" s="30"/>
      <c r="BC24" s="30"/>
      <c r="BD24" s="30"/>
      <c r="BE24" s="16"/>
      <c r="BG24" s="17">
        <v>21</v>
      </c>
      <c r="BH24" s="18">
        <f t="shared" ref="BH24:BH33" si="30">IF(BI24="","",IF(BI24=0,"",IF(BI24="DT",BH14*2)))</f>
        <v>0</v>
      </c>
      <c r="BI24" s="18" t="str">
        <f>IF(BK24="","","DT")</f>
        <v>DT</v>
      </c>
      <c r="BJ24" s="18">
        <f t="shared" ref="BJ24:BJ33" si="31">IF(BI24="","",IF(BI24=0,"",IF(BI24="DT",BJ14)))</f>
        <v>0</v>
      </c>
      <c r="BK24" s="24">
        <f t="shared" ref="BK24:BK33" si="32">IF(D84="","",AD84-(BT4+F84+H84))</f>
        <v>-10</v>
      </c>
      <c r="BL24" s="25"/>
      <c r="BM24" s="26" t="str">
        <f>IF(BO24="","",1)</f>
        <v/>
      </c>
      <c r="BN24" s="19" t="str">
        <f>IF(BO24="","","CL")</f>
        <v/>
      </c>
      <c r="BO24" s="19" t="str">
        <f t="shared" ref="BO24:BO43" si="33">IF(AW266=0,"",AW266)</f>
        <v/>
      </c>
      <c r="BP24" s="19" t="str">
        <f>IF(BO24="","",IF(I361="SI",J358-AO266,J358))</f>
        <v/>
      </c>
      <c r="BQ24" s="34" t="b">
        <f>IF(AY123="","",IF(AY123="T1","",IF(AY123="T2","",IF(AY123="T3",AZ141,IF(AY123="T4","")))))</f>
        <v>0</v>
      </c>
      <c r="BR24" s="34" t="b">
        <f>IF(AY123="","",IF(AY123="T1","",IF(AY123="T2","",IF(AY123="T3",BA141,IF(AY123="T4","")))))</f>
        <v>0</v>
      </c>
      <c r="BS24" s="35" t="b">
        <f>IF(AY123="","",IF(AY123="T1","",IF(AY123="T2","",IF(AY123="T3",BB141,IF(AY123="T4","")))))</f>
        <v>0</v>
      </c>
      <c r="BT24" s="35" t="b">
        <f>IF(AY123="","",IF(AY123="T1","",IF(AY123="T2","",IF(AY123="T3",BC141,IF(AY123="T4","")))))</f>
        <v>0</v>
      </c>
      <c r="BU24" s="36" t="b">
        <f t="shared" si="23"/>
        <v>0</v>
      </c>
      <c r="BV24" s="36" t="b">
        <f>IF(AY123="","",IF(AY123="T1","",IF(AY123="T2","",IF(AY123="T3",BE141,IF(AY123="T4","")))))</f>
        <v>0</v>
      </c>
      <c r="BW24" s="19" t="str">
        <f t="shared" ref="BW24:BW43" si="34">IF(I361="SI",BM76,"")</f>
        <v/>
      </c>
      <c r="BX24" s="19" t="str">
        <f t="shared" ref="BX24:BX43" si="35">IF(I361="SI","RML","")</f>
        <v/>
      </c>
      <c r="BY24" s="19" t="str">
        <f t="shared" ref="BY24:BY43" si="36">IF(I361="SI",AO266,"")</f>
        <v/>
      </c>
      <c r="BZ24" s="19" t="str">
        <f t="shared" ref="BZ24:BZ43" si="37">IF(BX24="","",BO76)</f>
        <v/>
      </c>
      <c r="CA24" s="19"/>
      <c r="CB24" s="4">
        <f t="shared" si="16"/>
        <v>0</v>
      </c>
      <c r="CE24" s="29">
        <f t="shared" si="27"/>
        <v>0</v>
      </c>
    </row>
    <row r="25" spans="1:84" x14ac:dyDescent="0.25">
      <c r="A25" s="3"/>
      <c r="B25" s="3"/>
      <c r="C25" s="3"/>
      <c r="D25" s="3"/>
      <c r="E25" s="3"/>
      <c r="F25" s="3"/>
      <c r="G25" s="3"/>
      <c r="H25" s="3"/>
      <c r="I25" s="3"/>
      <c r="J25" s="3"/>
      <c r="K25" s="3"/>
      <c r="L25" s="3"/>
      <c r="M25" s="4"/>
      <c r="N25" s="4"/>
      <c r="O25" s="4"/>
      <c r="P25" s="4"/>
      <c r="Q25" s="4"/>
      <c r="R25" s="4"/>
      <c r="S25" s="4"/>
      <c r="T25" s="4"/>
      <c r="U25" s="4"/>
      <c r="V25" s="4"/>
      <c r="W25" s="4"/>
      <c r="X25" s="4"/>
      <c r="Y25" s="4"/>
      <c r="AB25" s="15"/>
      <c r="AC25" s="30"/>
      <c r="AD25" s="32"/>
      <c r="AE25" s="33"/>
      <c r="AF25" s="30"/>
      <c r="AG25" s="30"/>
      <c r="AH25" s="30"/>
      <c r="AI25" s="30"/>
      <c r="AJ25" s="30"/>
      <c r="AK25" s="30"/>
      <c r="AL25" s="32"/>
      <c r="AM25" s="30"/>
      <c r="AN25" s="33"/>
      <c r="AO25" s="30"/>
      <c r="AP25" s="30"/>
      <c r="AQ25" s="15"/>
      <c r="AR25" s="30"/>
      <c r="AS25" s="32"/>
      <c r="AT25" s="33"/>
      <c r="AU25" s="30"/>
      <c r="AV25" s="30"/>
      <c r="AW25" s="30"/>
      <c r="AX25" s="16"/>
      <c r="AY25" s="30"/>
      <c r="AZ25" s="32"/>
      <c r="BA25" s="33"/>
      <c r="BB25" s="33"/>
      <c r="BC25" s="30"/>
      <c r="BD25" s="30"/>
      <c r="BE25" s="16"/>
      <c r="BG25" s="17">
        <v>22</v>
      </c>
      <c r="BH25" s="18">
        <f t="shared" si="30"/>
        <v>0</v>
      </c>
      <c r="BI25" s="18" t="str">
        <f t="shared" ref="BI25:BI32" si="38">IF(BK25="","","DT")</f>
        <v>DT</v>
      </c>
      <c r="BJ25" s="18">
        <f t="shared" si="31"/>
        <v>0</v>
      </c>
      <c r="BK25" s="24">
        <f t="shared" si="32"/>
        <v>-10</v>
      </c>
      <c r="BL25" s="25"/>
      <c r="BM25" s="26" t="str">
        <f t="shared" ref="BM25:BM43" si="39">IF(BO25="","",1)</f>
        <v/>
      </c>
      <c r="BN25" s="19" t="str">
        <f t="shared" ref="BN25:BN43" si="40">IF(BO25="","","CL")</f>
        <v/>
      </c>
      <c r="BO25" s="19" t="str">
        <f t="shared" si="33"/>
        <v/>
      </c>
      <c r="BP25" s="19" t="str">
        <f>IF(BO25="","",IF(I362="SI",J358-AO267,J358))</f>
        <v/>
      </c>
      <c r="BQ25" s="42" t="str">
        <f>IF(D228="","",4*D228)</f>
        <v/>
      </c>
      <c r="BR25" s="42" t="str">
        <f>IF(BT25="","","EQM")</f>
        <v/>
      </c>
      <c r="BS25" s="43" t="str">
        <f>IF(BT25="","",15)</f>
        <v/>
      </c>
      <c r="BT25" s="44" t="str">
        <f>IF(H228="","",H228)</f>
        <v/>
      </c>
      <c r="BU25" s="45"/>
      <c r="BV25" s="45"/>
      <c r="BW25" s="19" t="str">
        <f t="shared" si="34"/>
        <v/>
      </c>
      <c r="BX25" s="19" t="str">
        <f t="shared" si="35"/>
        <v/>
      </c>
      <c r="BY25" s="19" t="str">
        <f t="shared" si="36"/>
        <v/>
      </c>
      <c r="BZ25" s="19" t="str">
        <f t="shared" si="37"/>
        <v/>
      </c>
      <c r="CA25" s="19"/>
      <c r="CB25" s="4">
        <f t="shared" si="16"/>
        <v>0</v>
      </c>
      <c r="CC25" s="29"/>
      <c r="CD25" s="29"/>
      <c r="CE25" s="29"/>
    </row>
    <row r="26" spans="1:84" x14ac:dyDescent="0.25">
      <c r="A26" s="3"/>
      <c r="B26" s="3"/>
      <c r="C26" s="3"/>
      <c r="D26" s="3"/>
      <c r="E26" s="3"/>
      <c r="F26" s="3"/>
      <c r="G26" s="3"/>
      <c r="H26" s="3"/>
      <c r="I26" s="3"/>
      <c r="J26" s="3"/>
      <c r="K26" s="3"/>
      <c r="L26" s="3"/>
      <c r="M26" s="4"/>
      <c r="N26" s="4"/>
      <c r="O26" s="4"/>
      <c r="P26" s="4"/>
      <c r="Q26" s="4"/>
      <c r="R26" s="4"/>
      <c r="S26" s="4"/>
      <c r="T26" s="4"/>
      <c r="U26" s="4"/>
      <c r="V26" s="4"/>
      <c r="W26" s="4"/>
      <c r="X26" s="4"/>
      <c r="Y26" s="4"/>
      <c r="AB26" s="15"/>
      <c r="AC26" s="30"/>
      <c r="AD26" s="32"/>
      <c r="AE26" s="33"/>
      <c r="AF26" s="30"/>
      <c r="AG26" s="15"/>
      <c r="AH26" s="30"/>
      <c r="AI26" s="30"/>
      <c r="AJ26" s="30"/>
      <c r="AK26" s="30"/>
      <c r="AL26" s="30"/>
      <c r="AM26" s="16"/>
      <c r="AN26" s="33"/>
      <c r="AO26" s="16"/>
      <c r="AP26" s="16"/>
      <c r="AQ26" s="15"/>
      <c r="AR26" s="30"/>
      <c r="AS26" s="32"/>
      <c r="AT26" s="33"/>
      <c r="AU26" s="30"/>
      <c r="AV26" s="30"/>
      <c r="AW26" s="30"/>
      <c r="AX26" s="30"/>
      <c r="AY26" s="30"/>
      <c r="AZ26" s="32"/>
      <c r="BA26" s="33"/>
      <c r="BB26" s="30"/>
      <c r="BC26" s="30"/>
      <c r="BD26" s="30"/>
      <c r="BE26" s="30"/>
      <c r="BG26" s="17">
        <v>23</v>
      </c>
      <c r="BH26" s="18">
        <f t="shared" si="30"/>
        <v>0</v>
      </c>
      <c r="BI26" s="18" t="str">
        <f t="shared" si="38"/>
        <v>DT</v>
      </c>
      <c r="BJ26" s="18">
        <f t="shared" si="31"/>
        <v>0</v>
      </c>
      <c r="BK26" s="24">
        <f t="shared" si="32"/>
        <v>-10</v>
      </c>
      <c r="BL26" s="25"/>
      <c r="BM26" s="26" t="str">
        <f t="shared" si="39"/>
        <v/>
      </c>
      <c r="BN26" s="19" t="str">
        <f t="shared" si="40"/>
        <v/>
      </c>
      <c r="BO26" s="19" t="str">
        <f t="shared" si="33"/>
        <v/>
      </c>
      <c r="BP26" s="19" t="str">
        <f>IF(BO26="","",IF(I363="SI",J358-AO268,J358))</f>
        <v/>
      </c>
      <c r="BQ26" s="42" t="str">
        <f>IF(D229="","",4*D229)</f>
        <v/>
      </c>
      <c r="BR26" s="42" t="str">
        <f>IF(BT26="","","EQM")</f>
        <v/>
      </c>
      <c r="BS26" s="43" t="str">
        <f>IF(BT26="","",15)</f>
        <v/>
      </c>
      <c r="BT26" s="44" t="str">
        <f>IF(H229="","",H229)</f>
        <v/>
      </c>
      <c r="BU26" s="42"/>
      <c r="BV26" s="45"/>
      <c r="BW26" s="19" t="str">
        <f t="shared" si="34"/>
        <v/>
      </c>
      <c r="BX26" s="19" t="str">
        <f t="shared" si="35"/>
        <v/>
      </c>
      <c r="BY26" s="19" t="str">
        <f t="shared" si="36"/>
        <v/>
      </c>
      <c r="BZ26" s="19" t="str">
        <f t="shared" si="37"/>
        <v/>
      </c>
      <c r="CA26" s="19"/>
      <c r="CB26" s="4">
        <f t="shared" si="16"/>
        <v>0</v>
      </c>
      <c r="CC26" s="29"/>
      <c r="CD26" s="29"/>
      <c r="CE26" s="29"/>
    </row>
    <row r="27" spans="1:84" x14ac:dyDescent="0.25">
      <c r="A27" s="3"/>
      <c r="B27" s="3"/>
      <c r="C27" s="3"/>
      <c r="D27" s="3"/>
      <c r="E27" s="3"/>
      <c r="F27" s="3"/>
      <c r="G27" s="3"/>
      <c r="H27" s="3"/>
      <c r="I27" s="3"/>
      <c r="J27" s="3"/>
      <c r="K27" s="3"/>
      <c r="L27" s="3"/>
      <c r="M27" s="4"/>
      <c r="N27" s="4"/>
      <c r="O27" s="4"/>
      <c r="P27" s="4"/>
      <c r="Q27" s="4"/>
      <c r="R27" s="4"/>
      <c r="S27" s="4"/>
      <c r="T27" s="4"/>
      <c r="U27" s="4"/>
      <c r="V27" s="4"/>
      <c r="W27" s="4"/>
      <c r="X27" s="4"/>
      <c r="Y27" s="4"/>
      <c r="AB27" s="15"/>
      <c r="AC27" s="30"/>
      <c r="AD27" s="32"/>
      <c r="AE27" s="33"/>
      <c r="AF27" s="30"/>
      <c r="AG27" s="30"/>
      <c r="AH27" s="30"/>
      <c r="AI27" s="30"/>
      <c r="AJ27" s="30"/>
      <c r="AK27" s="30"/>
      <c r="AL27" s="30"/>
      <c r="AM27" s="33"/>
      <c r="AN27" s="33"/>
      <c r="AO27" s="30"/>
      <c r="AP27" s="16"/>
      <c r="AQ27" s="15"/>
      <c r="AR27" s="30"/>
      <c r="AS27" s="32"/>
      <c r="AT27" s="33"/>
      <c r="AU27" s="30"/>
      <c r="AV27" s="30"/>
      <c r="AW27" s="30"/>
      <c r="AX27" s="30"/>
      <c r="AY27" s="23"/>
      <c r="AZ27" s="16"/>
      <c r="BA27" s="16"/>
      <c r="BB27" s="16"/>
      <c r="BC27" s="16"/>
      <c r="BD27" s="16"/>
      <c r="BE27" s="30"/>
      <c r="BG27" s="17">
        <v>24</v>
      </c>
      <c r="BH27" s="18">
        <f t="shared" si="30"/>
        <v>0</v>
      </c>
      <c r="BI27" s="18" t="str">
        <f t="shared" si="38"/>
        <v>DT</v>
      </c>
      <c r="BJ27" s="18">
        <f t="shared" si="31"/>
        <v>0</v>
      </c>
      <c r="BK27" s="24">
        <f t="shared" si="32"/>
        <v>-10</v>
      </c>
      <c r="BL27" s="25"/>
      <c r="BM27" s="26" t="str">
        <f t="shared" si="39"/>
        <v/>
      </c>
      <c r="BN27" s="19" t="str">
        <f t="shared" si="40"/>
        <v/>
      </c>
      <c r="BO27" s="19" t="str">
        <f t="shared" si="33"/>
        <v/>
      </c>
      <c r="BP27" s="19" t="str">
        <f>IF(BO27="","",IF(I364="SI",J358-AO269,J358))</f>
        <v/>
      </c>
      <c r="BQ27" s="42" t="str">
        <f>IF(D230="","",4*D230)</f>
        <v/>
      </c>
      <c r="BR27" s="42" t="str">
        <f>IF(BT27="","","EQM")</f>
        <v/>
      </c>
      <c r="BS27" s="43" t="str">
        <f>IF(BT27="","",15)</f>
        <v/>
      </c>
      <c r="BT27" s="44" t="str">
        <f>IF(H230="","",H230)</f>
        <v/>
      </c>
      <c r="BU27" s="42"/>
      <c r="BV27" s="45"/>
      <c r="BW27" s="19" t="str">
        <f t="shared" si="34"/>
        <v/>
      </c>
      <c r="BX27" s="19" t="str">
        <f t="shared" si="35"/>
        <v/>
      </c>
      <c r="BY27" s="19" t="str">
        <f t="shared" si="36"/>
        <v/>
      </c>
      <c r="BZ27" s="19" t="str">
        <f t="shared" si="37"/>
        <v/>
      </c>
      <c r="CA27" s="19"/>
      <c r="CB27" s="4">
        <f t="shared" si="16"/>
        <v>0</v>
      </c>
      <c r="CC27" s="46"/>
      <c r="CD27" s="29"/>
      <c r="CE27" s="29"/>
    </row>
    <row r="28" spans="1:84" x14ac:dyDescent="0.25">
      <c r="A28" s="3"/>
      <c r="B28" s="3"/>
      <c r="C28" s="3"/>
      <c r="D28" s="3"/>
      <c r="E28" s="3"/>
      <c r="F28" s="3"/>
      <c r="G28" s="3"/>
      <c r="H28" s="3"/>
      <c r="I28" s="3"/>
      <c r="J28" s="3"/>
      <c r="K28" s="3"/>
      <c r="L28" s="3"/>
      <c r="M28" s="4"/>
      <c r="N28" s="4"/>
      <c r="O28" s="4"/>
      <c r="P28" s="4"/>
      <c r="Q28" s="4"/>
      <c r="R28" s="4"/>
      <c r="S28" s="4"/>
      <c r="T28" s="4"/>
      <c r="U28" s="4"/>
      <c r="V28" s="4"/>
      <c r="W28" s="4"/>
      <c r="X28" s="4"/>
      <c r="Y28" s="4"/>
      <c r="AB28" s="15"/>
      <c r="AC28" s="23"/>
      <c r="AD28" s="16"/>
      <c r="AE28" s="16"/>
      <c r="AF28" s="16"/>
      <c r="AG28" s="16"/>
      <c r="AH28" s="16"/>
      <c r="AI28" s="16"/>
      <c r="AJ28" s="16"/>
      <c r="AK28" s="16"/>
      <c r="AL28" s="16"/>
      <c r="AM28" s="16"/>
      <c r="AN28" s="16"/>
      <c r="AO28" s="16"/>
      <c r="AP28" s="16"/>
      <c r="AQ28" s="15"/>
      <c r="AR28" s="23"/>
      <c r="AS28" s="16"/>
      <c r="AT28" s="16"/>
      <c r="AU28" s="16"/>
      <c r="AV28" s="16"/>
      <c r="AW28" s="16"/>
      <c r="AX28" s="30"/>
      <c r="AY28" s="30"/>
      <c r="AZ28" s="32"/>
      <c r="BA28" s="30"/>
      <c r="BB28" s="33"/>
      <c r="BC28" s="30"/>
      <c r="BD28" s="30"/>
      <c r="BE28" s="30"/>
      <c r="BG28" s="17">
        <v>25</v>
      </c>
      <c r="BH28" s="18">
        <f t="shared" si="30"/>
        <v>0</v>
      </c>
      <c r="BI28" s="18" t="str">
        <f t="shared" si="38"/>
        <v>DT</v>
      </c>
      <c r="BJ28" s="18">
        <f t="shared" si="31"/>
        <v>0</v>
      </c>
      <c r="BK28" s="24">
        <f t="shared" si="32"/>
        <v>-10</v>
      </c>
      <c r="BL28" s="28"/>
      <c r="BM28" s="26" t="str">
        <f t="shared" si="39"/>
        <v/>
      </c>
      <c r="BN28" s="19" t="str">
        <f t="shared" si="40"/>
        <v/>
      </c>
      <c r="BO28" s="19" t="str">
        <f t="shared" si="33"/>
        <v/>
      </c>
      <c r="BP28" s="19" t="str">
        <f>IF(BO28="","",IF(I365="SI",J358-AO270,J358))</f>
        <v/>
      </c>
      <c r="BQ28" s="42" t="str">
        <f>IF(D231="","",4*D231)</f>
        <v/>
      </c>
      <c r="BR28" s="42" t="str">
        <f>IF(BT28="","","EQM")</f>
        <v/>
      </c>
      <c r="BS28" s="43" t="str">
        <f>IF(BT28="","",15)</f>
        <v/>
      </c>
      <c r="BT28" s="44" t="str">
        <f>IF(H231="","",H231)</f>
        <v/>
      </c>
      <c r="BU28" s="42"/>
      <c r="BV28" s="45"/>
      <c r="BW28" s="19" t="str">
        <f t="shared" si="34"/>
        <v/>
      </c>
      <c r="BX28" s="19" t="str">
        <f t="shared" si="35"/>
        <v/>
      </c>
      <c r="BY28" s="19" t="str">
        <f t="shared" si="36"/>
        <v/>
      </c>
      <c r="BZ28" s="19" t="str">
        <f t="shared" si="37"/>
        <v/>
      </c>
      <c r="CA28" s="19"/>
      <c r="CB28" s="4">
        <f t="shared" si="16"/>
        <v>0</v>
      </c>
      <c r="CC28" s="29"/>
      <c r="CD28" s="29"/>
      <c r="CE28" s="29"/>
    </row>
    <row r="29" spans="1:84" x14ac:dyDescent="0.25">
      <c r="A29" s="3"/>
      <c r="B29" s="3"/>
      <c r="C29" s="3"/>
      <c r="D29" s="3"/>
      <c r="E29" s="3"/>
      <c r="F29" s="3"/>
      <c r="G29" s="3"/>
      <c r="H29" s="3"/>
      <c r="I29" s="3"/>
      <c r="J29" s="3"/>
      <c r="K29" s="3"/>
      <c r="L29" s="3"/>
      <c r="M29" s="4"/>
      <c r="N29" s="4"/>
      <c r="O29" s="4"/>
      <c r="P29" s="4"/>
      <c r="Q29" s="4"/>
      <c r="R29" s="4"/>
      <c r="S29" s="4"/>
      <c r="T29" s="4"/>
      <c r="U29" s="4"/>
      <c r="V29" s="4"/>
      <c r="W29" s="4"/>
      <c r="X29" s="4"/>
      <c r="Y29" s="4"/>
      <c r="AB29" s="15"/>
      <c r="AC29" s="30"/>
      <c r="AD29" s="32"/>
      <c r="AE29" s="30"/>
      <c r="AF29" s="33"/>
      <c r="AG29" s="30"/>
      <c r="AH29" s="30"/>
      <c r="AI29" s="30"/>
      <c r="AJ29" s="30"/>
      <c r="AK29" s="16"/>
      <c r="AL29" s="16"/>
      <c r="AM29" s="16"/>
      <c r="AN29" s="16"/>
      <c r="AO29" s="16"/>
      <c r="AP29" s="16"/>
      <c r="AQ29" s="15"/>
      <c r="AR29" s="30"/>
      <c r="AS29" s="32"/>
      <c r="AT29" s="30"/>
      <c r="AU29" s="33"/>
      <c r="AV29" s="30"/>
      <c r="AW29" s="30"/>
      <c r="AX29" s="16"/>
      <c r="AY29" s="30"/>
      <c r="AZ29" s="16"/>
      <c r="BA29" s="16"/>
      <c r="BB29" s="33"/>
      <c r="BC29" s="16"/>
      <c r="BD29" s="16"/>
      <c r="BE29" s="16"/>
      <c r="BG29" s="17">
        <v>26</v>
      </c>
      <c r="BH29" s="18">
        <f t="shared" si="30"/>
        <v>0</v>
      </c>
      <c r="BI29" s="18" t="str">
        <f t="shared" si="38"/>
        <v>DT</v>
      </c>
      <c r="BJ29" s="18">
        <f t="shared" si="31"/>
        <v>0</v>
      </c>
      <c r="BK29" s="24">
        <f t="shared" si="32"/>
        <v>-10</v>
      </c>
      <c r="BL29" s="25"/>
      <c r="BM29" s="26" t="str">
        <f t="shared" si="39"/>
        <v/>
      </c>
      <c r="BN29" s="19" t="str">
        <f t="shared" si="40"/>
        <v/>
      </c>
      <c r="BO29" s="19" t="str">
        <f t="shared" si="33"/>
        <v/>
      </c>
      <c r="BP29" s="19" t="str">
        <f>IF(BO29="","",IF(I366="SI",J358-AO271,J358))</f>
        <v/>
      </c>
      <c r="BQ29" s="42" t="str">
        <f>IF(D232="","",4*D232)</f>
        <v/>
      </c>
      <c r="BR29" s="42" t="str">
        <f>IF(BT29="","","EQM")</f>
        <v/>
      </c>
      <c r="BS29" s="43" t="str">
        <f>IF(BT29="","",15)</f>
        <v/>
      </c>
      <c r="BT29" s="44" t="str">
        <f>IF(H232="","",H232)</f>
        <v/>
      </c>
      <c r="BU29" s="47"/>
      <c r="BV29" s="45"/>
      <c r="BW29" s="19" t="str">
        <f t="shared" si="34"/>
        <v/>
      </c>
      <c r="BX29" s="19" t="str">
        <f t="shared" si="35"/>
        <v/>
      </c>
      <c r="BY29" s="19" t="str">
        <f t="shared" si="36"/>
        <v/>
      </c>
      <c r="BZ29" s="19" t="str">
        <f t="shared" si="37"/>
        <v/>
      </c>
      <c r="CA29" s="19"/>
      <c r="CB29" s="4">
        <f t="shared" si="16"/>
        <v>0</v>
      </c>
      <c r="CC29" s="29"/>
      <c r="CD29" s="29"/>
      <c r="CE29" s="29"/>
    </row>
    <row r="30" spans="1:84" x14ac:dyDescent="0.25">
      <c r="A30" s="3"/>
      <c r="B30" s="3"/>
      <c r="C30" s="3"/>
      <c r="D30" s="3"/>
      <c r="E30" s="3"/>
      <c r="F30" s="3"/>
      <c r="G30" s="3"/>
      <c r="H30" s="3"/>
      <c r="I30" s="3"/>
      <c r="J30" s="3"/>
      <c r="K30" s="3"/>
      <c r="L30" s="3"/>
      <c r="M30" s="4"/>
      <c r="N30" s="4"/>
      <c r="O30" s="4"/>
      <c r="P30" s="4"/>
      <c r="Q30" s="4"/>
      <c r="R30" s="4"/>
      <c r="S30" s="4"/>
      <c r="T30" s="4"/>
      <c r="U30" s="4"/>
      <c r="V30" s="4"/>
      <c r="W30" s="4"/>
      <c r="X30" s="4"/>
      <c r="Y30" s="4"/>
      <c r="AB30" s="15"/>
      <c r="AC30" s="30"/>
      <c r="AD30" s="16"/>
      <c r="AE30" s="16"/>
      <c r="AF30" s="33"/>
      <c r="AG30" s="16"/>
      <c r="AH30" s="16"/>
      <c r="AI30" s="16"/>
      <c r="AJ30" s="16"/>
      <c r="AK30" s="16"/>
      <c r="AL30" s="16"/>
      <c r="AM30" s="16"/>
      <c r="AN30" s="16"/>
      <c r="AO30" s="16"/>
      <c r="AP30" s="16"/>
      <c r="AQ30" s="15"/>
      <c r="AR30" s="30"/>
      <c r="AS30" s="16"/>
      <c r="AT30" s="16"/>
      <c r="AU30" s="33"/>
      <c r="AV30" s="16"/>
      <c r="AW30" s="16"/>
      <c r="AX30" s="30"/>
      <c r="AY30" s="30"/>
      <c r="AZ30" s="16"/>
      <c r="BA30" s="16"/>
      <c r="BB30" s="33"/>
      <c r="BC30" s="16"/>
      <c r="BD30" s="16"/>
      <c r="BE30" s="30"/>
      <c r="BG30" s="17">
        <v>27</v>
      </c>
      <c r="BH30" s="18">
        <f t="shared" si="30"/>
        <v>0</v>
      </c>
      <c r="BI30" s="18" t="str">
        <f t="shared" si="38"/>
        <v>DT</v>
      </c>
      <c r="BJ30" s="18">
        <f t="shared" si="31"/>
        <v>0</v>
      </c>
      <c r="BK30" s="24">
        <f t="shared" si="32"/>
        <v>-10</v>
      </c>
      <c r="BL30" s="25"/>
      <c r="BM30" s="26" t="str">
        <f t="shared" si="39"/>
        <v/>
      </c>
      <c r="BN30" s="19" t="str">
        <f t="shared" si="40"/>
        <v/>
      </c>
      <c r="BO30" s="19" t="str">
        <f t="shared" si="33"/>
        <v/>
      </c>
      <c r="BP30" s="19" t="str">
        <f>IF(BO30="","",IF(I367="SI",J358-AO272,J358))</f>
        <v/>
      </c>
      <c r="BQ30" s="42" t="str">
        <f>IF(D228="","",2*D228)</f>
        <v/>
      </c>
      <c r="BR30" s="42" t="str">
        <f>IF(D228="","","CP")</f>
        <v/>
      </c>
      <c r="BS30" s="43" t="str">
        <f>IF(D228="","",IF(F228="","",F228-30))</f>
        <v/>
      </c>
      <c r="BT30" s="44" t="str">
        <f>IF(D228="","",H228)</f>
        <v/>
      </c>
      <c r="BU30" s="42"/>
      <c r="BV30" s="45"/>
      <c r="BW30" s="19" t="str">
        <f t="shared" si="34"/>
        <v/>
      </c>
      <c r="BX30" s="19" t="str">
        <f t="shared" si="35"/>
        <v/>
      </c>
      <c r="BY30" s="19" t="str">
        <f t="shared" si="36"/>
        <v/>
      </c>
      <c r="BZ30" s="19" t="str">
        <f t="shared" si="37"/>
        <v/>
      </c>
      <c r="CA30" s="19"/>
      <c r="CB30" s="4">
        <f t="shared" si="16"/>
        <v>0</v>
      </c>
      <c r="CC30" s="29"/>
      <c r="CD30" s="29"/>
      <c r="CE30" s="29"/>
    </row>
    <row r="31" spans="1:84" x14ac:dyDescent="0.25">
      <c r="A31" s="3"/>
      <c r="B31" s="3"/>
      <c r="C31" s="3"/>
      <c r="D31" s="3"/>
      <c r="E31" s="3"/>
      <c r="F31" s="3"/>
      <c r="G31" s="3"/>
      <c r="H31" s="3"/>
      <c r="I31" s="3"/>
      <c r="J31" s="3"/>
      <c r="K31" s="3"/>
      <c r="L31" s="3"/>
      <c r="M31" s="4"/>
      <c r="N31" s="4"/>
      <c r="O31" s="4"/>
      <c r="P31" s="4"/>
      <c r="Q31" s="4"/>
      <c r="R31" s="4"/>
      <c r="S31" s="4"/>
      <c r="T31" s="4"/>
      <c r="U31" s="4"/>
      <c r="V31" s="4"/>
      <c r="W31" s="4"/>
      <c r="X31" s="4"/>
      <c r="Y31" s="4"/>
      <c r="AB31" s="15"/>
      <c r="AC31" s="16"/>
      <c r="AD31" s="16"/>
      <c r="AE31" s="16"/>
      <c r="AF31" s="16"/>
      <c r="AG31" s="16"/>
      <c r="AH31" s="16"/>
      <c r="AI31" s="16"/>
      <c r="AJ31" s="16"/>
      <c r="AK31" s="16"/>
      <c r="AL31" s="16"/>
      <c r="AM31" s="16"/>
      <c r="AN31" s="16"/>
      <c r="AO31" s="16"/>
      <c r="AP31" s="16"/>
      <c r="AQ31" s="15"/>
      <c r="AR31" s="30"/>
      <c r="AS31" s="16"/>
      <c r="AT31" s="16"/>
      <c r="AU31" s="33"/>
      <c r="AV31" s="16"/>
      <c r="AW31" s="16"/>
      <c r="AX31" s="16"/>
      <c r="AY31" s="16"/>
      <c r="AZ31" s="16"/>
      <c r="BA31" s="16"/>
      <c r="BB31" s="16"/>
      <c r="BC31" s="16"/>
      <c r="BD31" s="16"/>
      <c r="BE31" s="16"/>
      <c r="BG31" s="17">
        <v>28</v>
      </c>
      <c r="BH31" s="18">
        <f t="shared" si="30"/>
        <v>0</v>
      </c>
      <c r="BI31" s="18" t="str">
        <f t="shared" si="38"/>
        <v>DT</v>
      </c>
      <c r="BJ31" s="18">
        <f t="shared" si="31"/>
        <v>0</v>
      </c>
      <c r="BK31" s="24">
        <f t="shared" si="32"/>
        <v>-10</v>
      </c>
      <c r="BL31" s="25"/>
      <c r="BM31" s="26" t="str">
        <f t="shared" si="39"/>
        <v/>
      </c>
      <c r="BN31" s="19" t="str">
        <f t="shared" si="40"/>
        <v/>
      </c>
      <c r="BO31" s="19" t="str">
        <f t="shared" si="33"/>
        <v/>
      </c>
      <c r="BP31" s="19" t="str">
        <f>IF(BO31="","",IF(I368="SI",J358-AO273,J358))</f>
        <v/>
      </c>
      <c r="BQ31" s="42" t="str">
        <f>IF(D229="","",2*D229)</f>
        <v/>
      </c>
      <c r="BR31" s="42" t="str">
        <f>IF(D229="","","CP")</f>
        <v/>
      </c>
      <c r="BS31" s="43" t="str">
        <f>IF(D229="","",IF(F229="","",F229-30))</f>
        <v/>
      </c>
      <c r="BT31" s="44" t="str">
        <f>IF(D229="","",H229)</f>
        <v/>
      </c>
      <c r="BU31" s="42"/>
      <c r="BV31" s="45"/>
      <c r="BW31" s="19" t="str">
        <f t="shared" si="34"/>
        <v/>
      </c>
      <c r="BX31" s="19" t="str">
        <f t="shared" si="35"/>
        <v/>
      </c>
      <c r="BY31" s="19" t="str">
        <f t="shared" si="36"/>
        <v/>
      </c>
      <c r="BZ31" s="19" t="str">
        <f t="shared" si="37"/>
        <v/>
      </c>
      <c r="CA31" s="19"/>
      <c r="CB31" s="4">
        <f t="shared" si="16"/>
        <v>0</v>
      </c>
      <c r="CC31" s="29"/>
      <c r="CD31" s="29"/>
      <c r="CE31" s="29"/>
    </row>
    <row r="32" spans="1:84" x14ac:dyDescent="0.25">
      <c r="A32" s="3"/>
      <c r="B32" s="3"/>
      <c r="C32" s="3"/>
      <c r="D32" s="3"/>
      <c r="E32" s="3"/>
      <c r="F32" s="3"/>
      <c r="G32" s="3"/>
      <c r="H32" s="3"/>
      <c r="I32" s="3"/>
      <c r="J32" s="3"/>
      <c r="K32" s="3"/>
      <c r="L32" s="3"/>
      <c r="M32" s="4"/>
      <c r="N32" s="4"/>
      <c r="O32" s="4"/>
      <c r="P32" s="4"/>
      <c r="Q32" s="4"/>
      <c r="R32" s="4"/>
      <c r="S32" s="4"/>
      <c r="T32" s="4"/>
      <c r="U32" s="4"/>
      <c r="V32" s="4"/>
      <c r="W32" s="4"/>
      <c r="X32" s="4"/>
      <c r="Y32" s="4"/>
      <c r="AB32" s="15"/>
      <c r="AC32" s="16"/>
      <c r="AD32" s="16"/>
      <c r="AE32" s="16"/>
      <c r="AF32" s="16"/>
      <c r="AG32" s="16"/>
      <c r="AH32" s="16"/>
      <c r="AI32" s="16"/>
      <c r="AJ32" s="16"/>
      <c r="AK32" s="16"/>
      <c r="AL32" s="16"/>
      <c r="AM32" s="16"/>
      <c r="AN32" s="16"/>
      <c r="AO32" s="16"/>
      <c r="AP32" s="16"/>
      <c r="AQ32" s="15"/>
      <c r="AR32" s="16"/>
      <c r="AS32" s="16"/>
      <c r="AT32" s="16"/>
      <c r="AU32" s="16"/>
      <c r="AV32" s="16"/>
      <c r="AW32" s="16"/>
      <c r="AX32" s="16"/>
      <c r="AY32" s="16"/>
      <c r="AZ32" s="16"/>
      <c r="BA32" s="16"/>
      <c r="BB32" s="16"/>
      <c r="BC32" s="16"/>
      <c r="BD32" s="16"/>
      <c r="BE32" s="16"/>
      <c r="BG32" s="17">
        <v>29</v>
      </c>
      <c r="BH32" s="18">
        <f t="shared" si="30"/>
        <v>0</v>
      </c>
      <c r="BI32" s="18" t="str">
        <f t="shared" si="38"/>
        <v>DT</v>
      </c>
      <c r="BJ32" s="18">
        <f t="shared" si="31"/>
        <v>0</v>
      </c>
      <c r="BK32" s="24">
        <f t="shared" si="32"/>
        <v>-10</v>
      </c>
      <c r="BL32" s="25"/>
      <c r="BM32" s="26" t="str">
        <f t="shared" si="39"/>
        <v/>
      </c>
      <c r="BN32" s="19" t="str">
        <f t="shared" si="40"/>
        <v/>
      </c>
      <c r="BO32" s="19" t="str">
        <f t="shared" si="33"/>
        <v/>
      </c>
      <c r="BP32" s="19" t="str">
        <f>IF(BO32="","",IF(I369="SI",J358-AO274,J358))</f>
        <v/>
      </c>
      <c r="BQ32" s="42" t="str">
        <f>IF(D230="","",2*D230)</f>
        <v/>
      </c>
      <c r="BR32" s="42" t="str">
        <f>IF(D230="","","CP")</f>
        <v/>
      </c>
      <c r="BS32" s="43" t="str">
        <f>IF(D230="","",IF(F230="","",F230-30))</f>
        <v/>
      </c>
      <c r="BT32" s="44" t="str">
        <f>IF(D230="","",H230)</f>
        <v/>
      </c>
      <c r="BU32" s="42"/>
      <c r="BV32" s="45"/>
      <c r="BW32" s="19" t="str">
        <f t="shared" si="34"/>
        <v/>
      </c>
      <c r="BX32" s="19" t="str">
        <f t="shared" si="35"/>
        <v/>
      </c>
      <c r="BY32" s="19" t="str">
        <f t="shared" si="36"/>
        <v/>
      </c>
      <c r="BZ32" s="19" t="str">
        <f t="shared" si="37"/>
        <v/>
      </c>
      <c r="CA32" s="19"/>
      <c r="CB32" s="4">
        <f t="shared" si="16"/>
        <v>0</v>
      </c>
      <c r="CC32" s="29"/>
      <c r="CD32" s="29"/>
      <c r="CE32" s="29"/>
    </row>
    <row r="33" spans="1:83" x14ac:dyDescent="0.25">
      <c r="A33" s="3"/>
      <c r="B33" s="3"/>
      <c r="C33" s="3"/>
      <c r="D33" s="3"/>
      <c r="E33" s="3"/>
      <c r="F33" s="3"/>
      <c r="G33" s="3"/>
      <c r="H33" s="3"/>
      <c r="I33" s="3"/>
      <c r="J33" s="3"/>
      <c r="K33" s="3"/>
      <c r="L33" s="3"/>
      <c r="M33" s="4"/>
      <c r="N33" s="4"/>
      <c r="O33" s="4"/>
      <c r="P33" s="4"/>
      <c r="Q33" s="4"/>
      <c r="R33" s="4"/>
      <c r="S33" s="4"/>
      <c r="T33" s="4"/>
      <c r="U33" s="4"/>
      <c r="V33" s="4"/>
      <c r="W33" s="4"/>
      <c r="X33" s="4"/>
      <c r="Y33" s="4"/>
      <c r="AB33" s="15"/>
      <c r="AC33" s="16"/>
      <c r="AD33" s="16"/>
      <c r="AE33" s="16"/>
      <c r="AF33" s="16"/>
      <c r="AG33" s="16"/>
      <c r="AH33" s="16"/>
      <c r="AI33" s="16"/>
      <c r="AJ33" s="16"/>
      <c r="AK33" s="16"/>
      <c r="AL33" s="16"/>
      <c r="AM33" s="16"/>
      <c r="AN33" s="16"/>
      <c r="AO33" s="16"/>
      <c r="AP33" s="16"/>
      <c r="AQ33" s="15"/>
      <c r="AR33" s="16"/>
      <c r="AS33" s="16"/>
      <c r="AT33" s="16"/>
      <c r="AU33" s="16"/>
      <c r="AV33" s="16"/>
      <c r="AW33" s="16"/>
      <c r="AX33" s="16"/>
      <c r="AY33" s="16"/>
      <c r="AZ33" s="16"/>
      <c r="BA33" s="37"/>
      <c r="BB33" s="16"/>
      <c r="BC33" s="16"/>
      <c r="BD33" s="16"/>
      <c r="BE33" s="16"/>
      <c r="BG33" s="17">
        <v>30</v>
      </c>
      <c r="BH33" s="18">
        <f t="shared" si="30"/>
        <v>0</v>
      </c>
      <c r="BI33" s="18" t="str">
        <f>IF(BK33="","","DT")</f>
        <v>DT</v>
      </c>
      <c r="BJ33" s="18">
        <f t="shared" si="31"/>
        <v>0</v>
      </c>
      <c r="BK33" s="24">
        <f t="shared" si="32"/>
        <v>-10</v>
      </c>
      <c r="BL33" s="25"/>
      <c r="BM33" s="26" t="str">
        <f t="shared" si="39"/>
        <v/>
      </c>
      <c r="BN33" s="19" t="str">
        <f t="shared" si="40"/>
        <v/>
      </c>
      <c r="BO33" s="19" t="str">
        <f t="shared" si="33"/>
        <v/>
      </c>
      <c r="BP33" s="19" t="str">
        <f>IF(BO33="","",IF(I370="SI",J358-AO275,J358))</f>
        <v/>
      </c>
      <c r="BQ33" s="42" t="str">
        <f>IF(D231="","",2*D231)</f>
        <v/>
      </c>
      <c r="BR33" s="42" t="str">
        <f>IF(D231="","","CP")</f>
        <v/>
      </c>
      <c r="BS33" s="43" t="str">
        <f>IF(D231="","",IF(F231="","",F231-30))</f>
        <v/>
      </c>
      <c r="BT33" s="44" t="str">
        <f>IF(D231="","",H231)</f>
        <v/>
      </c>
      <c r="BU33" s="42"/>
      <c r="BV33" s="45"/>
      <c r="BW33" s="19" t="str">
        <f t="shared" si="34"/>
        <v/>
      </c>
      <c r="BX33" s="19" t="str">
        <f t="shared" si="35"/>
        <v/>
      </c>
      <c r="BY33" s="19" t="str">
        <f t="shared" si="36"/>
        <v/>
      </c>
      <c r="BZ33" s="19" t="str">
        <f t="shared" si="37"/>
        <v/>
      </c>
      <c r="CA33" s="19"/>
      <c r="CB33" s="4">
        <f t="shared" si="16"/>
        <v>0</v>
      </c>
      <c r="CC33" s="29"/>
      <c r="CD33" s="29"/>
      <c r="CE33" s="29"/>
    </row>
    <row r="34" spans="1:83" x14ac:dyDescent="0.25">
      <c r="B34" s="4"/>
      <c r="C34" s="4"/>
      <c r="D34" s="4"/>
      <c r="E34" s="4"/>
      <c r="F34" s="4"/>
      <c r="G34" s="4"/>
      <c r="H34" s="4"/>
      <c r="I34" s="4"/>
      <c r="J34" s="4"/>
      <c r="K34" s="4"/>
      <c r="L34" s="4"/>
      <c r="M34" s="4"/>
      <c r="N34" s="4"/>
      <c r="O34" s="4"/>
      <c r="P34" s="4"/>
      <c r="Q34" s="4"/>
      <c r="R34" s="4"/>
      <c r="S34" s="4"/>
      <c r="T34" s="4"/>
      <c r="U34" s="4"/>
      <c r="V34" s="4"/>
      <c r="W34" s="4"/>
      <c r="X34" s="4"/>
      <c r="Y34" s="4"/>
      <c r="AB34" s="15"/>
      <c r="AC34" s="16"/>
      <c r="AD34" s="16"/>
      <c r="AE34" s="16"/>
      <c r="AF34" s="16"/>
      <c r="AG34" s="16"/>
      <c r="AH34" s="16"/>
      <c r="AI34" s="16"/>
      <c r="AJ34" s="16"/>
      <c r="AK34" s="16"/>
      <c r="AL34" s="16"/>
      <c r="AM34" s="16"/>
      <c r="AN34" s="16"/>
      <c r="AO34" s="16"/>
      <c r="AP34" s="16"/>
      <c r="AQ34" s="15"/>
      <c r="AR34" s="16"/>
      <c r="AS34" s="16"/>
      <c r="AT34" s="16"/>
      <c r="AU34" s="16"/>
      <c r="AV34" s="16"/>
      <c r="AW34" s="16"/>
      <c r="AX34" s="16"/>
      <c r="AY34" s="16"/>
      <c r="AZ34" s="16"/>
      <c r="BA34" s="16"/>
      <c r="BB34" s="16"/>
      <c r="BC34" s="16"/>
      <c r="BD34" s="16"/>
      <c r="BE34" s="16"/>
      <c r="BG34" s="17">
        <v>31</v>
      </c>
      <c r="BH34" s="18">
        <f t="shared" ref="BH34:BH43" si="41">IF(BI34="","",D84*2)</f>
        <v>0</v>
      </c>
      <c r="BI34" s="18" t="str">
        <f t="shared" ref="BI34:BI43" si="42">IF(D84="","",IF(I84="VA","FM",IF(I84="VAS","FM",IF(I84="VRA","FMA",IF(I84="VR","FMA")))))</f>
        <v>FM</v>
      </c>
      <c r="BJ34" s="18">
        <f t="shared" ref="BJ34:BJ43" si="43">IF(BI34="","",IF(I84="VA",30,IF(I84="VAS",30,IF(I84="VRA",20,IF(I84="VR",20)))))</f>
        <v>30</v>
      </c>
      <c r="BK34" s="24">
        <f t="shared" ref="BK34:BK43" si="44">IF(BI34="","",IF(I84="VA",AE84,IF(I84="VAS",AE84-H84,IF(I84="VRA",AE84-H84,IF(I84="VR",AE84-H84)))))</f>
        <v>-10</v>
      </c>
      <c r="BL34" s="18" t="str">
        <f t="shared" ref="BL34:BL43" si="45">IF(BI34="","",IF(I84="VA","",IF(I84="VAS","",IF(I84="VRA",10.4,IF(I84="VR",10.4)))))</f>
        <v/>
      </c>
      <c r="BM34" s="26" t="str">
        <f t="shared" si="39"/>
        <v/>
      </c>
      <c r="BN34" s="19" t="str">
        <f t="shared" si="40"/>
        <v/>
      </c>
      <c r="BO34" s="19" t="str">
        <f t="shared" si="33"/>
        <v/>
      </c>
      <c r="BP34" s="19" t="str">
        <f>IF(BO34="","",IF(I371="SI",J358-AO276,J358))</f>
        <v/>
      </c>
      <c r="BQ34" s="42" t="str">
        <f>IF(D232="","",2*D232)</f>
        <v/>
      </c>
      <c r="BR34" s="42" t="str">
        <f>IF(D232="","","CP")</f>
        <v/>
      </c>
      <c r="BS34" s="43" t="str">
        <f>IF(D232="","",IF(F232="","",F232-30))</f>
        <v/>
      </c>
      <c r="BT34" s="44" t="str">
        <f>IF(D232="","",H232)</f>
        <v/>
      </c>
      <c r="BU34" s="42"/>
      <c r="BV34" s="45"/>
      <c r="BW34" s="19" t="str">
        <f t="shared" si="34"/>
        <v/>
      </c>
      <c r="BX34" s="19" t="str">
        <f t="shared" si="35"/>
        <v/>
      </c>
      <c r="BY34" s="19" t="str">
        <f t="shared" si="36"/>
        <v/>
      </c>
      <c r="BZ34" s="19" t="str">
        <f t="shared" si="37"/>
        <v/>
      </c>
      <c r="CA34" s="19"/>
      <c r="CB34" s="4">
        <f t="shared" si="16"/>
        <v>0</v>
      </c>
      <c r="CC34" s="29"/>
      <c r="CD34" s="29"/>
      <c r="CE34" s="29"/>
    </row>
    <row r="35" spans="1:83" x14ac:dyDescent="0.25">
      <c r="B35" s="4"/>
      <c r="C35" s="4"/>
      <c r="D35" s="4"/>
      <c r="E35" s="4"/>
      <c r="F35" s="4"/>
      <c r="G35" s="4"/>
      <c r="H35" s="4"/>
      <c r="I35" s="4"/>
      <c r="J35" s="4"/>
      <c r="K35" s="4"/>
      <c r="L35" s="4"/>
      <c r="M35" s="4"/>
      <c r="N35" s="4"/>
      <c r="O35" s="4"/>
      <c r="P35" s="4"/>
      <c r="Q35" s="4"/>
      <c r="R35" s="4"/>
      <c r="S35" s="4"/>
      <c r="T35" s="4"/>
      <c r="U35" s="4"/>
      <c r="V35" s="4"/>
      <c r="W35" s="4"/>
      <c r="X35" s="4"/>
      <c r="Y35" s="4"/>
      <c r="AB35" s="15"/>
      <c r="AC35" s="16"/>
      <c r="AD35" s="16"/>
      <c r="AE35" s="16"/>
      <c r="AF35" s="16"/>
      <c r="AG35" s="16"/>
      <c r="AH35" s="16"/>
      <c r="AI35" s="16"/>
      <c r="AJ35" s="16"/>
      <c r="AK35" s="16"/>
      <c r="AL35" s="16"/>
      <c r="AM35" s="16"/>
      <c r="AN35" s="16"/>
      <c r="AO35" s="16"/>
      <c r="AP35" s="16"/>
      <c r="AQ35" s="15"/>
      <c r="AR35" s="16"/>
      <c r="AS35" s="16"/>
      <c r="AT35" s="16"/>
      <c r="AU35" s="16"/>
      <c r="AV35" s="16"/>
      <c r="AW35" s="16"/>
      <c r="AX35" s="16"/>
      <c r="AY35" s="16"/>
      <c r="AZ35" s="16"/>
      <c r="BA35" s="37"/>
      <c r="BB35" s="16"/>
      <c r="BC35" s="16"/>
      <c r="BD35" s="16"/>
      <c r="BE35" s="16"/>
      <c r="BG35" s="17">
        <v>32</v>
      </c>
      <c r="BH35" s="18">
        <f t="shared" si="41"/>
        <v>0</v>
      </c>
      <c r="BI35" s="18" t="str">
        <f t="shared" si="42"/>
        <v>FM</v>
      </c>
      <c r="BJ35" s="18">
        <f t="shared" si="43"/>
        <v>30</v>
      </c>
      <c r="BK35" s="24">
        <f t="shared" si="44"/>
        <v>-10</v>
      </c>
      <c r="BL35" s="18" t="str">
        <f t="shared" si="45"/>
        <v/>
      </c>
      <c r="BM35" s="26" t="str">
        <f t="shared" si="39"/>
        <v/>
      </c>
      <c r="BN35" s="19" t="str">
        <f t="shared" si="40"/>
        <v/>
      </c>
      <c r="BO35" s="19" t="str">
        <f t="shared" si="33"/>
        <v/>
      </c>
      <c r="BP35" s="19" t="str">
        <f>IF(BO35="","",IF(I372="SI",J358-AO277,J358))</f>
        <v/>
      </c>
      <c r="BQ35" s="42" t="str">
        <f>IF(D228="","",2*D228)</f>
        <v/>
      </c>
      <c r="BR35" s="42" t="str">
        <f>IF(D228="","","CP")</f>
        <v/>
      </c>
      <c r="BS35" s="43" t="str">
        <f>IF(D228="","",IF(E228="","",E228-30))</f>
        <v/>
      </c>
      <c r="BT35" s="44" t="str">
        <f>IF(D228="","",H228)</f>
        <v/>
      </c>
      <c r="BU35" s="42"/>
      <c r="BV35" s="45"/>
      <c r="BW35" s="19" t="str">
        <f t="shared" si="34"/>
        <v/>
      </c>
      <c r="BX35" s="19" t="str">
        <f t="shared" si="35"/>
        <v/>
      </c>
      <c r="BY35" s="19" t="str">
        <f t="shared" si="36"/>
        <v/>
      </c>
      <c r="BZ35" s="19" t="str">
        <f t="shared" si="37"/>
        <v/>
      </c>
      <c r="CA35" s="19"/>
      <c r="CB35" s="4">
        <f t="shared" si="16"/>
        <v>0</v>
      </c>
      <c r="CC35" s="29"/>
      <c r="CD35" s="29"/>
      <c r="CE35" s="29"/>
    </row>
    <row r="36" spans="1:83" x14ac:dyDescent="0.25">
      <c r="B36" s="4"/>
      <c r="C36" s="4"/>
      <c r="D36" s="4"/>
      <c r="E36" s="4"/>
      <c r="F36" s="4"/>
      <c r="G36" s="4"/>
      <c r="H36" s="4"/>
      <c r="I36" s="4"/>
      <c r="J36" s="4"/>
      <c r="K36" s="4"/>
      <c r="L36" s="4"/>
      <c r="M36" s="4"/>
      <c r="N36" s="4"/>
      <c r="O36" s="4"/>
      <c r="P36" s="4"/>
      <c r="Q36" s="4"/>
      <c r="R36" s="4"/>
      <c r="S36" s="4"/>
      <c r="T36" s="4"/>
      <c r="U36" s="4"/>
      <c r="V36" s="4"/>
      <c r="W36" s="4"/>
      <c r="X36" s="4"/>
      <c r="Y36" s="4"/>
      <c r="AB36" s="15"/>
      <c r="AC36" s="16"/>
      <c r="AD36" s="16"/>
      <c r="AE36" s="16"/>
      <c r="AF36" s="16"/>
      <c r="AG36" s="16"/>
      <c r="AH36" s="16"/>
      <c r="AI36" s="16"/>
      <c r="AJ36" s="16"/>
      <c r="AK36" s="16"/>
      <c r="AL36" s="16"/>
      <c r="AM36" s="16"/>
      <c r="AN36" s="16"/>
      <c r="AO36" s="16"/>
      <c r="AP36" s="16"/>
      <c r="AQ36" s="15"/>
      <c r="AR36" s="16"/>
      <c r="AS36" s="16"/>
      <c r="AT36" s="16"/>
      <c r="AU36" s="16"/>
      <c r="AV36" s="16"/>
      <c r="AW36" s="16"/>
      <c r="AX36" s="16"/>
      <c r="AY36" s="16"/>
      <c r="AZ36" s="16"/>
      <c r="BA36" s="16"/>
      <c r="BB36" s="16"/>
      <c r="BC36" s="16"/>
      <c r="BD36" s="16"/>
      <c r="BE36" s="16"/>
      <c r="BG36" s="17">
        <v>33</v>
      </c>
      <c r="BH36" s="18">
        <f t="shared" si="41"/>
        <v>0</v>
      </c>
      <c r="BI36" s="18" t="str">
        <f t="shared" si="42"/>
        <v>FM</v>
      </c>
      <c r="BJ36" s="18">
        <f t="shared" si="43"/>
        <v>30</v>
      </c>
      <c r="BK36" s="24">
        <f t="shared" si="44"/>
        <v>-10</v>
      </c>
      <c r="BL36" s="18" t="str">
        <f t="shared" si="45"/>
        <v/>
      </c>
      <c r="BM36" s="26" t="str">
        <f t="shared" si="39"/>
        <v/>
      </c>
      <c r="BN36" s="19" t="str">
        <f t="shared" si="40"/>
        <v/>
      </c>
      <c r="BO36" s="19" t="str">
        <f t="shared" si="33"/>
        <v/>
      </c>
      <c r="BP36" s="19" t="str">
        <f>IF(BO36="","",IF(I373="SI",J358-AO278,J358))</f>
        <v/>
      </c>
      <c r="BQ36" s="42" t="str">
        <f>IF(D229="","",2*D229)</f>
        <v/>
      </c>
      <c r="BR36" s="42" t="str">
        <f>IF(D229="","","CP")</f>
        <v/>
      </c>
      <c r="BS36" s="43" t="str">
        <f>IF(D229="","",IF(E229="","",E229-30))</f>
        <v/>
      </c>
      <c r="BT36" s="44" t="str">
        <f>IF(D229="","",H229)</f>
        <v/>
      </c>
      <c r="BU36" s="42"/>
      <c r="BV36" s="45"/>
      <c r="BW36" s="19" t="str">
        <f t="shared" si="34"/>
        <v/>
      </c>
      <c r="BX36" s="19" t="str">
        <f t="shared" si="35"/>
        <v/>
      </c>
      <c r="BY36" s="19" t="str">
        <f t="shared" si="36"/>
        <v/>
      </c>
      <c r="BZ36" s="19" t="str">
        <f t="shared" si="37"/>
        <v/>
      </c>
      <c r="CA36" s="19"/>
      <c r="CB36" s="4">
        <f t="shared" si="16"/>
        <v>0</v>
      </c>
      <c r="CC36" s="29"/>
      <c r="CD36" s="29"/>
      <c r="CE36" s="29"/>
    </row>
    <row r="37" spans="1:83" x14ac:dyDescent="0.25">
      <c r="B37" s="4"/>
      <c r="C37" s="4"/>
      <c r="D37" s="4"/>
      <c r="E37" s="4"/>
      <c r="F37" s="4"/>
      <c r="G37" s="4"/>
      <c r="H37" s="4"/>
      <c r="I37" s="4"/>
      <c r="J37" s="4"/>
      <c r="K37" s="4"/>
      <c r="L37" s="4"/>
      <c r="M37" s="4"/>
      <c r="N37" s="4"/>
      <c r="O37" s="4"/>
      <c r="P37" s="4"/>
      <c r="Q37" s="4"/>
      <c r="R37" s="4"/>
      <c r="S37" s="4"/>
      <c r="T37" s="4"/>
      <c r="U37" s="4"/>
      <c r="V37" s="4"/>
      <c r="W37" s="4"/>
      <c r="X37" s="4"/>
      <c r="Y37" s="4"/>
      <c r="AB37" s="15"/>
      <c r="AC37" s="16"/>
      <c r="AD37" s="16"/>
      <c r="AE37" s="16"/>
      <c r="AF37" s="16"/>
      <c r="AG37" s="16"/>
      <c r="AH37" s="16"/>
      <c r="AI37" s="16"/>
      <c r="AJ37" s="16"/>
      <c r="AK37" s="16"/>
      <c r="AL37" s="16"/>
      <c r="AM37" s="16"/>
      <c r="AN37" s="16"/>
      <c r="AO37" s="16"/>
      <c r="AP37" s="16"/>
      <c r="AQ37" s="15"/>
      <c r="AR37" s="16"/>
      <c r="AS37" s="16"/>
      <c r="AT37" s="16"/>
      <c r="AU37" s="16"/>
      <c r="AV37" s="16"/>
      <c r="AW37" s="16"/>
      <c r="AX37" s="16"/>
      <c r="AY37" s="16"/>
      <c r="AZ37" s="16"/>
      <c r="BA37" s="37"/>
      <c r="BB37" s="16"/>
      <c r="BC37" s="16"/>
      <c r="BD37" s="16"/>
      <c r="BE37" s="16"/>
      <c r="BG37" s="17">
        <v>34</v>
      </c>
      <c r="BH37" s="18">
        <f t="shared" si="41"/>
        <v>0</v>
      </c>
      <c r="BI37" s="18" t="str">
        <f t="shared" si="42"/>
        <v>FM</v>
      </c>
      <c r="BJ37" s="18">
        <f t="shared" si="43"/>
        <v>30</v>
      </c>
      <c r="BK37" s="24">
        <f t="shared" si="44"/>
        <v>-10</v>
      </c>
      <c r="BL37" s="18" t="str">
        <f t="shared" si="45"/>
        <v/>
      </c>
      <c r="BM37" s="26" t="str">
        <f t="shared" si="39"/>
        <v/>
      </c>
      <c r="BN37" s="19" t="str">
        <f t="shared" si="40"/>
        <v/>
      </c>
      <c r="BO37" s="19" t="str">
        <f t="shared" si="33"/>
        <v/>
      </c>
      <c r="BP37" s="19" t="str">
        <f>IF(BO37="","",IF(I374="SI",J358-AO279,J358))</f>
        <v/>
      </c>
      <c r="BQ37" s="42" t="str">
        <f>IF(D230="","",2*D230)</f>
        <v/>
      </c>
      <c r="BR37" s="42" t="str">
        <f>IF(D230="","","CP")</f>
        <v/>
      </c>
      <c r="BS37" s="43" t="str">
        <f>IF(D230="","",IF(E230="","",E230-30))</f>
        <v/>
      </c>
      <c r="BT37" s="44" t="str">
        <f>IF(D230="","",H230)</f>
        <v/>
      </c>
      <c r="BU37" s="42"/>
      <c r="BV37" s="45"/>
      <c r="BW37" s="19" t="str">
        <f t="shared" si="34"/>
        <v/>
      </c>
      <c r="BX37" s="19" t="str">
        <f t="shared" si="35"/>
        <v/>
      </c>
      <c r="BY37" s="19" t="str">
        <f t="shared" si="36"/>
        <v/>
      </c>
      <c r="BZ37" s="19" t="str">
        <f t="shared" si="37"/>
        <v/>
      </c>
      <c r="CA37" s="19"/>
      <c r="CB37" s="4">
        <f t="shared" si="16"/>
        <v>0</v>
      </c>
      <c r="CC37" s="29"/>
      <c r="CD37" s="29"/>
      <c r="CE37" s="29"/>
    </row>
    <row r="38" spans="1:83" x14ac:dyDescent="0.25">
      <c r="B38" s="4"/>
      <c r="C38" s="4"/>
      <c r="D38" s="4"/>
      <c r="E38" s="4"/>
      <c r="F38" s="4"/>
      <c r="G38" s="4"/>
      <c r="H38" s="4"/>
      <c r="I38" s="4"/>
      <c r="J38" s="4"/>
      <c r="K38" s="4"/>
      <c r="L38" s="4"/>
      <c r="M38" s="4"/>
      <c r="N38" s="4"/>
      <c r="O38" s="4"/>
      <c r="P38" s="4"/>
      <c r="Q38" s="4"/>
      <c r="R38" s="4"/>
      <c r="S38" s="4"/>
      <c r="T38" s="4"/>
      <c r="U38" s="4"/>
      <c r="V38" s="4"/>
      <c r="W38" s="4"/>
      <c r="X38" s="4"/>
      <c r="Y38" s="4"/>
      <c r="AB38" s="15"/>
      <c r="AC38" s="16"/>
      <c r="AD38" s="16"/>
      <c r="AE38" s="16"/>
      <c r="AF38" s="16"/>
      <c r="AG38" s="16"/>
      <c r="AH38" s="16"/>
      <c r="AI38" s="16"/>
      <c r="AJ38" s="16"/>
      <c r="AK38" s="16"/>
      <c r="AL38" s="16"/>
      <c r="AM38" s="16"/>
      <c r="AN38" s="16"/>
      <c r="AO38" s="16"/>
      <c r="AP38" s="16"/>
      <c r="AQ38" s="15"/>
      <c r="AR38" s="16"/>
      <c r="AS38" s="16"/>
      <c r="AT38" s="16"/>
      <c r="AU38" s="16"/>
      <c r="AV38" s="16"/>
      <c r="AW38" s="16"/>
      <c r="AX38" s="16"/>
      <c r="AY38" s="16"/>
      <c r="AZ38" s="16"/>
      <c r="BA38" s="16"/>
      <c r="BB38" s="16"/>
      <c r="BC38" s="16"/>
      <c r="BD38" s="16"/>
      <c r="BE38" s="16"/>
      <c r="BG38" s="17">
        <v>35</v>
      </c>
      <c r="BH38" s="18">
        <f t="shared" si="41"/>
        <v>0</v>
      </c>
      <c r="BI38" s="18" t="str">
        <f t="shared" si="42"/>
        <v>FM</v>
      </c>
      <c r="BJ38" s="18">
        <f t="shared" si="43"/>
        <v>30</v>
      </c>
      <c r="BK38" s="24">
        <f t="shared" si="44"/>
        <v>-10</v>
      </c>
      <c r="BL38" s="18" t="str">
        <f t="shared" si="45"/>
        <v/>
      </c>
      <c r="BM38" s="26" t="str">
        <f t="shared" si="39"/>
        <v/>
      </c>
      <c r="BN38" s="19" t="str">
        <f t="shared" si="40"/>
        <v/>
      </c>
      <c r="BO38" s="19" t="str">
        <f t="shared" si="33"/>
        <v/>
      </c>
      <c r="BP38" s="19" t="str">
        <f>IF(BO38="","",IF(I375="SI",J358-AO280,J358))</f>
        <v/>
      </c>
      <c r="BQ38" s="42" t="str">
        <f>IF(D231="","",2*D231)</f>
        <v/>
      </c>
      <c r="BR38" s="42" t="str">
        <f>IF(D231="","","CP")</f>
        <v/>
      </c>
      <c r="BS38" s="43" t="str">
        <f>IF(D231="","",IF(E231="","",E231-30))</f>
        <v/>
      </c>
      <c r="BT38" s="44" t="str">
        <f>IF(D231="","",H231)</f>
        <v/>
      </c>
      <c r="BU38" s="42"/>
      <c r="BV38" s="45"/>
      <c r="BW38" s="19" t="str">
        <f t="shared" si="34"/>
        <v/>
      </c>
      <c r="BX38" s="19" t="str">
        <f t="shared" si="35"/>
        <v/>
      </c>
      <c r="BY38" s="19" t="str">
        <f t="shared" si="36"/>
        <v/>
      </c>
      <c r="BZ38" s="19" t="str">
        <f t="shared" si="37"/>
        <v/>
      </c>
      <c r="CA38" s="19"/>
      <c r="CB38" s="4">
        <f t="shared" si="16"/>
        <v>0</v>
      </c>
      <c r="CC38" s="29"/>
      <c r="CD38" s="29"/>
      <c r="CE38" s="29"/>
    </row>
    <row r="39" spans="1:83" x14ac:dyDescent="0.25">
      <c r="B39" s="4"/>
      <c r="C39" s="4"/>
      <c r="D39" s="4"/>
      <c r="E39" s="4"/>
      <c r="F39" s="4"/>
      <c r="G39" s="4"/>
      <c r="H39" s="4"/>
      <c r="I39" s="4"/>
      <c r="J39" s="4"/>
      <c r="K39" s="4"/>
      <c r="L39" s="4"/>
      <c r="M39" s="4"/>
      <c r="N39" s="4"/>
      <c r="O39" s="4"/>
      <c r="P39" s="4"/>
      <c r="Q39" s="4"/>
      <c r="R39" s="4"/>
      <c r="S39" s="4"/>
      <c r="T39" s="4"/>
      <c r="U39" s="4"/>
      <c r="V39" s="4"/>
      <c r="W39" s="4"/>
      <c r="X39" s="4"/>
      <c r="Y39" s="4"/>
      <c r="AB39" s="15"/>
      <c r="AC39" s="16"/>
      <c r="AD39" s="16"/>
      <c r="AE39" s="16"/>
      <c r="AF39" s="16"/>
      <c r="AG39" s="16"/>
      <c r="AH39" s="16"/>
      <c r="AI39" s="16"/>
      <c r="AJ39" s="16"/>
      <c r="AK39" s="16"/>
      <c r="AL39" s="16"/>
      <c r="AM39" s="16"/>
      <c r="AN39" s="16"/>
      <c r="AO39" s="16"/>
      <c r="AP39" s="16"/>
      <c r="AQ39" s="15"/>
      <c r="AR39" s="16"/>
      <c r="AS39" s="16"/>
      <c r="AT39" s="16"/>
      <c r="AU39" s="16"/>
      <c r="AV39" s="16"/>
      <c r="AW39" s="16"/>
      <c r="AX39" s="16"/>
      <c r="AY39" s="15"/>
      <c r="AZ39" s="15"/>
      <c r="BA39" s="15"/>
      <c r="BB39" s="15"/>
      <c r="BC39" s="16"/>
      <c r="BD39" s="16"/>
      <c r="BE39" s="16"/>
      <c r="BG39" s="17">
        <v>36</v>
      </c>
      <c r="BH39" s="18">
        <f t="shared" si="41"/>
        <v>0</v>
      </c>
      <c r="BI39" s="18" t="str">
        <f t="shared" si="42"/>
        <v>FM</v>
      </c>
      <c r="BJ39" s="18">
        <f t="shared" si="43"/>
        <v>30</v>
      </c>
      <c r="BK39" s="24">
        <f t="shared" si="44"/>
        <v>-10</v>
      </c>
      <c r="BL39" s="18" t="str">
        <f t="shared" si="45"/>
        <v/>
      </c>
      <c r="BM39" s="26" t="str">
        <f t="shared" si="39"/>
        <v/>
      </c>
      <c r="BN39" s="19" t="str">
        <f t="shared" si="40"/>
        <v/>
      </c>
      <c r="BO39" s="19" t="str">
        <f t="shared" si="33"/>
        <v/>
      </c>
      <c r="BP39" s="19" t="str">
        <f>IF(BO39="","",IF(I376="SI",J358-AO281,J358))</f>
        <v/>
      </c>
      <c r="BQ39" s="42" t="str">
        <f>IF(D232="","",2*D232)</f>
        <v/>
      </c>
      <c r="BR39" s="42" t="str">
        <f>IF(D232="","","CP")</f>
        <v/>
      </c>
      <c r="BS39" s="43" t="str">
        <f>IF(D232="","",IF(E232="","",E232-30))</f>
        <v/>
      </c>
      <c r="BT39" s="44" t="str">
        <f>IF(D232="","",H232)</f>
        <v/>
      </c>
      <c r="BU39" s="42"/>
      <c r="BV39" s="45"/>
      <c r="BW39" s="19" t="str">
        <f t="shared" si="34"/>
        <v/>
      </c>
      <c r="BX39" s="19" t="str">
        <f t="shared" si="35"/>
        <v/>
      </c>
      <c r="BY39" s="19" t="str">
        <f t="shared" si="36"/>
        <v/>
      </c>
      <c r="BZ39" s="19" t="str">
        <f t="shared" si="37"/>
        <v/>
      </c>
      <c r="CA39" s="19"/>
      <c r="CB39" s="4">
        <f t="shared" si="16"/>
        <v>0</v>
      </c>
      <c r="CC39" s="48"/>
      <c r="CD39" s="48"/>
      <c r="CE39" s="48"/>
    </row>
    <row r="40" spans="1:83" x14ac:dyDescent="0.25">
      <c r="B40" s="4"/>
      <c r="C40" s="4"/>
      <c r="D40" s="4"/>
      <c r="E40" s="4"/>
      <c r="F40" s="4"/>
      <c r="G40" s="4"/>
      <c r="H40" s="4"/>
      <c r="I40" s="4"/>
      <c r="J40" s="4"/>
      <c r="K40" s="4"/>
      <c r="L40" s="4"/>
      <c r="M40" s="4"/>
      <c r="N40" s="4"/>
      <c r="O40" s="4"/>
      <c r="P40" s="4"/>
      <c r="Q40" s="4"/>
      <c r="R40" s="4"/>
      <c r="S40" s="4"/>
      <c r="T40" s="4"/>
      <c r="U40" s="4"/>
      <c r="V40" s="4"/>
      <c r="W40" s="4"/>
      <c r="X40" s="4"/>
      <c r="Y40" s="4"/>
      <c r="AB40" s="15"/>
      <c r="AC40" s="16"/>
      <c r="AD40" s="16"/>
      <c r="AE40" s="16"/>
      <c r="AF40" s="16"/>
      <c r="AG40" s="16"/>
      <c r="AH40" s="16"/>
      <c r="AI40" s="16"/>
      <c r="AJ40" s="16"/>
      <c r="AK40" s="16"/>
      <c r="AL40" s="16"/>
      <c r="AM40" s="16"/>
      <c r="AN40" s="16"/>
      <c r="AO40" s="16"/>
      <c r="AP40" s="16"/>
      <c r="AQ40" s="15"/>
      <c r="AR40" s="16"/>
      <c r="AS40" s="16"/>
      <c r="AT40" s="16"/>
      <c r="AU40" s="16"/>
      <c r="AV40" s="16"/>
      <c r="AW40" s="16"/>
      <c r="AX40" s="16"/>
      <c r="AY40" s="15"/>
      <c r="AZ40" s="42" t="str">
        <f>IF(D228="","",4*D228)</f>
        <v/>
      </c>
      <c r="BA40" s="42" t="str">
        <f>IF(BC40="","","AG")</f>
        <v/>
      </c>
      <c r="BB40" s="43" t="str">
        <f>IF(BC40="","",2)</f>
        <v/>
      </c>
      <c r="BC40" s="44" t="str">
        <f>IF(D228="","",H228-G228)</f>
        <v/>
      </c>
      <c r="BD40" s="45"/>
      <c r="BE40" s="45"/>
      <c r="BG40" s="17">
        <v>37</v>
      </c>
      <c r="BH40" s="18">
        <f t="shared" si="41"/>
        <v>0</v>
      </c>
      <c r="BI40" s="18" t="str">
        <f t="shared" si="42"/>
        <v>FM</v>
      </c>
      <c r="BJ40" s="18">
        <f t="shared" si="43"/>
        <v>30</v>
      </c>
      <c r="BK40" s="24">
        <f t="shared" si="44"/>
        <v>-10</v>
      </c>
      <c r="BL40" s="18" t="str">
        <f t="shared" si="45"/>
        <v/>
      </c>
      <c r="BM40" s="26" t="str">
        <f t="shared" si="39"/>
        <v/>
      </c>
      <c r="BN40" s="19" t="str">
        <f t="shared" si="40"/>
        <v/>
      </c>
      <c r="BO40" s="19" t="str">
        <f t="shared" si="33"/>
        <v/>
      </c>
      <c r="BP40" s="19" t="str">
        <f>IF(BO40="","",IF(I377="SI",J358-AO282,J358))</f>
        <v/>
      </c>
      <c r="BQ40" s="49" t="str">
        <f t="shared" ref="BQ40:BQ54" si="46">IF(BT40="","",AZ40)</f>
        <v/>
      </c>
      <c r="BR40" s="49" t="str">
        <f t="shared" ref="BR40:BR54" si="47">IF(BT40="","",BA40)</f>
        <v/>
      </c>
      <c r="BS40" s="49" t="str">
        <f t="shared" ref="BS40:BS54" si="48">IF(BT40="","",BB40)</f>
        <v/>
      </c>
      <c r="BT40" s="49" t="str">
        <f t="shared" ref="BT40:BT54" si="49">IF(BC40=0,"",BC40)</f>
        <v/>
      </c>
      <c r="BU40" s="42"/>
      <c r="BV40" s="42"/>
      <c r="BW40" s="19" t="str">
        <f t="shared" si="34"/>
        <v/>
      </c>
      <c r="BX40" s="19" t="str">
        <f t="shared" si="35"/>
        <v/>
      </c>
      <c r="BY40" s="19" t="str">
        <f t="shared" si="36"/>
        <v/>
      </c>
      <c r="BZ40" s="19" t="str">
        <f t="shared" si="37"/>
        <v/>
      </c>
      <c r="CA40" s="19"/>
      <c r="CB40" s="4">
        <f t="shared" si="16"/>
        <v>0</v>
      </c>
      <c r="CC40" s="48"/>
      <c r="CD40" s="48"/>
      <c r="CE40" s="48"/>
    </row>
    <row r="41" spans="1:83" x14ac:dyDescent="0.25">
      <c r="B41" s="4"/>
      <c r="C41" s="4"/>
      <c r="D41" s="4"/>
      <c r="E41" s="4"/>
      <c r="F41" s="4"/>
      <c r="G41" s="4"/>
      <c r="H41" s="4"/>
      <c r="I41" s="4"/>
      <c r="J41" s="4"/>
      <c r="K41" s="4"/>
      <c r="L41" s="4"/>
      <c r="M41" s="4"/>
      <c r="N41" s="4"/>
      <c r="O41" s="4"/>
      <c r="P41" s="4"/>
      <c r="Q41" s="4"/>
      <c r="R41" s="4"/>
      <c r="S41" s="4"/>
      <c r="T41" s="4"/>
      <c r="U41" s="4"/>
      <c r="V41" s="4"/>
      <c r="W41" s="4"/>
      <c r="X41" s="4"/>
      <c r="Y41" s="4"/>
      <c r="AB41" s="15"/>
      <c r="AC41" s="16"/>
      <c r="AD41" s="16"/>
      <c r="AE41" s="16"/>
      <c r="AF41" s="16"/>
      <c r="AG41" s="16"/>
      <c r="AH41" s="16"/>
      <c r="AI41" s="16"/>
      <c r="AJ41" s="16"/>
      <c r="AK41" s="16"/>
      <c r="AL41" s="16"/>
      <c r="AM41" s="16"/>
      <c r="AN41" s="16"/>
      <c r="AO41" s="16"/>
      <c r="AP41" s="16"/>
      <c r="AQ41" s="15"/>
      <c r="AR41" s="16"/>
      <c r="AS41" s="16"/>
      <c r="AT41" s="16"/>
      <c r="AU41" s="16"/>
      <c r="AV41" s="16"/>
      <c r="AW41" s="16"/>
      <c r="AX41" s="16"/>
      <c r="AY41" s="15"/>
      <c r="AZ41" s="42" t="str">
        <f>IF(D229="","",4*D229)</f>
        <v/>
      </c>
      <c r="BA41" s="42" t="str">
        <f>IF(BC41="","","AG")</f>
        <v/>
      </c>
      <c r="BB41" s="43" t="str">
        <f>IF(BC41="","",2)</f>
        <v/>
      </c>
      <c r="BC41" s="44" t="str">
        <f>IF(D229="","",H229-G229)</f>
        <v/>
      </c>
      <c r="BD41" s="45"/>
      <c r="BE41" s="45"/>
      <c r="BG41" s="17">
        <v>38</v>
      </c>
      <c r="BH41" s="18">
        <f t="shared" si="41"/>
        <v>0</v>
      </c>
      <c r="BI41" s="18" t="str">
        <f t="shared" si="42"/>
        <v>FM</v>
      </c>
      <c r="BJ41" s="18">
        <f t="shared" si="43"/>
        <v>30</v>
      </c>
      <c r="BK41" s="24">
        <f t="shared" si="44"/>
        <v>-10</v>
      </c>
      <c r="BL41" s="18" t="str">
        <f t="shared" si="45"/>
        <v/>
      </c>
      <c r="BM41" s="26" t="str">
        <f t="shared" si="39"/>
        <v/>
      </c>
      <c r="BN41" s="19" t="str">
        <f t="shared" si="40"/>
        <v/>
      </c>
      <c r="BO41" s="19" t="str">
        <f t="shared" si="33"/>
        <v/>
      </c>
      <c r="BP41" s="19" t="str">
        <f>IF(BO41="","",IF(I378="SI",J358-AO283,J358))</f>
        <v/>
      </c>
      <c r="BQ41" s="50" t="str">
        <f t="shared" si="46"/>
        <v/>
      </c>
      <c r="BR41" s="50" t="str">
        <f t="shared" si="47"/>
        <v/>
      </c>
      <c r="BS41" s="50" t="str">
        <f t="shared" si="48"/>
        <v/>
      </c>
      <c r="BT41" s="50" t="str">
        <f t="shared" si="49"/>
        <v/>
      </c>
      <c r="BU41" s="42"/>
      <c r="BV41" s="42"/>
      <c r="BW41" s="19" t="str">
        <f t="shared" si="34"/>
        <v/>
      </c>
      <c r="BX41" s="19" t="str">
        <f t="shared" si="35"/>
        <v/>
      </c>
      <c r="BY41" s="19" t="str">
        <f t="shared" si="36"/>
        <v/>
      </c>
      <c r="BZ41" s="19" t="str">
        <f t="shared" si="37"/>
        <v/>
      </c>
      <c r="CA41" s="19"/>
      <c r="CB41" s="4">
        <f t="shared" si="16"/>
        <v>0</v>
      </c>
      <c r="CC41" s="48"/>
      <c r="CD41" s="48"/>
      <c r="CE41" s="48"/>
    </row>
    <row r="42" spans="1:83" x14ac:dyDescent="0.25">
      <c r="B42" s="4"/>
      <c r="C42" s="4"/>
      <c r="D42" s="4"/>
      <c r="E42" s="4"/>
      <c r="F42" s="4"/>
      <c r="G42" s="4"/>
      <c r="H42" s="4"/>
      <c r="I42" s="4"/>
      <c r="J42" s="4"/>
      <c r="K42" s="4"/>
      <c r="L42" s="4"/>
      <c r="M42" s="4"/>
      <c r="N42" s="4"/>
      <c r="O42" s="4"/>
      <c r="P42" s="4"/>
      <c r="Q42" s="4"/>
      <c r="R42" s="4"/>
      <c r="S42" s="4"/>
      <c r="T42" s="4"/>
      <c r="U42" s="4"/>
      <c r="V42" s="4"/>
      <c r="W42" s="4"/>
      <c r="X42" s="4"/>
      <c r="Y42" s="4"/>
      <c r="AB42" s="15"/>
      <c r="AC42" s="16"/>
      <c r="AD42" s="16"/>
      <c r="AE42" s="16"/>
      <c r="AF42" s="16"/>
      <c r="AG42" s="16"/>
      <c r="AH42" s="16"/>
      <c r="AI42" s="16"/>
      <c r="AJ42" s="16"/>
      <c r="AK42" s="16"/>
      <c r="AL42" s="16"/>
      <c r="AM42" s="16"/>
      <c r="AN42" s="16"/>
      <c r="AO42" s="16"/>
      <c r="AP42" s="16"/>
      <c r="AQ42" s="15"/>
      <c r="AR42" s="16"/>
      <c r="AS42" s="16"/>
      <c r="AT42" s="16"/>
      <c r="AU42" s="16"/>
      <c r="AV42" s="16"/>
      <c r="AW42" s="16"/>
      <c r="AX42" s="16"/>
      <c r="AY42" s="15"/>
      <c r="AZ42" s="42" t="str">
        <f>IF(D230="","",4*D230)</f>
        <v/>
      </c>
      <c r="BA42" s="42" t="str">
        <f>IF(BC42="","","AG")</f>
        <v/>
      </c>
      <c r="BB42" s="43" t="str">
        <f>IF(BC42="","",2)</f>
        <v/>
      </c>
      <c r="BC42" s="44" t="str">
        <f>IF(D230="","",H230-G230)</f>
        <v/>
      </c>
      <c r="BD42" s="45"/>
      <c r="BE42" s="45"/>
      <c r="BG42" s="17">
        <v>39</v>
      </c>
      <c r="BH42" s="18">
        <f t="shared" si="41"/>
        <v>0</v>
      </c>
      <c r="BI42" s="18" t="str">
        <f t="shared" si="42"/>
        <v>FM</v>
      </c>
      <c r="BJ42" s="18">
        <f t="shared" si="43"/>
        <v>30</v>
      </c>
      <c r="BK42" s="24">
        <f t="shared" si="44"/>
        <v>-10</v>
      </c>
      <c r="BL42" s="18" t="str">
        <f t="shared" si="45"/>
        <v/>
      </c>
      <c r="BM42" s="26" t="str">
        <f t="shared" si="39"/>
        <v/>
      </c>
      <c r="BN42" s="19" t="str">
        <f t="shared" si="40"/>
        <v/>
      </c>
      <c r="BO42" s="19" t="str">
        <f t="shared" si="33"/>
        <v/>
      </c>
      <c r="BP42" s="19" t="str">
        <f>IF(BO42="","",IF(I379="SI",J358-AO284,J358))</f>
        <v/>
      </c>
      <c r="BQ42" s="50" t="str">
        <f t="shared" si="46"/>
        <v/>
      </c>
      <c r="BR42" s="50" t="str">
        <f t="shared" si="47"/>
        <v/>
      </c>
      <c r="BS42" s="50" t="str">
        <f t="shared" si="48"/>
        <v/>
      </c>
      <c r="BT42" s="50" t="str">
        <f t="shared" si="49"/>
        <v/>
      </c>
      <c r="BU42" s="42"/>
      <c r="BV42" s="42"/>
      <c r="BW42" s="19" t="str">
        <f t="shared" si="34"/>
        <v/>
      </c>
      <c r="BX42" s="19" t="str">
        <f t="shared" si="35"/>
        <v/>
      </c>
      <c r="BY42" s="19" t="str">
        <f t="shared" si="36"/>
        <v/>
      </c>
      <c r="BZ42" s="19" t="str">
        <f t="shared" si="37"/>
        <v/>
      </c>
      <c r="CA42" s="19"/>
      <c r="CB42" s="4">
        <f t="shared" si="16"/>
        <v>0</v>
      </c>
      <c r="CC42" s="48"/>
      <c r="CD42" s="48"/>
      <c r="CE42" s="48"/>
    </row>
    <row r="43" spans="1:83" x14ac:dyDescent="0.25">
      <c r="B43" s="4"/>
      <c r="C43" s="4"/>
      <c r="D43" s="4"/>
      <c r="E43" s="4"/>
      <c r="F43" s="4"/>
      <c r="G43" s="4"/>
      <c r="H43" s="4"/>
      <c r="I43" s="4"/>
      <c r="J43" s="4"/>
      <c r="K43" s="4"/>
      <c r="L43" s="4"/>
      <c r="M43" s="4"/>
      <c r="N43" s="4"/>
      <c r="O43" s="4"/>
      <c r="P43" s="4"/>
      <c r="Q43" s="4"/>
      <c r="R43" s="4"/>
      <c r="S43" s="4"/>
      <c r="T43" s="4"/>
      <c r="U43" s="4"/>
      <c r="V43" s="4"/>
      <c r="W43" s="4"/>
      <c r="X43" s="4"/>
      <c r="Y43" s="4"/>
      <c r="AB43" s="15"/>
      <c r="AC43" s="16"/>
      <c r="AD43" s="16"/>
      <c r="AE43" s="16"/>
      <c r="AF43" s="16"/>
      <c r="AG43" s="16"/>
      <c r="AH43" s="16"/>
      <c r="AI43" s="16"/>
      <c r="AJ43" s="16"/>
      <c r="AK43" s="16"/>
      <c r="AL43" s="16"/>
      <c r="AM43" s="16"/>
      <c r="AN43" s="16"/>
      <c r="AO43" s="16"/>
      <c r="AP43" s="16"/>
      <c r="AQ43" s="15"/>
      <c r="AR43" s="16"/>
      <c r="AS43" s="16"/>
      <c r="AT43" s="16"/>
      <c r="AU43" s="16"/>
      <c r="AV43" s="16"/>
      <c r="AW43" s="16"/>
      <c r="AX43" s="16"/>
      <c r="AY43" s="15"/>
      <c r="AZ43" s="42" t="str">
        <f>IF(D231="","",4*D231)</f>
        <v/>
      </c>
      <c r="BA43" s="42" t="str">
        <f>IF(BC43="","","AG")</f>
        <v/>
      </c>
      <c r="BB43" s="43" t="str">
        <f>IF(BC43="","",2)</f>
        <v/>
      </c>
      <c r="BC43" s="44" t="str">
        <f>IF(D231="","",H231-G231)</f>
        <v/>
      </c>
      <c r="BD43" s="45"/>
      <c r="BE43" s="45"/>
      <c r="BG43" s="17">
        <v>40</v>
      </c>
      <c r="BH43" s="18">
        <f t="shared" si="41"/>
        <v>0</v>
      </c>
      <c r="BI43" s="18" t="str">
        <f t="shared" si="42"/>
        <v>FM</v>
      </c>
      <c r="BJ43" s="18">
        <f t="shared" si="43"/>
        <v>30</v>
      </c>
      <c r="BK43" s="24">
        <f t="shared" si="44"/>
        <v>-10</v>
      </c>
      <c r="BL43" s="18" t="str">
        <f t="shared" si="45"/>
        <v/>
      </c>
      <c r="BM43" s="26" t="str">
        <f t="shared" si="39"/>
        <v/>
      </c>
      <c r="BN43" s="19" t="str">
        <f t="shared" si="40"/>
        <v/>
      </c>
      <c r="BO43" s="19" t="str">
        <f t="shared" si="33"/>
        <v/>
      </c>
      <c r="BP43" s="19" t="str">
        <f>IF(BO43="","",IF(I380="SI",J358-AO285,J358))</f>
        <v/>
      </c>
      <c r="BQ43" s="50" t="str">
        <f t="shared" si="46"/>
        <v/>
      </c>
      <c r="BR43" s="50" t="str">
        <f t="shared" si="47"/>
        <v/>
      </c>
      <c r="BS43" s="50" t="str">
        <f t="shared" si="48"/>
        <v/>
      </c>
      <c r="BT43" s="50" t="str">
        <f t="shared" si="49"/>
        <v/>
      </c>
      <c r="BU43" s="42"/>
      <c r="BV43" s="42"/>
      <c r="BW43" s="19" t="str">
        <f t="shared" si="34"/>
        <v/>
      </c>
      <c r="BX43" s="19" t="str">
        <f t="shared" si="35"/>
        <v/>
      </c>
      <c r="BY43" s="19" t="str">
        <f t="shared" si="36"/>
        <v/>
      </c>
      <c r="BZ43" s="19" t="str">
        <f t="shared" si="37"/>
        <v/>
      </c>
      <c r="CA43" s="19"/>
      <c r="CB43" s="4">
        <f t="shared" si="16"/>
        <v>0</v>
      </c>
      <c r="CC43" s="48"/>
      <c r="CD43" s="48"/>
      <c r="CE43" s="48"/>
    </row>
    <row r="44" spans="1:83" x14ac:dyDescent="0.25">
      <c r="B44" s="4"/>
      <c r="C44" s="4"/>
      <c r="D44" s="4"/>
      <c r="E44" s="4"/>
      <c r="F44" s="4"/>
      <c r="G44" s="4"/>
      <c r="H44" s="4"/>
      <c r="I44" s="4"/>
      <c r="J44" s="4"/>
      <c r="K44" s="4"/>
      <c r="L44" s="4"/>
      <c r="M44" s="4"/>
      <c r="N44" s="4"/>
      <c r="O44" s="4"/>
      <c r="P44" s="4"/>
      <c r="Q44" s="4"/>
      <c r="R44" s="4"/>
      <c r="S44" s="4"/>
      <c r="T44" s="4"/>
      <c r="U44" s="4"/>
      <c r="V44" s="4"/>
      <c r="W44" s="4"/>
      <c r="X44" s="4"/>
      <c r="Y44" s="4"/>
      <c r="AB44" s="15"/>
      <c r="AC44" s="16"/>
      <c r="AD44" s="16"/>
      <c r="AE44" s="16"/>
      <c r="AF44" s="16"/>
      <c r="AG44" s="16"/>
      <c r="AH44" s="16"/>
      <c r="AI44" s="16"/>
      <c r="AJ44" s="16"/>
      <c r="AK44" s="16"/>
      <c r="AL44" s="16"/>
      <c r="AM44" s="16"/>
      <c r="AN44" s="16"/>
      <c r="AO44" s="16"/>
      <c r="AP44" s="16"/>
      <c r="AQ44" s="15"/>
      <c r="AR44" s="16"/>
      <c r="AS44" s="16"/>
      <c r="AT44" s="16"/>
      <c r="AU44" s="16"/>
      <c r="AV44" s="16"/>
      <c r="AW44" s="16"/>
      <c r="AX44" s="16"/>
      <c r="AY44" s="15"/>
      <c r="AZ44" s="42" t="str">
        <f>IF(D232="","",4*D232)</f>
        <v/>
      </c>
      <c r="BA44" s="42" t="str">
        <f>IF(BC44="","","AG")</f>
        <v/>
      </c>
      <c r="BB44" s="43" t="str">
        <f>IF(BC44="","",2)</f>
        <v/>
      </c>
      <c r="BC44" s="44" t="str">
        <f>IF(D232="","",H232-G232)</f>
        <v/>
      </c>
      <c r="BD44" s="45"/>
      <c r="BE44" s="45"/>
      <c r="BG44" s="17">
        <v>41</v>
      </c>
      <c r="BH44" s="18" t="str">
        <f t="shared" ref="BH44:BH53" si="50">IF(I84="","",IF(I84="VA","",IF(I84="VAS","",IF(I84="VRA",2*D84,IF(I84="VR",2*D84)))))</f>
        <v/>
      </c>
      <c r="BI44" s="18" t="str">
        <f t="shared" ref="BI44:BI53" si="51">IF(I84="","",IF(I84="VA","",IF(I84="VAS","",IF(I84="VRA","FM",IF(I84="VR","FM")))))</f>
        <v/>
      </c>
      <c r="BJ44" s="18" t="str">
        <f t="shared" ref="BJ44:BJ53" si="52">IF(I84="","",IF(I84="VA","",IF(I84="VAS","",IF(I84="VRA",10,IF(I84="VR",10)))))</f>
        <v/>
      </c>
      <c r="BK44" s="24" t="str">
        <f t="shared" ref="BK44:BK53" si="53">IF(BI44="","",IF(I84="VRA",F84+10,IF(I84="VR",F84+20,IF(I84="VA","",IF(I84="VAS","")))))</f>
        <v/>
      </c>
      <c r="BL44" s="25"/>
      <c r="BM44" s="26" t="str">
        <f>IF(AC286=0,"",AC286)</f>
        <v/>
      </c>
      <c r="BN44" s="19" t="str">
        <f>IF(BM44="","",AC265)</f>
        <v/>
      </c>
      <c r="BO44" s="19" t="str">
        <f>IF(BM44="","",10)</f>
        <v/>
      </c>
      <c r="BP44" s="19" t="str">
        <f>IF(BM44="","",J358)</f>
        <v/>
      </c>
      <c r="BQ44" s="50" t="str">
        <f t="shared" si="46"/>
        <v/>
      </c>
      <c r="BR44" s="50" t="str">
        <f t="shared" si="47"/>
        <v/>
      </c>
      <c r="BS44" s="50" t="str">
        <f t="shared" si="48"/>
        <v/>
      </c>
      <c r="BT44" s="50" t="str">
        <f t="shared" si="49"/>
        <v/>
      </c>
      <c r="BU44" s="42"/>
      <c r="BV44" s="42"/>
      <c r="BW44" s="19" t="str">
        <f t="shared" ref="BW44:BW63" si="54">IF(I361="SI",BM24,"")</f>
        <v/>
      </c>
      <c r="BX44" s="19" t="str">
        <f t="shared" ref="BX44:BX63" si="55">IF(BW44="","",IF(I361="SI","RML",""))</f>
        <v/>
      </c>
      <c r="BY44" s="19" t="str">
        <f t="shared" ref="BY44:BY63" si="56">IF(BX44="","",IF(I361="SI",AO266,""))</f>
        <v/>
      </c>
      <c r="BZ44" s="19" t="str">
        <f t="shared" ref="BZ44:BZ63" si="57">IF(BX44="","",BO24)</f>
        <v/>
      </c>
      <c r="CA44" s="19"/>
      <c r="CB44" s="4">
        <f t="shared" si="16"/>
        <v>0</v>
      </c>
      <c r="CC44" s="48"/>
      <c r="CD44" s="48"/>
      <c r="CE44" s="48"/>
    </row>
    <row r="45" spans="1:83" x14ac:dyDescent="0.25">
      <c r="B45" s="4"/>
      <c r="C45" s="4"/>
      <c r="D45" s="4"/>
      <c r="E45" s="4"/>
      <c r="F45" s="4"/>
      <c r="G45" s="4"/>
      <c r="H45" s="4"/>
      <c r="I45" s="4"/>
      <c r="J45" s="4"/>
      <c r="K45" s="4"/>
      <c r="L45" s="4"/>
      <c r="M45" s="4"/>
      <c r="N45" s="4"/>
      <c r="O45" s="4"/>
      <c r="P45" s="4"/>
      <c r="Q45" s="4"/>
      <c r="R45" s="4"/>
      <c r="S45" s="4"/>
      <c r="T45" s="4"/>
      <c r="U45" s="4"/>
      <c r="V45" s="4"/>
      <c r="W45" s="4"/>
      <c r="X45" s="4"/>
      <c r="Y45" s="4"/>
      <c r="AB45" s="15"/>
      <c r="AC45" s="16"/>
      <c r="AD45" s="16"/>
      <c r="AE45" s="16"/>
      <c r="AF45" s="16"/>
      <c r="AG45" s="16"/>
      <c r="AH45" s="16"/>
      <c r="AI45" s="16"/>
      <c r="AJ45" s="16"/>
      <c r="AK45" s="16"/>
      <c r="AL45" s="16"/>
      <c r="AM45" s="16"/>
      <c r="AN45" s="16"/>
      <c r="AO45" s="16"/>
      <c r="AP45" s="16"/>
      <c r="AQ45" s="15"/>
      <c r="AR45" s="16"/>
      <c r="AS45" s="16"/>
      <c r="AT45" s="16"/>
      <c r="AU45" s="16"/>
      <c r="AV45" s="16"/>
      <c r="AW45" s="16"/>
      <c r="AX45" s="16"/>
      <c r="AY45" s="15"/>
      <c r="AZ45" s="42" t="str">
        <f>IF(D228="","",2*D228)</f>
        <v/>
      </c>
      <c r="BA45" s="42" t="str">
        <f>IF(BC45="","","CP")</f>
        <v/>
      </c>
      <c r="BB45" s="43" t="str">
        <f>IF(AZ45="","",F228+I228+I228)</f>
        <v/>
      </c>
      <c r="BC45" s="44" t="str">
        <f>IF(D228="","",H228-G228)</f>
        <v/>
      </c>
      <c r="BD45" s="45"/>
      <c r="BE45" s="45"/>
      <c r="BG45" s="17">
        <v>42</v>
      </c>
      <c r="BH45" s="18" t="str">
        <f t="shared" si="50"/>
        <v/>
      </c>
      <c r="BI45" s="18" t="str">
        <f t="shared" si="51"/>
        <v/>
      </c>
      <c r="BJ45" s="18" t="str">
        <f t="shared" si="52"/>
        <v/>
      </c>
      <c r="BK45" s="24" t="str">
        <f t="shared" si="53"/>
        <v/>
      </c>
      <c r="BL45" s="25"/>
      <c r="BM45" s="26" t="str">
        <f>IF(AD286=0,"",AD286)</f>
        <v/>
      </c>
      <c r="BN45" s="19" t="str">
        <f>IF(BM45="","","CL")</f>
        <v/>
      </c>
      <c r="BO45" s="19" t="str">
        <f>IF(BM45="","",AD265)</f>
        <v/>
      </c>
      <c r="BP45" s="19" t="str">
        <f>IF(BM45="","",J358)</f>
        <v/>
      </c>
      <c r="BQ45" s="49" t="str">
        <f t="shared" si="46"/>
        <v/>
      </c>
      <c r="BR45" s="49" t="str">
        <f t="shared" si="47"/>
        <v/>
      </c>
      <c r="BS45" s="49" t="str">
        <f t="shared" si="48"/>
        <v/>
      </c>
      <c r="BT45" s="49" t="str">
        <f t="shared" si="49"/>
        <v/>
      </c>
      <c r="BU45" s="42"/>
      <c r="BV45" s="42"/>
      <c r="BW45" s="19" t="str">
        <f t="shared" si="54"/>
        <v/>
      </c>
      <c r="BX45" s="19" t="str">
        <f t="shared" si="55"/>
        <v/>
      </c>
      <c r="BY45" s="19" t="str">
        <f t="shared" si="56"/>
        <v/>
      </c>
      <c r="BZ45" s="19" t="str">
        <f t="shared" si="57"/>
        <v/>
      </c>
      <c r="CA45" s="19"/>
      <c r="CB45" s="4">
        <f t="shared" si="16"/>
        <v>0</v>
      </c>
      <c r="CC45" s="48"/>
      <c r="CD45" s="48"/>
      <c r="CE45" s="48"/>
    </row>
    <row r="46" spans="1:83" x14ac:dyDescent="0.25">
      <c r="B46" s="4"/>
      <c r="C46" s="4"/>
      <c r="D46" s="4"/>
      <c r="E46" s="4"/>
      <c r="F46" s="4"/>
      <c r="G46" s="4"/>
      <c r="H46" s="4"/>
      <c r="I46" s="4"/>
      <c r="J46" s="4"/>
      <c r="K46" s="4"/>
      <c r="L46" s="4"/>
      <c r="M46" s="4"/>
      <c r="N46" s="4"/>
      <c r="O46" s="4"/>
      <c r="P46" s="4"/>
      <c r="Q46" s="4"/>
      <c r="R46" s="4"/>
      <c r="S46" s="4"/>
      <c r="T46" s="4"/>
      <c r="U46" s="4"/>
      <c r="V46" s="4"/>
      <c r="W46" s="4"/>
      <c r="X46" s="4"/>
      <c r="Y46" s="4"/>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42" t="str">
        <f>IF(D229="","",2*D229)</f>
        <v/>
      </c>
      <c r="BA46" s="42" t="str">
        <f>IF(BC46="","","CP")</f>
        <v/>
      </c>
      <c r="BB46" s="43" t="str">
        <f>IF(AZ46="","",F229+I229+I229)</f>
        <v/>
      </c>
      <c r="BC46" s="44" t="str">
        <f>IF(D229="","",H229-G229)</f>
        <v/>
      </c>
      <c r="BD46" s="45"/>
      <c r="BE46" s="45"/>
      <c r="BG46" s="17">
        <v>43</v>
      </c>
      <c r="BH46" s="18" t="str">
        <f t="shared" si="50"/>
        <v/>
      </c>
      <c r="BI46" s="18" t="str">
        <f t="shared" si="51"/>
        <v/>
      </c>
      <c r="BJ46" s="18" t="str">
        <f t="shared" si="52"/>
        <v/>
      </c>
      <c r="BK46" s="24" t="str">
        <f t="shared" si="53"/>
        <v/>
      </c>
      <c r="BL46" s="25"/>
      <c r="BM46" s="26" t="str">
        <f>IF(AE286=0,"",AE286)</f>
        <v/>
      </c>
      <c r="BN46" s="19" t="str">
        <f t="shared" ref="BN46:BN54" si="58">IF(BM46="","","CL")</f>
        <v/>
      </c>
      <c r="BO46" s="19" t="str">
        <f>IF(BM46="","",AE265)</f>
        <v/>
      </c>
      <c r="BP46" s="19" t="str">
        <f>IF(BM46="","",J358)</f>
        <v/>
      </c>
      <c r="BQ46" s="50" t="str">
        <f t="shared" si="46"/>
        <v/>
      </c>
      <c r="BR46" s="50" t="str">
        <f t="shared" si="47"/>
        <v/>
      </c>
      <c r="BS46" s="50" t="str">
        <f t="shared" si="48"/>
        <v/>
      </c>
      <c r="BT46" s="50" t="str">
        <f t="shared" si="49"/>
        <v/>
      </c>
      <c r="BU46" s="42"/>
      <c r="BV46" s="42"/>
      <c r="BW46" s="19" t="str">
        <f t="shared" si="54"/>
        <v/>
      </c>
      <c r="BX46" s="19" t="str">
        <f t="shared" si="55"/>
        <v/>
      </c>
      <c r="BY46" s="19" t="str">
        <f t="shared" si="56"/>
        <v/>
      </c>
      <c r="BZ46" s="19" t="str">
        <f t="shared" si="57"/>
        <v/>
      </c>
      <c r="CA46" s="19"/>
      <c r="CB46" s="4">
        <f t="shared" si="16"/>
        <v>0</v>
      </c>
      <c r="CC46" s="48"/>
      <c r="CD46" s="48"/>
      <c r="CE46" s="48"/>
    </row>
    <row r="47" spans="1:83" x14ac:dyDescent="0.25">
      <c r="B47" s="4"/>
      <c r="C47" s="4"/>
      <c r="D47" s="4"/>
      <c r="E47" s="4"/>
      <c r="F47" s="4"/>
      <c r="G47" s="4"/>
      <c r="H47" s="4"/>
      <c r="I47" s="4"/>
      <c r="J47" s="4"/>
      <c r="K47" s="4"/>
      <c r="L47" s="4"/>
      <c r="M47" s="4"/>
      <c r="N47" s="4"/>
      <c r="O47" s="4"/>
      <c r="P47" s="4"/>
      <c r="Q47" s="4"/>
      <c r="R47" s="4"/>
      <c r="S47" s="4"/>
      <c r="T47" s="4"/>
      <c r="U47" s="4"/>
      <c r="V47" s="4"/>
      <c r="W47" s="4"/>
      <c r="X47" s="4"/>
      <c r="Y47" s="4"/>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42" t="str">
        <f>IF(D230="","",2*D230)</f>
        <v/>
      </c>
      <c r="BA47" s="42" t="str">
        <f>IF(BC47="","","CP")</f>
        <v/>
      </c>
      <c r="BB47" s="43" t="str">
        <f>IF(AZ47="","",F230+I230+I230)</f>
        <v/>
      </c>
      <c r="BC47" s="44" t="str">
        <f>IF(D230="","",H230-G230)</f>
        <v/>
      </c>
      <c r="BD47" s="45"/>
      <c r="BE47" s="45"/>
      <c r="BG47" s="17">
        <v>44</v>
      </c>
      <c r="BH47" s="18" t="str">
        <f t="shared" si="50"/>
        <v/>
      </c>
      <c r="BI47" s="18" t="str">
        <f t="shared" si="51"/>
        <v/>
      </c>
      <c r="BJ47" s="18" t="str">
        <f t="shared" si="52"/>
        <v/>
      </c>
      <c r="BK47" s="24" t="str">
        <f t="shared" si="53"/>
        <v/>
      </c>
      <c r="BL47" s="25"/>
      <c r="BM47" s="26" t="str">
        <f>IF(AF286=0,"",AF286)</f>
        <v/>
      </c>
      <c r="BN47" s="19" t="str">
        <f t="shared" si="58"/>
        <v/>
      </c>
      <c r="BO47" s="19" t="str">
        <f>IF(BM47="","",AF265)</f>
        <v/>
      </c>
      <c r="BP47" s="19" t="str">
        <f>IF(BM47="","",J358)</f>
        <v/>
      </c>
      <c r="BQ47" s="50" t="str">
        <f t="shared" si="46"/>
        <v/>
      </c>
      <c r="BR47" s="50" t="str">
        <f t="shared" si="47"/>
        <v/>
      </c>
      <c r="BS47" s="50" t="str">
        <f t="shared" si="48"/>
        <v/>
      </c>
      <c r="BT47" s="50" t="str">
        <f t="shared" si="49"/>
        <v/>
      </c>
      <c r="BU47" s="42"/>
      <c r="BV47" s="42"/>
      <c r="BW47" s="19" t="str">
        <f t="shared" si="54"/>
        <v/>
      </c>
      <c r="BX47" s="19" t="str">
        <f t="shared" si="55"/>
        <v/>
      </c>
      <c r="BY47" s="19" t="str">
        <f t="shared" si="56"/>
        <v/>
      </c>
      <c r="BZ47" s="19" t="str">
        <f t="shared" si="57"/>
        <v/>
      </c>
      <c r="CA47" s="19"/>
      <c r="CB47" s="4">
        <f t="shared" si="16"/>
        <v>0</v>
      </c>
      <c r="CC47" s="48"/>
      <c r="CD47" s="48"/>
      <c r="CE47" s="48"/>
    </row>
    <row r="48" spans="1:83" x14ac:dyDescent="0.25">
      <c r="B48" s="4"/>
      <c r="C48" s="4"/>
      <c r="D48" s="4"/>
      <c r="E48" s="4"/>
      <c r="F48" s="4"/>
      <c r="G48" s="4"/>
      <c r="H48" s="4"/>
      <c r="I48" s="4"/>
      <c r="J48" s="4"/>
      <c r="K48" s="4"/>
      <c r="L48" s="4"/>
      <c r="M48" s="4"/>
      <c r="N48" s="4"/>
      <c r="O48" s="4"/>
      <c r="P48" s="4"/>
      <c r="Q48" s="4"/>
      <c r="R48" s="4"/>
      <c r="S48" s="4"/>
      <c r="T48" s="4"/>
      <c r="U48" s="4"/>
      <c r="V48" s="4"/>
      <c r="W48" s="4"/>
      <c r="X48" s="4"/>
      <c r="Y48" s="4"/>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42" t="str">
        <f>IF(D231="","",2*D231)</f>
        <v/>
      </c>
      <c r="BA48" s="42" t="str">
        <f>IF(BC48="","","CP")</f>
        <v/>
      </c>
      <c r="BB48" s="43" t="str">
        <f>IF(AZ48="","",F231+I231+I231)</f>
        <v/>
      </c>
      <c r="BC48" s="44" t="str">
        <f>IF(D231="","",H231-G231)</f>
        <v/>
      </c>
      <c r="BD48" s="45"/>
      <c r="BE48" s="45"/>
      <c r="BG48" s="17">
        <v>45</v>
      </c>
      <c r="BH48" s="18" t="str">
        <f t="shared" si="50"/>
        <v/>
      </c>
      <c r="BI48" s="18" t="str">
        <f t="shared" si="51"/>
        <v/>
      </c>
      <c r="BJ48" s="18" t="str">
        <f t="shared" si="52"/>
        <v/>
      </c>
      <c r="BK48" s="24" t="str">
        <f t="shared" si="53"/>
        <v/>
      </c>
      <c r="BL48" s="25"/>
      <c r="BM48" s="26" t="str">
        <f>IF(AG286=0,"",AG286)</f>
        <v/>
      </c>
      <c r="BN48" s="19" t="str">
        <f t="shared" si="58"/>
        <v/>
      </c>
      <c r="BO48" s="19" t="str">
        <f>IF(BM48="","",AG265)</f>
        <v/>
      </c>
      <c r="BP48" s="19" t="str">
        <f>IF(BM48="","",J358)</f>
        <v/>
      </c>
      <c r="BQ48" s="50" t="str">
        <f t="shared" si="46"/>
        <v/>
      </c>
      <c r="BR48" s="50" t="str">
        <f t="shared" si="47"/>
        <v/>
      </c>
      <c r="BS48" s="50" t="str">
        <f t="shared" si="48"/>
        <v/>
      </c>
      <c r="BT48" s="50" t="str">
        <f t="shared" si="49"/>
        <v/>
      </c>
      <c r="BU48" s="42"/>
      <c r="BV48" s="42"/>
      <c r="BW48" s="19" t="str">
        <f t="shared" si="54"/>
        <v/>
      </c>
      <c r="BX48" s="19" t="str">
        <f t="shared" si="55"/>
        <v/>
      </c>
      <c r="BY48" s="19" t="str">
        <f t="shared" si="56"/>
        <v/>
      </c>
      <c r="BZ48" s="19" t="str">
        <f t="shared" si="57"/>
        <v/>
      </c>
      <c r="CA48" s="19"/>
      <c r="CB48" s="4">
        <f t="shared" si="16"/>
        <v>0</v>
      </c>
      <c r="CC48" s="48"/>
      <c r="CD48" s="48"/>
      <c r="CE48" s="48"/>
    </row>
    <row r="49" spans="2:83" x14ac:dyDescent="0.25">
      <c r="B49" s="4"/>
      <c r="C49" s="4"/>
      <c r="D49" s="4"/>
      <c r="E49" s="4"/>
      <c r="F49" s="4"/>
      <c r="G49" s="4"/>
      <c r="H49" s="4"/>
      <c r="I49" s="4"/>
      <c r="J49" s="4"/>
      <c r="K49" s="4"/>
      <c r="L49" s="4"/>
      <c r="M49" s="4"/>
      <c r="N49" s="4"/>
      <c r="O49" s="4"/>
      <c r="P49" s="4"/>
      <c r="Q49" s="4"/>
      <c r="R49" s="4"/>
      <c r="S49" s="4"/>
      <c r="T49" s="4"/>
      <c r="U49" s="4"/>
      <c r="V49" s="4"/>
      <c r="W49" s="4"/>
      <c r="X49" s="4"/>
      <c r="Y49" s="4"/>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42" t="str">
        <f>IF(D232="","",2*D232)</f>
        <v/>
      </c>
      <c r="BA49" s="42" t="str">
        <f>IF(BC49="","","CP")</f>
        <v/>
      </c>
      <c r="BB49" s="43" t="str">
        <f>IF(AZ49="","",F232+I232+I232)</f>
        <v/>
      </c>
      <c r="BC49" s="44" t="str">
        <f>IF(D232="","",H232-G232)</f>
        <v/>
      </c>
      <c r="BD49" s="45"/>
      <c r="BE49" s="45"/>
      <c r="BG49" s="17">
        <v>46</v>
      </c>
      <c r="BH49" s="18" t="str">
        <f t="shared" si="50"/>
        <v/>
      </c>
      <c r="BI49" s="18" t="str">
        <f t="shared" si="51"/>
        <v/>
      </c>
      <c r="BJ49" s="18" t="str">
        <f t="shared" si="52"/>
        <v/>
      </c>
      <c r="BK49" s="24" t="str">
        <f t="shared" si="53"/>
        <v/>
      </c>
      <c r="BL49" s="28"/>
      <c r="BM49" s="26" t="str">
        <f>IF(AH286=0,"",AH286)</f>
        <v/>
      </c>
      <c r="BN49" s="19" t="str">
        <f t="shared" si="58"/>
        <v/>
      </c>
      <c r="BO49" s="19" t="str">
        <f>IF(BM49="","",AH265)</f>
        <v/>
      </c>
      <c r="BP49" s="19" t="str">
        <f>IF(BM49="","",J358)</f>
        <v/>
      </c>
      <c r="BQ49" s="50" t="str">
        <f t="shared" si="46"/>
        <v/>
      </c>
      <c r="BR49" s="50" t="str">
        <f t="shared" si="47"/>
        <v/>
      </c>
      <c r="BS49" s="50" t="str">
        <f t="shared" si="48"/>
        <v/>
      </c>
      <c r="BT49" s="50" t="str">
        <f t="shared" si="49"/>
        <v/>
      </c>
      <c r="BU49" s="42"/>
      <c r="BV49" s="42"/>
      <c r="BW49" s="19" t="str">
        <f t="shared" si="54"/>
        <v/>
      </c>
      <c r="BX49" s="19" t="str">
        <f t="shared" si="55"/>
        <v/>
      </c>
      <c r="BY49" s="19" t="str">
        <f t="shared" si="56"/>
        <v/>
      </c>
      <c r="BZ49" s="19" t="str">
        <f t="shared" si="57"/>
        <v/>
      </c>
      <c r="CA49" s="19"/>
      <c r="CB49" s="4">
        <f t="shared" si="16"/>
        <v>0</v>
      </c>
      <c r="CC49" s="48"/>
      <c r="CD49" s="48"/>
      <c r="CE49" s="48"/>
    </row>
    <row r="50" spans="2:83" x14ac:dyDescent="0.25">
      <c r="B50" s="4"/>
      <c r="C50" s="4"/>
      <c r="D50" s="4"/>
      <c r="E50" s="4"/>
      <c r="F50" s="4"/>
      <c r="G50" s="4"/>
      <c r="H50" s="4"/>
      <c r="I50" s="4"/>
      <c r="J50" s="4"/>
      <c r="K50" s="4"/>
      <c r="L50" s="4"/>
      <c r="M50" s="4"/>
      <c r="N50" s="4"/>
      <c r="O50" s="4"/>
      <c r="P50" s="4"/>
      <c r="Q50" s="4"/>
      <c r="R50" s="4"/>
      <c r="S50" s="4"/>
      <c r="T50" s="4"/>
      <c r="U50" s="4"/>
      <c r="V50" s="4"/>
      <c r="W50" s="4"/>
      <c r="X50" s="4"/>
      <c r="Y50" s="4"/>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42" t="str">
        <f>IF(D228="","",2*D228)</f>
        <v/>
      </c>
      <c r="BA50" s="42" t="str">
        <f>IF(D228="","","CP")</f>
        <v/>
      </c>
      <c r="BB50" s="43" t="str">
        <f>IF(D228="","",E228+I228+I228)</f>
        <v/>
      </c>
      <c r="BC50" s="44" t="str">
        <f>IF(AZ50="","",H228-G228)</f>
        <v/>
      </c>
      <c r="BD50" s="45"/>
      <c r="BE50" s="45"/>
      <c r="BG50" s="17">
        <v>47</v>
      </c>
      <c r="BH50" s="18" t="str">
        <f t="shared" si="50"/>
        <v/>
      </c>
      <c r="BI50" s="18" t="str">
        <f t="shared" si="51"/>
        <v/>
      </c>
      <c r="BJ50" s="18" t="str">
        <f t="shared" si="52"/>
        <v/>
      </c>
      <c r="BK50" s="24" t="str">
        <f t="shared" si="53"/>
        <v/>
      </c>
      <c r="BL50" s="28"/>
      <c r="BM50" s="26" t="str">
        <f>IF(AI286=0,"",AI286)</f>
        <v/>
      </c>
      <c r="BN50" s="19" t="str">
        <f t="shared" si="58"/>
        <v/>
      </c>
      <c r="BO50" s="19" t="str">
        <f>IF(BM50="","",AI265)</f>
        <v/>
      </c>
      <c r="BP50" s="19" t="str">
        <f>IF(BM50="","",J358)</f>
        <v/>
      </c>
      <c r="BQ50" s="49" t="str">
        <f t="shared" si="46"/>
        <v/>
      </c>
      <c r="BR50" s="49" t="str">
        <f t="shared" si="47"/>
        <v/>
      </c>
      <c r="BS50" s="49" t="str">
        <f t="shared" si="48"/>
        <v/>
      </c>
      <c r="BT50" s="49" t="str">
        <f t="shared" si="49"/>
        <v/>
      </c>
      <c r="BU50" s="42"/>
      <c r="BV50" s="42"/>
      <c r="BW50" s="19" t="str">
        <f t="shared" si="54"/>
        <v/>
      </c>
      <c r="BX50" s="19" t="str">
        <f t="shared" si="55"/>
        <v/>
      </c>
      <c r="BY50" s="19" t="str">
        <f t="shared" si="56"/>
        <v/>
      </c>
      <c r="BZ50" s="19" t="str">
        <f t="shared" si="57"/>
        <v/>
      </c>
      <c r="CA50" s="19"/>
      <c r="CB50" s="4">
        <f t="shared" si="16"/>
        <v>0</v>
      </c>
      <c r="CC50" s="48"/>
      <c r="CD50" s="48"/>
      <c r="CE50" s="48"/>
    </row>
    <row r="51" spans="2:83" x14ac:dyDescent="0.25">
      <c r="B51" s="4"/>
      <c r="C51" s="4"/>
      <c r="D51" s="4"/>
      <c r="E51" s="4"/>
      <c r="F51" s="4"/>
      <c r="G51" s="4"/>
      <c r="H51" s="4"/>
      <c r="I51" s="4"/>
      <c r="J51" s="4"/>
      <c r="K51" s="4"/>
      <c r="L51" s="4"/>
      <c r="M51" s="4"/>
      <c r="N51" s="4"/>
      <c r="O51" s="4"/>
      <c r="P51" s="4"/>
      <c r="Q51" s="4"/>
      <c r="R51" s="4"/>
      <c r="S51" s="4"/>
      <c r="T51" s="4"/>
      <c r="U51" s="4"/>
      <c r="V51" s="4"/>
      <c r="W51" s="4"/>
      <c r="X51" s="4"/>
      <c r="Y51" s="4"/>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42" t="str">
        <f>IF(D229="","",2*D229)</f>
        <v/>
      </c>
      <c r="BA51" s="42" t="str">
        <f>IF(D229="","","CP")</f>
        <v/>
      </c>
      <c r="BB51" s="43" t="str">
        <f>IF(D229="","",E229+I229+I229)</f>
        <v/>
      </c>
      <c r="BC51" s="44" t="str">
        <f>IF(AZ51="","",H229-G229)</f>
        <v/>
      </c>
      <c r="BD51" s="45"/>
      <c r="BE51" s="45"/>
      <c r="BG51" s="17">
        <v>48</v>
      </c>
      <c r="BH51" s="18" t="str">
        <f t="shared" si="50"/>
        <v/>
      </c>
      <c r="BI51" s="18" t="str">
        <f t="shared" si="51"/>
        <v/>
      </c>
      <c r="BJ51" s="18" t="str">
        <f t="shared" si="52"/>
        <v/>
      </c>
      <c r="BK51" s="24" t="str">
        <f t="shared" si="53"/>
        <v/>
      </c>
      <c r="BL51" s="28"/>
      <c r="BM51" s="26" t="str">
        <f>IF(AJ286=0,"",AJ286)</f>
        <v/>
      </c>
      <c r="BN51" s="19" t="str">
        <f t="shared" si="58"/>
        <v/>
      </c>
      <c r="BO51" s="19" t="str">
        <f>IF(BM51="","",AJ265)</f>
        <v/>
      </c>
      <c r="BP51" s="19" t="str">
        <f>IF(BM51="","",J358)</f>
        <v/>
      </c>
      <c r="BQ51" s="50" t="str">
        <f t="shared" si="46"/>
        <v/>
      </c>
      <c r="BR51" s="50" t="str">
        <f t="shared" si="47"/>
        <v/>
      </c>
      <c r="BS51" s="50" t="str">
        <f t="shared" si="48"/>
        <v/>
      </c>
      <c r="BT51" s="50" t="str">
        <f t="shared" si="49"/>
        <v/>
      </c>
      <c r="BU51" s="42"/>
      <c r="BV51" s="42"/>
      <c r="BW51" s="19" t="str">
        <f t="shared" si="54"/>
        <v/>
      </c>
      <c r="BX51" s="19" t="str">
        <f t="shared" si="55"/>
        <v/>
      </c>
      <c r="BY51" s="19" t="str">
        <f t="shared" si="56"/>
        <v/>
      </c>
      <c r="BZ51" s="19" t="str">
        <f t="shared" si="57"/>
        <v/>
      </c>
      <c r="CA51" s="19"/>
      <c r="CB51" s="4">
        <f t="shared" si="16"/>
        <v>0</v>
      </c>
      <c r="CC51" s="48"/>
      <c r="CD51" s="48"/>
      <c r="CE51" s="48"/>
    </row>
    <row r="52" spans="2:83" x14ac:dyDescent="0.25">
      <c r="B52" s="4"/>
      <c r="C52" s="4"/>
      <c r="D52" s="4"/>
      <c r="E52" s="4"/>
      <c r="F52" s="4"/>
      <c r="G52" s="4"/>
      <c r="H52" s="4"/>
      <c r="I52" s="4"/>
      <c r="J52" s="4"/>
      <c r="K52" s="4"/>
      <c r="L52" s="4"/>
      <c r="M52" s="4"/>
      <c r="N52" s="4"/>
      <c r="O52" s="4"/>
      <c r="P52" s="4"/>
      <c r="Q52" s="4"/>
      <c r="R52" s="4"/>
      <c r="S52" s="4"/>
      <c r="T52" s="4"/>
      <c r="U52" s="4"/>
      <c r="V52" s="4"/>
      <c r="W52" s="4"/>
      <c r="X52" s="4"/>
      <c r="Y52" s="4"/>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42" t="str">
        <f>IF(D230="","",2*D230)</f>
        <v/>
      </c>
      <c r="BA52" s="42" t="str">
        <f>IF(D230="","","CP")</f>
        <v/>
      </c>
      <c r="BB52" s="43" t="str">
        <f>IF(D230="","",E230+I230+I230)</f>
        <v/>
      </c>
      <c r="BC52" s="44" t="str">
        <f>IF(AZ52="","",H230-G230)</f>
        <v/>
      </c>
      <c r="BD52" s="45"/>
      <c r="BE52" s="45"/>
      <c r="BG52" s="17">
        <v>49</v>
      </c>
      <c r="BH52" s="18" t="str">
        <f t="shared" si="50"/>
        <v/>
      </c>
      <c r="BI52" s="18" t="str">
        <f t="shared" si="51"/>
        <v/>
      </c>
      <c r="BJ52" s="18" t="str">
        <f t="shared" si="52"/>
        <v/>
      </c>
      <c r="BK52" s="24" t="str">
        <f t="shared" si="53"/>
        <v/>
      </c>
      <c r="BL52" s="25"/>
      <c r="BM52" s="26" t="str">
        <f>IF(AK286=0,"",AK286)</f>
        <v/>
      </c>
      <c r="BN52" s="19" t="str">
        <f t="shared" si="58"/>
        <v/>
      </c>
      <c r="BO52" s="19" t="str">
        <f>IF(BM52="","",AK265)</f>
        <v/>
      </c>
      <c r="BP52" s="19" t="str">
        <f>IF(BM52="","",J358)</f>
        <v/>
      </c>
      <c r="BQ52" s="50" t="str">
        <f t="shared" si="46"/>
        <v/>
      </c>
      <c r="BR52" s="50" t="str">
        <f t="shared" si="47"/>
        <v/>
      </c>
      <c r="BS52" s="50" t="str">
        <f t="shared" si="48"/>
        <v/>
      </c>
      <c r="BT52" s="50" t="str">
        <f t="shared" si="49"/>
        <v/>
      </c>
      <c r="BU52" s="42"/>
      <c r="BV52" s="42"/>
      <c r="BW52" s="19" t="str">
        <f t="shared" si="54"/>
        <v/>
      </c>
      <c r="BX52" s="19" t="str">
        <f t="shared" si="55"/>
        <v/>
      </c>
      <c r="BY52" s="19" t="str">
        <f t="shared" si="56"/>
        <v/>
      </c>
      <c r="BZ52" s="19" t="str">
        <f t="shared" si="57"/>
        <v/>
      </c>
      <c r="CA52" s="19"/>
      <c r="CB52" s="4">
        <f t="shared" si="16"/>
        <v>0</v>
      </c>
      <c r="CC52" s="48"/>
      <c r="CD52" s="48"/>
      <c r="CE52" s="48"/>
    </row>
    <row r="53" spans="2:83" x14ac:dyDescent="0.25">
      <c r="B53" s="4"/>
      <c r="C53" s="4"/>
      <c r="D53" s="4"/>
      <c r="E53" s="4"/>
      <c r="F53" s="4"/>
      <c r="G53" s="4"/>
      <c r="H53" s="4"/>
      <c r="I53" s="4"/>
      <c r="J53" s="4"/>
      <c r="K53" s="4"/>
      <c r="L53" s="4"/>
      <c r="M53" s="4"/>
      <c r="N53" s="4"/>
      <c r="O53" s="4"/>
      <c r="P53" s="4"/>
      <c r="Q53" s="4"/>
      <c r="R53" s="4"/>
      <c r="S53" s="4"/>
      <c r="T53" s="4"/>
      <c r="U53" s="4"/>
      <c r="V53" s="4"/>
      <c r="W53" s="4"/>
      <c r="X53" s="4"/>
      <c r="Y53" s="4"/>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42" t="str">
        <f>IF(D231="","",2*D231)</f>
        <v/>
      </c>
      <c r="BA53" s="42" t="str">
        <f>IF(D231="","","CP")</f>
        <v/>
      </c>
      <c r="BB53" s="43" t="str">
        <f>IF(D231="","",E231+I231+I231)</f>
        <v/>
      </c>
      <c r="BC53" s="44" t="str">
        <f>IF(AZ53="","",H231-G231)</f>
        <v/>
      </c>
      <c r="BD53" s="45"/>
      <c r="BE53" s="45"/>
      <c r="BG53" s="17">
        <v>50</v>
      </c>
      <c r="BH53" s="18" t="str">
        <f t="shared" si="50"/>
        <v/>
      </c>
      <c r="BI53" s="18" t="str">
        <f t="shared" si="51"/>
        <v/>
      </c>
      <c r="BJ53" s="18" t="str">
        <f t="shared" si="52"/>
        <v/>
      </c>
      <c r="BK53" s="24" t="str">
        <f t="shared" si="53"/>
        <v/>
      </c>
      <c r="BL53" s="25"/>
      <c r="BM53" s="26" t="str">
        <f>IF(AL286=0,"",AL286)</f>
        <v/>
      </c>
      <c r="BN53" s="19" t="str">
        <f t="shared" si="58"/>
        <v/>
      </c>
      <c r="BO53" s="19" t="str">
        <f>IF(BM53="","",AL265)</f>
        <v/>
      </c>
      <c r="BP53" s="19" t="str">
        <f>IF(BM53="","",J358)</f>
        <v/>
      </c>
      <c r="BQ53" s="50" t="str">
        <f t="shared" si="46"/>
        <v/>
      </c>
      <c r="BR53" s="50" t="str">
        <f t="shared" si="47"/>
        <v/>
      </c>
      <c r="BS53" s="50" t="str">
        <f t="shared" si="48"/>
        <v/>
      </c>
      <c r="BT53" s="50" t="str">
        <f t="shared" si="49"/>
        <v/>
      </c>
      <c r="BU53" s="42"/>
      <c r="BV53" s="42"/>
      <c r="BW53" s="19" t="str">
        <f t="shared" si="54"/>
        <v/>
      </c>
      <c r="BX53" s="19" t="str">
        <f t="shared" si="55"/>
        <v/>
      </c>
      <c r="BY53" s="19" t="str">
        <f t="shared" si="56"/>
        <v/>
      </c>
      <c r="BZ53" s="19" t="str">
        <f t="shared" si="57"/>
        <v/>
      </c>
      <c r="CA53" s="19"/>
      <c r="CB53" s="4">
        <f t="shared" si="16"/>
        <v>0</v>
      </c>
      <c r="CC53" s="48"/>
      <c r="CD53" s="48"/>
      <c r="CE53" s="48"/>
    </row>
    <row r="54" spans="2:83" x14ac:dyDescent="0.25">
      <c r="B54" s="4"/>
      <c r="C54" s="4"/>
      <c r="D54" s="4"/>
      <c r="E54" s="4"/>
      <c r="F54" s="4"/>
      <c r="G54" s="4"/>
      <c r="H54" s="4"/>
      <c r="I54" s="4"/>
      <c r="J54" s="4"/>
      <c r="K54" s="4"/>
      <c r="L54" s="4"/>
      <c r="M54" s="4"/>
      <c r="N54" s="4"/>
      <c r="O54" s="4"/>
      <c r="P54" s="4"/>
      <c r="Q54" s="4"/>
      <c r="R54" s="4"/>
      <c r="S54" s="4"/>
      <c r="T54" s="4"/>
      <c r="U54" s="4"/>
      <c r="V54" s="4"/>
      <c r="W54" s="4"/>
      <c r="X54" s="4"/>
      <c r="Y54" s="4"/>
      <c r="AB54" s="15"/>
      <c r="AC54" s="15"/>
      <c r="AD54" s="15"/>
      <c r="AE54" s="16"/>
      <c r="AF54" s="15"/>
      <c r="AG54" s="15"/>
      <c r="AH54" s="15"/>
      <c r="AI54" s="15"/>
      <c r="AJ54" s="15"/>
      <c r="AK54" s="15"/>
      <c r="AL54" s="15"/>
      <c r="AM54" s="15"/>
      <c r="AN54" s="15"/>
      <c r="AO54" s="15"/>
      <c r="AP54" s="15"/>
      <c r="AQ54" s="15"/>
      <c r="AR54" s="15"/>
      <c r="AS54" s="15"/>
      <c r="AT54" s="15"/>
      <c r="AU54" s="15"/>
      <c r="AV54" s="15"/>
      <c r="AW54" s="15"/>
      <c r="AX54" s="15"/>
      <c r="AY54" s="15"/>
      <c r="AZ54" s="42" t="str">
        <f>IF(D232="","",2*D232)</f>
        <v/>
      </c>
      <c r="BA54" s="42" t="str">
        <f>IF(D232="","","CP")</f>
        <v/>
      </c>
      <c r="BB54" s="43" t="str">
        <f>IF(D232="","",E232+I232+I232)</f>
        <v/>
      </c>
      <c r="BC54" s="44" t="str">
        <f>IF(AZ54="","",H232-G232)</f>
        <v/>
      </c>
      <c r="BD54" s="45"/>
      <c r="BE54" s="45"/>
      <c r="BG54" s="17">
        <v>51</v>
      </c>
      <c r="BH54" s="18" t="str">
        <f t="shared" ref="BH54:BH63" si="59">IF(BI54="","",IF(I84="VR",(IF(E84&lt;=60,1*D84,IF(E84&lt;=120,2*D84,IF(E84&lt;=180,3*D84,IF(E84&lt;=240,4*D84)))))*2,IF(I84="VRA",(IF(E84&lt;=60,1*D84,IF(E84&lt;=120,2*D84,IF(E84&lt;=180,3*D84,IF(E84&lt;=240,4*D84))))))))</f>
        <v/>
      </c>
      <c r="BI54" s="18" t="str">
        <f t="shared" ref="BI54:BI63" si="60">IF(I84="","",IF(I84="VA","",IF(I84="VAS","",IF(I84="VRA","FM",IF(I84="VR","FM")))))</f>
        <v/>
      </c>
      <c r="BJ54" s="18" t="str">
        <f t="shared" ref="BJ54:BJ63" si="61">IF(BI54="","",IF(E84&lt;=60,E84,IF(E84&lt;=120,E84/2,IF(E84&lt;=180,E84/3,IF(E84&lt;=240,E84/4)))))</f>
        <v/>
      </c>
      <c r="BK54" s="24" t="str">
        <f t="shared" ref="BK54:BK63" si="62">IF(I84="","",IF(I84="VA","",IF(I84="VAS","",IF(I84="VRA",10,IF(I84="VR",10)))))</f>
        <v/>
      </c>
      <c r="BL54" s="25"/>
      <c r="BM54" s="26" t="str">
        <f>IF(AM286=0,"",AM286)</f>
        <v/>
      </c>
      <c r="BN54" s="19" t="str">
        <f t="shared" si="58"/>
        <v/>
      </c>
      <c r="BO54" s="19" t="str">
        <f>IF(BM54="","",AM265)</f>
        <v/>
      </c>
      <c r="BP54" s="19" t="str">
        <f>IF(BM54="","",J358)</f>
        <v/>
      </c>
      <c r="BQ54" s="50" t="str">
        <f t="shared" si="46"/>
        <v/>
      </c>
      <c r="BR54" s="50" t="str">
        <f t="shared" si="47"/>
        <v/>
      </c>
      <c r="BS54" s="50" t="str">
        <f t="shared" si="48"/>
        <v/>
      </c>
      <c r="BT54" s="50" t="str">
        <f t="shared" si="49"/>
        <v/>
      </c>
      <c r="BU54" s="42"/>
      <c r="BV54" s="42"/>
      <c r="BW54" s="19" t="str">
        <f t="shared" si="54"/>
        <v/>
      </c>
      <c r="BX54" s="19" t="str">
        <f t="shared" si="55"/>
        <v/>
      </c>
      <c r="BY54" s="19" t="str">
        <f t="shared" si="56"/>
        <v/>
      </c>
      <c r="BZ54" s="19" t="str">
        <f t="shared" si="57"/>
        <v/>
      </c>
      <c r="CA54" s="19"/>
      <c r="CB54" s="4">
        <f t="shared" si="16"/>
        <v>0</v>
      </c>
      <c r="CC54" s="48"/>
      <c r="CD54" s="48"/>
      <c r="CE54" s="48"/>
    </row>
    <row r="55" spans="2:83" x14ac:dyDescent="0.25">
      <c r="B55" s="4"/>
      <c r="C55" s="4"/>
      <c r="D55" s="4"/>
      <c r="E55" s="4"/>
      <c r="F55" s="4"/>
      <c r="G55" s="4"/>
      <c r="H55" s="4"/>
      <c r="I55" s="4"/>
      <c r="J55" s="4"/>
      <c r="K55" s="4"/>
      <c r="L55" s="4"/>
      <c r="M55" s="4"/>
      <c r="N55" s="4"/>
      <c r="O55" s="4"/>
      <c r="P55" s="4"/>
      <c r="Q55" s="4"/>
      <c r="R55" s="4"/>
      <c r="S55" s="4"/>
      <c r="T55" s="4"/>
      <c r="U55" s="4"/>
      <c r="V55" s="4"/>
      <c r="W55" s="4"/>
      <c r="X55" s="4"/>
      <c r="Y55" s="4"/>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G55" s="17">
        <v>52</v>
      </c>
      <c r="BH55" s="18" t="str">
        <f t="shared" si="59"/>
        <v/>
      </c>
      <c r="BI55" s="18" t="str">
        <f t="shared" si="60"/>
        <v/>
      </c>
      <c r="BJ55" s="18" t="str">
        <f t="shared" si="61"/>
        <v/>
      </c>
      <c r="BK55" s="24" t="str">
        <f t="shared" si="62"/>
        <v/>
      </c>
      <c r="BL55" s="25"/>
      <c r="BM55" s="26" t="str">
        <f>IF(AN286=0,"",AN286)</f>
        <v/>
      </c>
      <c r="BN55" s="19" t="str">
        <f>IF(BM55="","",AN265)</f>
        <v/>
      </c>
      <c r="BO55" s="19" t="str">
        <f>IF(BM55="","",2)</f>
        <v/>
      </c>
      <c r="BP55" s="19" t="str">
        <f>IF(BM55="","",J358)</f>
        <v/>
      </c>
      <c r="BW55" s="19" t="str">
        <f t="shared" si="54"/>
        <v/>
      </c>
      <c r="BX55" s="19" t="str">
        <f t="shared" si="55"/>
        <v/>
      </c>
      <c r="BY55" s="19" t="str">
        <f t="shared" si="56"/>
        <v/>
      </c>
      <c r="BZ55" s="19" t="str">
        <f t="shared" si="57"/>
        <v/>
      </c>
      <c r="CA55" s="19"/>
      <c r="CB55" s="4">
        <f t="shared" si="16"/>
        <v>0</v>
      </c>
      <c r="CC55" s="48"/>
      <c r="CD55" s="48"/>
      <c r="CE55" s="48"/>
    </row>
    <row r="56" spans="2:83" x14ac:dyDescent="0.25">
      <c r="B56" s="4"/>
      <c r="C56" s="4"/>
      <c r="D56" s="4"/>
      <c r="E56" s="4"/>
      <c r="F56" s="4"/>
      <c r="G56" s="4"/>
      <c r="H56" s="4"/>
      <c r="I56" s="4"/>
      <c r="J56" s="4"/>
      <c r="K56" s="4"/>
      <c r="L56" s="4"/>
      <c r="M56" s="4"/>
      <c r="N56" s="4"/>
      <c r="O56" s="4"/>
      <c r="P56" s="4"/>
      <c r="Q56" s="4"/>
      <c r="R56" s="4"/>
      <c r="S56" s="4"/>
      <c r="T56" s="4"/>
      <c r="U56" s="4"/>
      <c r="V56" s="4"/>
      <c r="W56" s="4"/>
      <c r="X56" s="4"/>
      <c r="Y56" s="4"/>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G56" s="17">
        <v>53</v>
      </c>
      <c r="BH56" s="18" t="str">
        <f t="shared" si="59"/>
        <v/>
      </c>
      <c r="BI56" s="18" t="str">
        <f t="shared" si="60"/>
        <v/>
      </c>
      <c r="BJ56" s="18" t="str">
        <f t="shared" si="61"/>
        <v/>
      </c>
      <c r="BK56" s="24" t="str">
        <f t="shared" si="62"/>
        <v/>
      </c>
      <c r="BL56" s="25"/>
      <c r="BM56" s="26" t="str">
        <f t="shared" ref="BM56:BM69" si="63">IF(AV266=0,"",AV266)</f>
        <v/>
      </c>
      <c r="BN56" s="19" t="str">
        <f>IF(BM56="","","CL")</f>
        <v/>
      </c>
      <c r="BO56" s="19" t="str">
        <f>IF(BN56="","",G358)</f>
        <v/>
      </c>
      <c r="BP56" s="19" t="str">
        <f>IF(BN56="","",J358)</f>
        <v/>
      </c>
      <c r="BQ56" s="16"/>
      <c r="BR56" s="16"/>
      <c r="BS56" s="16"/>
      <c r="BT56" s="16"/>
      <c r="BU56" s="23"/>
      <c r="BV56" s="51"/>
      <c r="BW56" s="19" t="str">
        <f t="shared" si="54"/>
        <v/>
      </c>
      <c r="BX56" s="19" t="str">
        <f t="shared" si="55"/>
        <v/>
      </c>
      <c r="BY56" s="19" t="str">
        <f t="shared" si="56"/>
        <v/>
      </c>
      <c r="BZ56" s="19" t="str">
        <f t="shared" si="57"/>
        <v/>
      </c>
      <c r="CA56" s="19"/>
      <c r="CB56" s="4">
        <f t="shared" si="16"/>
        <v>0</v>
      </c>
      <c r="CC56" s="48"/>
      <c r="CD56" s="48"/>
      <c r="CE56" s="48"/>
    </row>
    <row r="57" spans="2:83" x14ac:dyDescent="0.25">
      <c r="B57" s="4"/>
      <c r="C57" s="4"/>
      <c r="D57" s="4"/>
      <c r="E57" s="4"/>
      <c r="F57" s="4"/>
      <c r="G57" s="4"/>
      <c r="H57" s="4"/>
      <c r="I57" s="4"/>
      <c r="J57" s="4"/>
      <c r="K57" s="4"/>
      <c r="L57" s="4"/>
      <c r="M57" s="4"/>
      <c r="N57" s="4"/>
      <c r="O57" s="4"/>
      <c r="P57" s="4"/>
      <c r="Q57" s="4"/>
      <c r="R57" s="4"/>
      <c r="S57" s="4"/>
      <c r="T57" s="4"/>
      <c r="U57" s="4"/>
      <c r="V57" s="4"/>
      <c r="W57" s="4"/>
      <c r="X57" s="4"/>
      <c r="Y57" s="4"/>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G57" s="17">
        <v>54</v>
      </c>
      <c r="BH57" s="18" t="str">
        <f t="shared" si="59"/>
        <v/>
      </c>
      <c r="BI57" s="18" t="str">
        <f t="shared" si="60"/>
        <v/>
      </c>
      <c r="BJ57" s="18" t="str">
        <f t="shared" si="61"/>
        <v/>
      </c>
      <c r="BK57" s="24" t="str">
        <f t="shared" si="62"/>
        <v/>
      </c>
      <c r="BL57" s="25"/>
      <c r="BM57" s="26" t="str">
        <f t="shared" si="63"/>
        <v/>
      </c>
      <c r="BN57" s="19" t="str">
        <f t="shared" ref="BN57:BN75" si="64">IF(BM57="","","CL")</f>
        <v/>
      </c>
      <c r="BO57" s="19" t="str">
        <f>IF(BN57="","",G358)</f>
        <v/>
      </c>
      <c r="BP57" s="19" t="str">
        <f>IF(BN57="","",J358)</f>
        <v/>
      </c>
      <c r="BQ57" s="15"/>
      <c r="BR57" s="15"/>
      <c r="BS57" s="15"/>
      <c r="BT57" s="15"/>
      <c r="BU57" s="15"/>
      <c r="BW57" s="19" t="str">
        <f t="shared" si="54"/>
        <v/>
      </c>
      <c r="BX57" s="19" t="str">
        <f t="shared" si="55"/>
        <v/>
      </c>
      <c r="BY57" s="19" t="str">
        <f t="shared" si="56"/>
        <v/>
      </c>
      <c r="BZ57" s="19" t="str">
        <f t="shared" si="57"/>
        <v/>
      </c>
      <c r="CA57" s="19"/>
      <c r="CB57" s="4">
        <f t="shared" si="16"/>
        <v>0</v>
      </c>
      <c r="CC57" s="48"/>
      <c r="CD57" s="48"/>
      <c r="CE57" s="48"/>
    </row>
    <row r="58" spans="2:83" x14ac:dyDescent="0.25">
      <c r="B58" s="4"/>
      <c r="C58" s="4"/>
      <c r="D58" s="4"/>
      <c r="E58" s="4"/>
      <c r="F58" s="4"/>
      <c r="G58" s="4"/>
      <c r="H58" s="4"/>
      <c r="I58" s="4"/>
      <c r="J58" s="4"/>
      <c r="K58" s="4"/>
      <c r="L58" s="4"/>
      <c r="M58" s="4"/>
      <c r="N58" s="4"/>
      <c r="O58" s="4"/>
      <c r="P58" s="4"/>
      <c r="Q58" s="4"/>
      <c r="R58" s="4"/>
      <c r="S58" s="4"/>
      <c r="T58" s="4"/>
      <c r="U58" s="4"/>
      <c r="V58" s="4"/>
      <c r="W58" s="4"/>
      <c r="X58" s="4"/>
      <c r="Y58" s="4"/>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6"/>
      <c r="BG58" s="17">
        <v>55</v>
      </c>
      <c r="BH58" s="18" t="str">
        <f t="shared" si="59"/>
        <v/>
      </c>
      <c r="BI58" s="18" t="str">
        <f t="shared" si="60"/>
        <v/>
      </c>
      <c r="BJ58" s="18" t="str">
        <f t="shared" si="61"/>
        <v/>
      </c>
      <c r="BK58" s="24" t="str">
        <f t="shared" si="62"/>
        <v/>
      </c>
      <c r="BL58" s="25"/>
      <c r="BM58" s="26" t="str">
        <f t="shared" si="63"/>
        <v/>
      </c>
      <c r="BN58" s="19" t="str">
        <f t="shared" si="64"/>
        <v/>
      </c>
      <c r="BO58" s="19" t="str">
        <f>IF(BN58="","",G358)</f>
        <v/>
      </c>
      <c r="BP58" s="19" t="str">
        <f>IF(BN58="","",J358)</f>
        <v/>
      </c>
      <c r="BQ58" s="15"/>
      <c r="BR58" s="15"/>
      <c r="BS58" s="15"/>
      <c r="BT58" s="15"/>
      <c r="BU58" s="15"/>
      <c r="BW58" s="19" t="str">
        <f t="shared" si="54"/>
        <v/>
      </c>
      <c r="BX58" s="19" t="str">
        <f t="shared" si="55"/>
        <v/>
      </c>
      <c r="BY58" s="19" t="str">
        <f t="shared" si="56"/>
        <v/>
      </c>
      <c r="BZ58" s="19" t="str">
        <f t="shared" si="57"/>
        <v/>
      </c>
      <c r="CA58" s="19"/>
      <c r="CB58" s="4">
        <f t="shared" si="16"/>
        <v>0</v>
      </c>
      <c r="CC58" s="48"/>
      <c r="CD58" s="48"/>
      <c r="CE58" s="48"/>
    </row>
    <row r="59" spans="2:83" x14ac:dyDescent="0.25">
      <c r="B59" s="4"/>
      <c r="C59" s="4"/>
      <c r="D59" s="4"/>
      <c r="E59" s="4"/>
      <c r="F59" s="4"/>
      <c r="G59" s="4"/>
      <c r="H59" s="4"/>
      <c r="I59" s="4"/>
      <c r="J59" s="4"/>
      <c r="K59" s="4"/>
      <c r="L59" s="4"/>
      <c r="M59" s="4"/>
      <c r="N59" s="4"/>
      <c r="O59" s="4"/>
      <c r="P59" s="4"/>
      <c r="Q59" s="4"/>
      <c r="R59" s="4"/>
      <c r="S59" s="4"/>
      <c r="T59" s="4"/>
      <c r="U59" s="4"/>
      <c r="V59" s="4"/>
      <c r="W59" s="4"/>
      <c r="X59" s="4"/>
      <c r="Y59" s="4"/>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6"/>
      <c r="BG59" s="17">
        <v>56</v>
      </c>
      <c r="BH59" s="18" t="str">
        <f t="shared" si="59"/>
        <v/>
      </c>
      <c r="BI59" s="18" t="str">
        <f t="shared" si="60"/>
        <v/>
      </c>
      <c r="BJ59" s="18" t="str">
        <f t="shared" si="61"/>
        <v/>
      </c>
      <c r="BK59" s="24" t="str">
        <f t="shared" si="62"/>
        <v/>
      </c>
      <c r="BL59" s="25"/>
      <c r="BM59" s="26" t="str">
        <f t="shared" si="63"/>
        <v/>
      </c>
      <c r="BN59" s="19" t="str">
        <f t="shared" si="64"/>
        <v/>
      </c>
      <c r="BO59" s="19" t="str">
        <f>IF(BN59="","",G358)</f>
        <v/>
      </c>
      <c r="BP59" s="19" t="str">
        <f>IF(BN59="","",J358)</f>
        <v/>
      </c>
      <c r="BQ59" s="15"/>
      <c r="BR59" s="15"/>
      <c r="BS59" s="15"/>
      <c r="BT59" s="15"/>
      <c r="BU59" s="15"/>
      <c r="BW59" s="19" t="str">
        <f t="shared" si="54"/>
        <v/>
      </c>
      <c r="BX59" s="19" t="str">
        <f t="shared" si="55"/>
        <v/>
      </c>
      <c r="BY59" s="19" t="str">
        <f t="shared" si="56"/>
        <v/>
      </c>
      <c r="BZ59" s="19" t="str">
        <f t="shared" si="57"/>
        <v/>
      </c>
      <c r="CA59" s="19"/>
      <c r="CB59" s="4">
        <f t="shared" si="16"/>
        <v>0</v>
      </c>
      <c r="CC59" s="48"/>
      <c r="CD59" s="48"/>
      <c r="CE59" s="48"/>
    </row>
    <row r="60" spans="2:83" x14ac:dyDescent="0.25">
      <c r="B60" s="4"/>
      <c r="C60" s="4"/>
      <c r="D60" s="4"/>
      <c r="E60" s="4"/>
      <c r="F60" s="4"/>
      <c r="G60" s="4"/>
      <c r="H60" s="4"/>
      <c r="I60" s="4"/>
      <c r="J60" s="4"/>
      <c r="K60" s="4"/>
      <c r="L60" s="4"/>
      <c r="M60" s="4"/>
      <c r="N60" s="4"/>
      <c r="O60" s="4"/>
      <c r="P60" s="4"/>
      <c r="Q60" s="4"/>
      <c r="R60" s="4"/>
      <c r="S60" s="4"/>
      <c r="T60" s="4"/>
      <c r="U60" s="4"/>
      <c r="V60" s="4"/>
      <c r="W60" s="4"/>
      <c r="X60" s="4"/>
      <c r="Y60" s="4"/>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6"/>
      <c r="BG60" s="17">
        <v>57</v>
      </c>
      <c r="BH60" s="18" t="str">
        <f t="shared" si="59"/>
        <v/>
      </c>
      <c r="BI60" s="18" t="str">
        <f t="shared" si="60"/>
        <v/>
      </c>
      <c r="BJ60" s="18" t="str">
        <f t="shared" si="61"/>
        <v/>
      </c>
      <c r="BK60" s="24" t="str">
        <f t="shared" si="62"/>
        <v/>
      </c>
      <c r="BL60" s="25"/>
      <c r="BM60" s="26" t="str">
        <f t="shared" si="63"/>
        <v/>
      </c>
      <c r="BN60" s="19" t="str">
        <f t="shared" si="64"/>
        <v/>
      </c>
      <c r="BO60" s="19" t="str">
        <f>IF(BN60="","",G358)</f>
        <v/>
      </c>
      <c r="BP60" s="19" t="str">
        <f>IF(BN60="","",J358)</f>
        <v/>
      </c>
      <c r="BW60" s="19" t="str">
        <f t="shared" si="54"/>
        <v/>
      </c>
      <c r="BX60" s="19" t="str">
        <f t="shared" si="55"/>
        <v/>
      </c>
      <c r="BY60" s="19" t="str">
        <f t="shared" si="56"/>
        <v/>
      </c>
      <c r="BZ60" s="19" t="str">
        <f t="shared" si="57"/>
        <v/>
      </c>
      <c r="CA60" s="19"/>
      <c r="CB60" s="4">
        <f t="shared" si="16"/>
        <v>0</v>
      </c>
      <c r="CC60" s="48"/>
      <c r="CD60" s="48"/>
      <c r="CE60" s="48"/>
    </row>
    <row r="61" spans="2:83" x14ac:dyDescent="0.25">
      <c r="B61" s="4"/>
      <c r="C61" s="4"/>
      <c r="D61" s="4"/>
      <c r="E61" s="4"/>
      <c r="F61" s="4"/>
      <c r="G61" s="4"/>
      <c r="H61" s="4"/>
      <c r="I61" s="4"/>
      <c r="J61" s="4"/>
      <c r="K61" s="4"/>
      <c r="L61" s="4"/>
      <c r="M61" s="4"/>
      <c r="N61" s="4"/>
      <c r="O61" s="4"/>
      <c r="P61" s="4"/>
      <c r="Q61" s="4"/>
      <c r="R61" s="4"/>
      <c r="S61" s="4"/>
      <c r="T61" s="4"/>
      <c r="U61" s="4"/>
      <c r="V61" s="4"/>
      <c r="W61" s="4"/>
      <c r="X61" s="4"/>
      <c r="Y61" s="4"/>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6"/>
      <c r="BG61" s="17">
        <v>58</v>
      </c>
      <c r="BH61" s="18" t="str">
        <f t="shared" si="59"/>
        <v/>
      </c>
      <c r="BI61" s="18" t="str">
        <f t="shared" si="60"/>
        <v/>
      </c>
      <c r="BJ61" s="18" t="str">
        <f t="shared" si="61"/>
        <v/>
      </c>
      <c r="BK61" s="24" t="str">
        <f t="shared" si="62"/>
        <v/>
      </c>
      <c r="BL61" s="25"/>
      <c r="BM61" s="26" t="str">
        <f t="shared" si="63"/>
        <v/>
      </c>
      <c r="BN61" s="19" t="str">
        <f t="shared" si="64"/>
        <v/>
      </c>
      <c r="BO61" s="19" t="str">
        <f>IF(BN61="","",G358)</f>
        <v/>
      </c>
      <c r="BP61" s="19" t="str">
        <f>IF(BN61="","",J358)</f>
        <v/>
      </c>
      <c r="BW61" s="19" t="str">
        <f t="shared" si="54"/>
        <v/>
      </c>
      <c r="BX61" s="19" t="str">
        <f t="shared" si="55"/>
        <v/>
      </c>
      <c r="BY61" s="19" t="str">
        <f t="shared" si="56"/>
        <v/>
      </c>
      <c r="BZ61" s="19" t="str">
        <f t="shared" si="57"/>
        <v/>
      </c>
      <c r="CA61" s="19"/>
      <c r="CB61" s="4">
        <f t="shared" si="16"/>
        <v>0</v>
      </c>
      <c r="CC61" s="48"/>
      <c r="CD61" s="48"/>
      <c r="CE61" s="48"/>
    </row>
    <row r="62" spans="2:83" x14ac:dyDescent="0.25">
      <c r="B62" s="4"/>
      <c r="C62" s="4"/>
      <c r="D62" s="4"/>
      <c r="E62" s="4"/>
      <c r="F62" s="4"/>
      <c r="G62" s="4"/>
      <c r="H62" s="4"/>
      <c r="I62" s="4"/>
      <c r="J62" s="4"/>
      <c r="K62" s="4"/>
      <c r="L62" s="4"/>
      <c r="M62" s="4"/>
      <c r="N62" s="4"/>
      <c r="O62" s="4"/>
      <c r="P62" s="4"/>
      <c r="Q62" s="4"/>
      <c r="R62" s="4"/>
      <c r="S62" s="4"/>
      <c r="T62" s="4"/>
      <c r="U62" s="4"/>
      <c r="V62" s="4"/>
      <c r="W62" s="4"/>
      <c r="X62" s="4"/>
      <c r="Y62" s="4"/>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6"/>
      <c r="BG62" s="17">
        <v>59</v>
      </c>
      <c r="BH62" s="18" t="str">
        <f t="shared" si="59"/>
        <v/>
      </c>
      <c r="BI62" s="18" t="str">
        <f t="shared" si="60"/>
        <v/>
      </c>
      <c r="BJ62" s="18" t="str">
        <f t="shared" si="61"/>
        <v/>
      </c>
      <c r="BK62" s="24" t="str">
        <f t="shared" si="62"/>
        <v/>
      </c>
      <c r="BL62" s="25"/>
      <c r="BM62" s="26" t="str">
        <f t="shared" si="63"/>
        <v/>
      </c>
      <c r="BN62" s="19" t="str">
        <f t="shared" si="64"/>
        <v/>
      </c>
      <c r="BO62" s="19" t="str">
        <f>IF(BN62="","",G358)</f>
        <v/>
      </c>
      <c r="BP62" s="19" t="str">
        <f>IF(BN62="","",J358)</f>
        <v/>
      </c>
      <c r="BR62" s="23"/>
      <c r="BS62" s="23"/>
      <c r="BT62" s="23"/>
      <c r="BU62" s="23"/>
      <c r="BV62" s="23"/>
      <c r="BW62" s="19" t="str">
        <f t="shared" si="54"/>
        <v/>
      </c>
      <c r="BX62" s="19" t="str">
        <f t="shared" si="55"/>
        <v/>
      </c>
      <c r="BY62" s="19" t="str">
        <f t="shared" si="56"/>
        <v/>
      </c>
      <c r="BZ62" s="19" t="str">
        <f t="shared" si="57"/>
        <v/>
      </c>
      <c r="CA62" s="19"/>
      <c r="CB62" s="4">
        <f t="shared" si="16"/>
        <v>0</v>
      </c>
      <c r="CC62" s="48"/>
      <c r="CD62" s="48"/>
      <c r="CE62" s="48"/>
    </row>
    <row r="63" spans="2:83" x14ac:dyDescent="0.25">
      <c r="B63" s="4"/>
      <c r="C63" s="4"/>
      <c r="D63" s="4"/>
      <c r="E63" s="4"/>
      <c r="F63" s="4"/>
      <c r="G63" s="4"/>
      <c r="H63" s="4"/>
      <c r="I63" s="4"/>
      <c r="J63" s="4"/>
      <c r="K63" s="4"/>
      <c r="L63" s="4"/>
      <c r="M63" s="4"/>
      <c r="N63" s="4"/>
      <c r="O63" s="4"/>
      <c r="P63" s="4"/>
      <c r="Q63" s="4"/>
      <c r="R63" s="4"/>
      <c r="S63" s="4"/>
      <c r="T63" s="4"/>
      <c r="U63" s="4"/>
      <c r="V63" s="4"/>
      <c r="W63" s="4"/>
      <c r="X63" s="4"/>
      <c r="Y63" s="4"/>
      <c r="AB63" s="15"/>
      <c r="AC63" s="15"/>
      <c r="AD63" s="15"/>
      <c r="AE63" s="15"/>
      <c r="AF63" s="15"/>
      <c r="AG63" s="15"/>
      <c r="AH63" s="15"/>
      <c r="AI63" s="15"/>
      <c r="AJ63" s="15"/>
      <c r="AK63" s="23"/>
      <c r="AL63" s="23"/>
      <c r="AM63" s="23"/>
      <c r="AN63" s="30"/>
      <c r="AO63" s="15"/>
      <c r="AP63" s="15"/>
      <c r="AQ63" s="15"/>
      <c r="AR63" s="15"/>
      <c r="AS63" s="15"/>
      <c r="AT63" s="15"/>
      <c r="AU63" s="15"/>
      <c r="AV63" s="15"/>
      <c r="AW63" s="15"/>
      <c r="AX63" s="15"/>
      <c r="AY63" s="15"/>
      <c r="AZ63" s="15"/>
      <c r="BA63" s="15"/>
      <c r="BB63" s="15"/>
      <c r="BC63" s="15"/>
      <c r="BD63" s="15"/>
      <c r="BE63" s="15"/>
      <c r="BF63" s="15"/>
      <c r="BG63" s="17">
        <v>60</v>
      </c>
      <c r="BH63" s="18" t="str">
        <f t="shared" si="59"/>
        <v/>
      </c>
      <c r="BI63" s="18" t="str">
        <f t="shared" si="60"/>
        <v/>
      </c>
      <c r="BJ63" s="18" t="str">
        <f t="shared" si="61"/>
        <v/>
      </c>
      <c r="BK63" s="24" t="str">
        <f t="shared" si="62"/>
        <v/>
      </c>
      <c r="BL63" s="25"/>
      <c r="BM63" s="26" t="str">
        <f t="shared" si="63"/>
        <v/>
      </c>
      <c r="BN63" s="19" t="str">
        <f t="shared" si="64"/>
        <v/>
      </c>
      <c r="BO63" s="19" t="str">
        <f>IF(BN63="","",G358)</f>
        <v/>
      </c>
      <c r="BP63" s="19" t="str">
        <f>IF(BN63="","",J358)</f>
        <v/>
      </c>
      <c r="BR63" s="23"/>
      <c r="BS63" s="23"/>
      <c r="BT63" s="23"/>
      <c r="BU63" s="23"/>
      <c r="BV63" s="23"/>
      <c r="BW63" s="19" t="str">
        <f t="shared" si="54"/>
        <v/>
      </c>
      <c r="BX63" s="19" t="str">
        <f t="shared" si="55"/>
        <v/>
      </c>
      <c r="BY63" s="19" t="str">
        <f t="shared" si="56"/>
        <v/>
      </c>
      <c r="BZ63" s="19" t="str">
        <f t="shared" si="57"/>
        <v/>
      </c>
      <c r="CA63" s="19"/>
      <c r="CB63" s="4">
        <f t="shared" si="16"/>
        <v>0</v>
      </c>
      <c r="CC63" s="48"/>
      <c r="CD63" s="48"/>
      <c r="CE63" s="48"/>
    </row>
    <row r="64" spans="2:83" x14ac:dyDescent="0.25">
      <c r="B64" s="4"/>
      <c r="C64" s="4"/>
      <c r="D64" s="4"/>
      <c r="E64" s="4"/>
      <c r="F64" s="4"/>
      <c r="G64" s="4"/>
      <c r="H64" s="4"/>
      <c r="I64" s="4"/>
      <c r="J64" s="4"/>
      <c r="K64" s="4"/>
      <c r="L64" s="4"/>
      <c r="M64" s="4"/>
      <c r="N64" s="4"/>
      <c r="O64" s="4"/>
      <c r="P64" s="4"/>
      <c r="Q64" s="4"/>
      <c r="R64" s="4"/>
      <c r="S64" s="4"/>
      <c r="T64" s="4"/>
      <c r="U64" s="4"/>
      <c r="V64" s="4"/>
      <c r="W64" s="4"/>
      <c r="X64" s="4"/>
      <c r="Y64" s="4"/>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7">
        <v>61</v>
      </c>
      <c r="BH64" s="18">
        <f t="shared" ref="BH64:BH73" si="65">IF(BI64="","",IF(E84&lt;=60,1*D84,IF(E84&lt;=120,2*D84,IF(E84&lt;=180,3*D84,IF(E84&lt;=240,4*D84)))))</f>
        <v>0</v>
      </c>
      <c r="BI64" s="18" t="str">
        <f t="shared" ref="BI64:BI73" si="66">IF(I84="","",IF(I84="VA","FM",IF(I84="VAS","FM",IF(I84="VRA","FM",IF(I84="VR","FMA")))))</f>
        <v>FM</v>
      </c>
      <c r="BJ64" s="18">
        <f t="shared" ref="BJ64:BJ73" si="67">IF(BI64="","",IF(E84&lt;=60,E84,IF(E84&lt;=120,E84/2,IF(E84&lt;=180,E84/3,IF(E84&lt;=240,E84/4)))))</f>
        <v>0</v>
      </c>
      <c r="BK64" s="24">
        <f t="shared" ref="BK64:BK73" si="68">IF(I84="","",IF(I84="VA",BK14-27,IF(I84="VAS",BK14-27,IF(I84="VRA",BK14-27,IF(I84="VR",BK14-10)))))</f>
        <v>-27</v>
      </c>
      <c r="BL64" s="18" t="str">
        <f t="shared" ref="BL64:BL73" si="69">IF(I84="","",IF(I84="VA","",IF(I84="VAS","",IF(I84="VRA","",IF(I84="VR","10.4")))))</f>
        <v/>
      </c>
      <c r="BM64" s="26" t="str">
        <f t="shared" si="63"/>
        <v/>
      </c>
      <c r="BN64" s="19" t="str">
        <f t="shared" si="64"/>
        <v/>
      </c>
      <c r="BO64" s="19" t="str">
        <f>IF(BN64="","",G358)</f>
        <v/>
      </c>
      <c r="BP64" s="19" t="str">
        <f>IF(BN64="","",J358)</f>
        <v/>
      </c>
      <c r="BR64" s="23"/>
      <c r="BS64" s="23"/>
      <c r="BT64" s="23"/>
      <c r="BU64" s="23"/>
      <c r="BV64" s="23"/>
      <c r="BW64" s="19" t="str">
        <f t="shared" ref="BW64:BW83" si="70">IF(BY64="","",IF(G361="TH","",IF(G361=1,"",IF(G361=2,1,IF(G361=3,1,IF(G361=4,"",IF(G361="","")))))))</f>
        <v/>
      </c>
      <c r="BX64" s="19" t="str">
        <f t="shared" ref="BX64:BX83" si="71">IF(BY64="","",IF(G361="TH","",IF(G361=1,"",IF(G361=2,"RMLE",IF(G361=3,"RML",IF(G361=4,"",IF(G361="","")))))))</f>
        <v/>
      </c>
      <c r="BY64" s="19" t="str">
        <f t="shared" ref="BY64:BY83" si="72">IF(AO266="","",AO266)</f>
        <v/>
      </c>
      <c r="BZ64" s="19" t="str">
        <f t="shared" ref="BZ64:BZ83" si="73">IF(BY64="","",IF(G361=2,F361+15,IF(G361=3,F361+30,IF(G361=1,"",IF(G361=4,"",IF(G361="TH","",IF(G361="","")))))))</f>
        <v/>
      </c>
      <c r="CA64" s="19" t="str">
        <f>IF(BX64="RMLE",BZ64,"")</f>
        <v/>
      </c>
      <c r="CB64" s="4">
        <f t="shared" si="16"/>
        <v>0</v>
      </c>
      <c r="CC64" s="48"/>
      <c r="CD64" s="48"/>
      <c r="CE64" s="48"/>
    </row>
    <row r="65" spans="1:107" x14ac:dyDescent="0.25">
      <c r="B65" s="4"/>
      <c r="C65" s="4"/>
      <c r="D65" s="4"/>
      <c r="E65" s="4"/>
      <c r="F65" s="4"/>
      <c r="G65" s="4"/>
      <c r="H65" s="4"/>
      <c r="I65" s="4"/>
      <c r="J65" s="4"/>
      <c r="K65" s="4"/>
      <c r="L65" s="4"/>
      <c r="M65" s="4"/>
      <c r="N65" s="4"/>
      <c r="O65" s="4"/>
      <c r="P65" s="4"/>
      <c r="Q65" s="4"/>
      <c r="R65" s="4"/>
      <c r="S65" s="4"/>
      <c r="T65" s="4"/>
      <c r="U65" s="4"/>
      <c r="V65" s="4"/>
      <c r="W65" s="4"/>
      <c r="X65" s="4"/>
      <c r="Y65" s="4"/>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7">
        <v>62</v>
      </c>
      <c r="BH65" s="18">
        <f t="shared" si="65"/>
        <v>0</v>
      </c>
      <c r="BI65" s="18" t="str">
        <f t="shared" si="66"/>
        <v>FM</v>
      </c>
      <c r="BJ65" s="18">
        <f t="shared" si="67"/>
        <v>0</v>
      </c>
      <c r="BK65" s="24">
        <f t="shared" si="68"/>
        <v>-27</v>
      </c>
      <c r="BL65" s="18" t="str">
        <f t="shared" si="69"/>
        <v/>
      </c>
      <c r="BM65" s="26" t="str">
        <f t="shared" si="63"/>
        <v/>
      </c>
      <c r="BN65" s="19" t="str">
        <f t="shared" si="64"/>
        <v/>
      </c>
      <c r="BO65" s="19" t="str">
        <f>IF(BN65="","",G358)</f>
        <v/>
      </c>
      <c r="BP65" s="19" t="str">
        <f>IF(BN65="","",J358)</f>
        <v/>
      </c>
      <c r="BR65" s="23"/>
      <c r="BS65" s="23"/>
      <c r="BT65" s="23"/>
      <c r="BU65" s="23"/>
      <c r="BV65" s="23"/>
      <c r="BW65" s="19" t="str">
        <f t="shared" si="70"/>
        <v/>
      </c>
      <c r="BX65" s="19" t="str">
        <f t="shared" si="71"/>
        <v/>
      </c>
      <c r="BY65" s="19" t="str">
        <f t="shared" si="72"/>
        <v/>
      </c>
      <c r="BZ65" s="19" t="str">
        <f t="shared" si="73"/>
        <v/>
      </c>
      <c r="CA65" s="19" t="str">
        <f t="shared" ref="CA65:CA83" si="74">IF(BX65="RMLE",BZ65,"")</f>
        <v/>
      </c>
      <c r="CB65" s="4">
        <f t="shared" si="16"/>
        <v>0</v>
      </c>
      <c r="CC65" s="48"/>
      <c r="CD65" s="48"/>
      <c r="CE65" s="48"/>
    </row>
    <row r="66" spans="1:107" x14ac:dyDescent="0.25">
      <c r="B66" s="4"/>
      <c r="C66" s="4"/>
      <c r="D66" s="4"/>
      <c r="E66" s="4"/>
      <c r="F66" s="4"/>
      <c r="G66" s="4"/>
      <c r="H66" s="4"/>
      <c r="I66" s="4"/>
      <c r="J66" s="4"/>
      <c r="K66" s="4"/>
      <c r="L66" s="4"/>
      <c r="M66" s="4"/>
      <c r="N66" s="4"/>
      <c r="O66" s="4"/>
      <c r="P66" s="4"/>
      <c r="Q66" s="4"/>
      <c r="R66" s="4"/>
      <c r="S66" s="4"/>
      <c r="T66" s="4"/>
      <c r="U66" s="4"/>
      <c r="V66" s="4"/>
      <c r="W66" s="4"/>
      <c r="X66" s="4"/>
      <c r="Y66" s="4"/>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7">
        <v>63</v>
      </c>
      <c r="BH66" s="18">
        <f t="shared" si="65"/>
        <v>0</v>
      </c>
      <c r="BI66" s="18" t="str">
        <f t="shared" si="66"/>
        <v>FM</v>
      </c>
      <c r="BJ66" s="18">
        <f t="shared" si="67"/>
        <v>0</v>
      </c>
      <c r="BK66" s="24">
        <f t="shared" si="68"/>
        <v>-27</v>
      </c>
      <c r="BL66" s="18" t="str">
        <f t="shared" si="69"/>
        <v/>
      </c>
      <c r="BM66" s="26" t="str">
        <f t="shared" si="63"/>
        <v/>
      </c>
      <c r="BN66" s="19" t="str">
        <f t="shared" si="64"/>
        <v/>
      </c>
      <c r="BO66" s="19" t="str">
        <f>IF(BN66="","",G358)</f>
        <v/>
      </c>
      <c r="BP66" s="19" t="str">
        <f>IF(BN66="","",J358)</f>
        <v/>
      </c>
      <c r="BR66" s="23"/>
      <c r="BS66" s="23"/>
      <c r="BT66" s="23"/>
      <c r="BU66" s="23"/>
      <c r="BV66" s="23"/>
      <c r="BW66" s="19" t="str">
        <f t="shared" si="70"/>
        <v/>
      </c>
      <c r="BX66" s="19" t="str">
        <f t="shared" si="71"/>
        <v/>
      </c>
      <c r="BY66" s="19" t="str">
        <f t="shared" si="72"/>
        <v/>
      </c>
      <c r="BZ66" s="19" t="str">
        <f t="shared" si="73"/>
        <v/>
      </c>
      <c r="CA66" s="19" t="str">
        <f t="shared" si="74"/>
        <v/>
      </c>
      <c r="CB66" s="4">
        <f t="shared" si="16"/>
        <v>0</v>
      </c>
      <c r="CC66" s="48"/>
      <c r="CD66" s="48"/>
      <c r="CE66" s="48"/>
    </row>
    <row r="67" spans="1:107" x14ac:dyDescent="0.25">
      <c r="B67" s="4"/>
      <c r="C67" s="4"/>
      <c r="D67" s="4"/>
      <c r="E67" s="4"/>
      <c r="F67" s="4"/>
      <c r="G67" s="4"/>
      <c r="H67" s="4"/>
      <c r="I67" s="4"/>
      <c r="J67" s="4"/>
      <c r="K67" s="4"/>
      <c r="L67" s="4"/>
      <c r="M67" s="4"/>
      <c r="N67" s="4"/>
      <c r="O67" s="4"/>
      <c r="P67" s="4"/>
      <c r="Q67" s="4"/>
      <c r="R67" s="4"/>
      <c r="S67" s="4"/>
      <c r="T67" s="4"/>
      <c r="U67" s="4"/>
      <c r="V67" s="4"/>
      <c r="W67" s="4"/>
      <c r="X67" s="4"/>
      <c r="Y67" s="4"/>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7">
        <v>64</v>
      </c>
      <c r="BH67" s="18">
        <f t="shared" si="65"/>
        <v>0</v>
      </c>
      <c r="BI67" s="18" t="str">
        <f t="shared" si="66"/>
        <v>FM</v>
      </c>
      <c r="BJ67" s="18">
        <f t="shared" si="67"/>
        <v>0</v>
      </c>
      <c r="BK67" s="24">
        <f t="shared" si="68"/>
        <v>-27</v>
      </c>
      <c r="BL67" s="18" t="str">
        <f t="shared" si="69"/>
        <v/>
      </c>
      <c r="BM67" s="26" t="str">
        <f t="shared" si="63"/>
        <v/>
      </c>
      <c r="BN67" s="19" t="str">
        <f t="shared" si="64"/>
        <v/>
      </c>
      <c r="BO67" s="19" t="str">
        <f>IF(BN67="","",G358)</f>
        <v/>
      </c>
      <c r="BP67" s="19" t="str">
        <f>IF(BN67="","",J358)</f>
        <v/>
      </c>
      <c r="BR67" s="23"/>
      <c r="BS67" s="23"/>
      <c r="BT67" s="23"/>
      <c r="BU67" s="23"/>
      <c r="BV67" s="23"/>
      <c r="BW67" s="19" t="str">
        <f t="shared" si="70"/>
        <v/>
      </c>
      <c r="BX67" s="19" t="str">
        <f t="shared" si="71"/>
        <v/>
      </c>
      <c r="BY67" s="19" t="str">
        <f t="shared" si="72"/>
        <v/>
      </c>
      <c r="BZ67" s="19" t="str">
        <f t="shared" si="73"/>
        <v/>
      </c>
      <c r="CA67" s="19" t="str">
        <f t="shared" si="74"/>
        <v/>
      </c>
      <c r="CB67" s="4">
        <f t="shared" si="16"/>
        <v>0</v>
      </c>
      <c r="CC67" s="48"/>
      <c r="CD67" s="48"/>
      <c r="CE67" s="48"/>
      <c r="CK67" s="52"/>
    </row>
    <row r="68" spans="1:107" x14ac:dyDescent="0.25">
      <c r="B68" s="4"/>
      <c r="C68" s="4"/>
      <c r="D68" s="4"/>
      <c r="E68" s="4"/>
      <c r="F68" s="4"/>
      <c r="G68" s="4"/>
      <c r="H68" s="4"/>
      <c r="I68" s="4"/>
      <c r="J68" s="4"/>
      <c r="K68" s="4"/>
      <c r="L68" s="4"/>
      <c r="M68" s="4"/>
      <c r="N68" s="4"/>
      <c r="O68" s="4"/>
      <c r="P68" s="4"/>
      <c r="Q68" s="4"/>
      <c r="R68" s="4"/>
      <c r="S68" s="4"/>
      <c r="T68" s="4"/>
      <c r="U68" s="4"/>
      <c r="V68" s="4"/>
      <c r="W68" s="4"/>
      <c r="X68" s="4"/>
      <c r="Y68" s="4"/>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7">
        <v>65</v>
      </c>
      <c r="BH68" s="18">
        <f t="shared" si="65"/>
        <v>0</v>
      </c>
      <c r="BI68" s="18" t="str">
        <f t="shared" si="66"/>
        <v>FM</v>
      </c>
      <c r="BJ68" s="18">
        <f t="shared" si="67"/>
        <v>0</v>
      </c>
      <c r="BK68" s="24">
        <f t="shared" si="68"/>
        <v>-27</v>
      </c>
      <c r="BL68" s="18" t="str">
        <f t="shared" si="69"/>
        <v/>
      </c>
      <c r="BM68" s="26" t="str">
        <f t="shared" si="63"/>
        <v/>
      </c>
      <c r="BN68" s="19" t="str">
        <f t="shared" si="64"/>
        <v/>
      </c>
      <c r="BO68" s="19" t="str">
        <f>IF(BN68="","",G358)</f>
        <v/>
      </c>
      <c r="BP68" s="19" t="str">
        <f>IF(BN68="","",J358)</f>
        <v/>
      </c>
      <c r="BR68" s="23"/>
      <c r="BS68" s="23"/>
      <c r="BT68" s="23"/>
      <c r="BU68" s="23"/>
      <c r="BV68" s="23"/>
      <c r="BW68" s="19" t="str">
        <f t="shared" si="70"/>
        <v/>
      </c>
      <c r="BX68" s="19" t="str">
        <f t="shared" si="71"/>
        <v/>
      </c>
      <c r="BY68" s="19" t="str">
        <f t="shared" si="72"/>
        <v/>
      </c>
      <c r="BZ68" s="19" t="str">
        <f t="shared" si="73"/>
        <v/>
      </c>
      <c r="CA68" s="19" t="str">
        <f t="shared" si="74"/>
        <v/>
      </c>
      <c r="CB68" s="4">
        <f t="shared" si="16"/>
        <v>0</v>
      </c>
      <c r="CC68" s="48"/>
      <c r="CD68" s="48"/>
      <c r="CE68" s="48"/>
      <c r="CK68" s="52"/>
    </row>
    <row r="69" spans="1:107" x14ac:dyDescent="0.25">
      <c r="B69" s="4"/>
      <c r="C69" s="4"/>
      <c r="D69" s="4"/>
      <c r="E69" s="4"/>
      <c r="F69" s="4"/>
      <c r="G69" s="4"/>
      <c r="H69" s="4"/>
      <c r="I69" s="4"/>
      <c r="J69" s="4"/>
      <c r="K69" s="4"/>
      <c r="L69" s="4"/>
      <c r="M69" s="4"/>
      <c r="N69" s="4"/>
      <c r="O69" s="4"/>
      <c r="P69" s="4"/>
      <c r="Q69" s="4"/>
      <c r="R69" s="4"/>
      <c r="S69" s="4"/>
      <c r="T69" s="4"/>
      <c r="U69" s="4"/>
      <c r="V69" s="4"/>
      <c r="W69" s="4"/>
      <c r="X69" s="4"/>
      <c r="Y69" s="4"/>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7">
        <v>66</v>
      </c>
      <c r="BH69" s="18">
        <f t="shared" si="65"/>
        <v>0</v>
      </c>
      <c r="BI69" s="18" t="str">
        <f t="shared" si="66"/>
        <v>FM</v>
      </c>
      <c r="BJ69" s="18">
        <f t="shared" si="67"/>
        <v>0</v>
      </c>
      <c r="BK69" s="24">
        <f t="shared" si="68"/>
        <v>-27</v>
      </c>
      <c r="BL69" s="18" t="str">
        <f t="shared" si="69"/>
        <v/>
      </c>
      <c r="BM69" s="26" t="str">
        <f t="shared" si="63"/>
        <v/>
      </c>
      <c r="BN69" s="19" t="str">
        <f t="shared" si="64"/>
        <v/>
      </c>
      <c r="BO69" s="19" t="str">
        <f>IF(BN69="","",G358)</f>
        <v/>
      </c>
      <c r="BP69" s="19" t="str">
        <f>IF(BN69="","",J358)</f>
        <v/>
      </c>
      <c r="BR69" s="23"/>
      <c r="BS69" s="23"/>
      <c r="BT69" s="23"/>
      <c r="BU69" s="23"/>
      <c r="BV69" s="23"/>
      <c r="BW69" s="19" t="str">
        <f t="shared" si="70"/>
        <v/>
      </c>
      <c r="BX69" s="19" t="str">
        <f t="shared" si="71"/>
        <v/>
      </c>
      <c r="BY69" s="19" t="str">
        <f t="shared" si="72"/>
        <v/>
      </c>
      <c r="BZ69" s="19" t="str">
        <f t="shared" si="73"/>
        <v/>
      </c>
      <c r="CA69" s="19" t="str">
        <f t="shared" si="74"/>
        <v/>
      </c>
      <c r="CB69" s="4">
        <f t="shared" ref="CB69:CB130" si="75">IF(ISERROR(BH69*BJ69*BK69),0,BH69*BJ69*BK69)</f>
        <v>0</v>
      </c>
      <c r="CC69" s="48"/>
      <c r="CD69" s="48"/>
      <c r="CE69" s="48"/>
      <c r="CK69" s="52"/>
    </row>
    <row r="70" spans="1:107" x14ac:dyDescent="0.25">
      <c r="B70" s="4"/>
      <c r="C70" s="4"/>
      <c r="D70" s="4"/>
      <c r="E70" s="4"/>
      <c r="F70" s="4"/>
      <c r="G70" s="4"/>
      <c r="H70" s="4"/>
      <c r="I70" s="4"/>
      <c r="J70" s="4"/>
      <c r="K70" s="4"/>
      <c r="L70" s="4"/>
      <c r="M70" s="4"/>
      <c r="N70" s="4"/>
      <c r="O70" s="4"/>
      <c r="P70" s="4"/>
      <c r="Q70" s="4"/>
      <c r="R70" s="4"/>
      <c r="S70" s="4"/>
      <c r="T70" s="4"/>
      <c r="U70" s="4"/>
      <c r="V70" s="4"/>
      <c r="W70" s="4"/>
      <c r="X70" s="4"/>
      <c r="Y70" s="4"/>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7">
        <v>67</v>
      </c>
      <c r="BH70" s="18">
        <f t="shared" si="65"/>
        <v>0</v>
      </c>
      <c r="BI70" s="18" t="str">
        <f t="shared" si="66"/>
        <v>FM</v>
      </c>
      <c r="BJ70" s="18">
        <f t="shared" si="67"/>
        <v>0</v>
      </c>
      <c r="BK70" s="24">
        <f t="shared" si="68"/>
        <v>-27</v>
      </c>
      <c r="BL70" s="18" t="str">
        <f t="shared" si="69"/>
        <v/>
      </c>
      <c r="BM70" s="26" t="str">
        <f t="shared" ref="BM70:BM75" si="76">AV280</f>
        <v/>
      </c>
      <c r="BN70" s="19" t="str">
        <f t="shared" si="64"/>
        <v/>
      </c>
      <c r="BO70" s="19" t="str">
        <f>IF(BN70="","",G358)</f>
        <v/>
      </c>
      <c r="BP70" s="19" t="str">
        <f>IF(BN70="","",J358)</f>
        <v/>
      </c>
      <c r="BR70" s="23"/>
      <c r="BS70" s="23"/>
      <c r="BT70" s="23"/>
      <c r="BU70" s="23"/>
      <c r="BV70" s="23"/>
      <c r="BW70" s="19" t="str">
        <f t="shared" si="70"/>
        <v/>
      </c>
      <c r="BX70" s="19" t="str">
        <f t="shared" si="71"/>
        <v/>
      </c>
      <c r="BY70" s="19" t="str">
        <f t="shared" si="72"/>
        <v/>
      </c>
      <c r="BZ70" s="19" t="str">
        <f t="shared" si="73"/>
        <v/>
      </c>
      <c r="CA70" s="19" t="str">
        <f t="shared" si="74"/>
        <v/>
      </c>
      <c r="CB70" s="4">
        <f t="shared" si="75"/>
        <v>0</v>
      </c>
      <c r="CC70" s="48"/>
      <c r="CD70" s="48"/>
      <c r="CE70" s="48"/>
      <c r="CK70" s="52"/>
    </row>
    <row r="71" spans="1:107" ht="17.399999999999999" x14ac:dyDescent="0.3">
      <c r="B71" s="4"/>
      <c r="C71" s="4"/>
      <c r="D71" s="4"/>
      <c r="E71" s="4"/>
      <c r="F71" s="4"/>
      <c r="G71" s="4"/>
      <c r="H71" s="53"/>
      <c r="I71" s="4"/>
      <c r="J71" s="4"/>
      <c r="K71" s="4"/>
      <c r="L71" s="4"/>
      <c r="M71" s="4"/>
      <c r="N71" s="4"/>
      <c r="O71" s="4"/>
      <c r="P71" s="4"/>
      <c r="Q71" s="4"/>
      <c r="R71" s="4"/>
      <c r="S71" s="4"/>
      <c r="T71" s="4"/>
      <c r="U71" s="4"/>
      <c r="V71" s="4"/>
      <c r="W71" s="4"/>
      <c r="X71" s="4"/>
      <c r="Y71" s="4"/>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7">
        <v>68</v>
      </c>
      <c r="BH71" s="18">
        <f t="shared" si="65"/>
        <v>0</v>
      </c>
      <c r="BI71" s="18" t="str">
        <f t="shared" si="66"/>
        <v>FM</v>
      </c>
      <c r="BJ71" s="18">
        <f t="shared" si="67"/>
        <v>0</v>
      </c>
      <c r="BK71" s="24">
        <f t="shared" si="68"/>
        <v>-27</v>
      </c>
      <c r="BL71" s="18" t="str">
        <f t="shared" si="69"/>
        <v/>
      </c>
      <c r="BM71" s="26" t="str">
        <f t="shared" si="76"/>
        <v/>
      </c>
      <c r="BN71" s="19" t="str">
        <f t="shared" si="64"/>
        <v/>
      </c>
      <c r="BO71" s="19" t="str">
        <f>IF(BN71="","",G358)</f>
        <v/>
      </c>
      <c r="BP71" s="19" t="str">
        <f>IF(BN71="","",J358)</f>
        <v/>
      </c>
      <c r="BR71" s="23"/>
      <c r="BS71" s="23"/>
      <c r="BT71" s="23"/>
      <c r="BU71" s="23"/>
      <c r="BV71" s="23"/>
      <c r="BW71" s="19" t="str">
        <f t="shared" si="70"/>
        <v/>
      </c>
      <c r="BX71" s="19" t="str">
        <f t="shared" si="71"/>
        <v/>
      </c>
      <c r="BY71" s="19" t="str">
        <f t="shared" si="72"/>
        <v/>
      </c>
      <c r="BZ71" s="19" t="str">
        <f t="shared" si="73"/>
        <v/>
      </c>
      <c r="CA71" s="19" t="str">
        <f t="shared" si="74"/>
        <v/>
      </c>
      <c r="CB71" s="4">
        <f t="shared" si="75"/>
        <v>0</v>
      </c>
      <c r="CC71" s="48"/>
      <c r="CD71" s="48"/>
      <c r="CE71" s="48"/>
      <c r="CF71" s="48"/>
      <c r="CG71" s="48"/>
      <c r="CH71" s="48"/>
      <c r="CI71" s="48"/>
      <c r="CJ71" s="48"/>
      <c r="CK71" s="52"/>
    </row>
    <row r="72" spans="1:107" x14ac:dyDescent="0.25">
      <c r="B72" s="4"/>
      <c r="C72" s="4"/>
      <c r="D72" s="4"/>
      <c r="E72" s="4"/>
      <c r="F72" s="4"/>
      <c r="G72" s="4"/>
      <c r="H72" s="4"/>
      <c r="I72" s="4"/>
      <c r="J72" s="4"/>
      <c r="K72" s="4"/>
      <c r="L72" s="4"/>
      <c r="M72" s="4"/>
      <c r="N72" s="4"/>
      <c r="O72" s="4"/>
      <c r="P72" s="4"/>
      <c r="Q72" s="4"/>
      <c r="R72" s="4"/>
      <c r="S72" s="4"/>
      <c r="T72" s="4"/>
      <c r="U72" s="4"/>
      <c r="V72" s="4"/>
      <c r="W72" s="4"/>
      <c r="X72" s="4"/>
      <c r="Y72" s="4"/>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17">
        <v>69</v>
      </c>
      <c r="BH72" s="18">
        <f t="shared" si="65"/>
        <v>0</v>
      </c>
      <c r="BI72" s="18" t="str">
        <f t="shared" si="66"/>
        <v>FM</v>
      </c>
      <c r="BJ72" s="18">
        <f t="shared" si="67"/>
        <v>0</v>
      </c>
      <c r="BK72" s="24">
        <f t="shared" si="68"/>
        <v>-27</v>
      </c>
      <c r="BL72" s="18" t="str">
        <f t="shared" si="69"/>
        <v/>
      </c>
      <c r="BM72" s="26" t="str">
        <f t="shared" si="76"/>
        <v/>
      </c>
      <c r="BN72" s="19" t="str">
        <f t="shared" si="64"/>
        <v/>
      </c>
      <c r="BO72" s="19" t="str">
        <f>IF(BN72="","",G358)</f>
        <v/>
      </c>
      <c r="BP72" s="19" t="str">
        <f>IF(BN72="","",J358)</f>
        <v/>
      </c>
      <c r="BR72" s="23"/>
      <c r="BS72" s="23"/>
      <c r="BT72" s="23"/>
      <c r="BU72" s="23"/>
      <c r="BV72" s="23"/>
      <c r="BW72" s="19" t="str">
        <f t="shared" si="70"/>
        <v/>
      </c>
      <c r="BX72" s="19" t="str">
        <f t="shared" si="71"/>
        <v/>
      </c>
      <c r="BY72" s="19" t="str">
        <f t="shared" si="72"/>
        <v/>
      </c>
      <c r="BZ72" s="19" t="str">
        <f t="shared" si="73"/>
        <v/>
      </c>
      <c r="CA72" s="19" t="str">
        <f t="shared" si="74"/>
        <v/>
      </c>
      <c r="CB72" s="4">
        <f t="shared" si="75"/>
        <v>0</v>
      </c>
      <c r="CC72" s="48"/>
      <c r="CD72" s="48"/>
      <c r="CE72" s="48"/>
      <c r="CF72" s="48"/>
      <c r="CG72" s="48"/>
      <c r="CH72" s="48"/>
      <c r="CI72" s="48"/>
      <c r="CJ72" s="48"/>
      <c r="CK72" s="52"/>
    </row>
    <row r="73" spans="1:107" x14ac:dyDescent="0.25">
      <c r="A73" s="3"/>
      <c r="B73" s="4"/>
      <c r="C73" s="4"/>
      <c r="D73" s="4"/>
      <c r="E73" s="4"/>
      <c r="F73" s="4"/>
      <c r="G73" s="4"/>
      <c r="H73" s="4"/>
      <c r="I73" s="4"/>
      <c r="J73" s="4"/>
      <c r="K73" s="4"/>
      <c r="L73" s="4"/>
      <c r="M73" s="4"/>
      <c r="N73" s="4"/>
      <c r="O73" s="4"/>
      <c r="P73" s="4"/>
      <c r="Q73" s="4"/>
      <c r="R73" s="4"/>
      <c r="S73" s="4"/>
      <c r="T73" s="4"/>
      <c r="U73" s="4"/>
      <c r="V73" s="4"/>
      <c r="W73" s="4"/>
      <c r="X73" s="4"/>
      <c r="Y73" s="4"/>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17">
        <v>70</v>
      </c>
      <c r="BH73" s="18">
        <f t="shared" si="65"/>
        <v>0</v>
      </c>
      <c r="BI73" s="18" t="str">
        <f t="shared" si="66"/>
        <v>FM</v>
      </c>
      <c r="BJ73" s="18">
        <f t="shared" si="67"/>
        <v>0</v>
      </c>
      <c r="BK73" s="24">
        <f t="shared" si="68"/>
        <v>-27</v>
      </c>
      <c r="BL73" s="18" t="str">
        <f t="shared" si="69"/>
        <v/>
      </c>
      <c r="BM73" s="26" t="str">
        <f t="shared" si="76"/>
        <v/>
      </c>
      <c r="BN73" s="19" t="str">
        <f t="shared" si="64"/>
        <v/>
      </c>
      <c r="BO73" s="19" t="str">
        <f>IF(BN73="","",G358)</f>
        <v/>
      </c>
      <c r="BP73" s="19" t="str">
        <f>IF(BN73="","",J358)</f>
        <v/>
      </c>
      <c r="BR73" s="23"/>
      <c r="BS73" s="23"/>
      <c r="BT73" s="23"/>
      <c r="BU73" s="23"/>
      <c r="BV73" s="23"/>
      <c r="BW73" s="19" t="str">
        <f t="shared" si="70"/>
        <v/>
      </c>
      <c r="BX73" s="19" t="str">
        <f t="shared" si="71"/>
        <v/>
      </c>
      <c r="BY73" s="19" t="str">
        <f t="shared" si="72"/>
        <v/>
      </c>
      <c r="BZ73" s="19" t="str">
        <f t="shared" si="73"/>
        <v/>
      </c>
      <c r="CA73" s="19" t="str">
        <f t="shared" si="74"/>
        <v/>
      </c>
      <c r="CB73" s="4">
        <f t="shared" si="75"/>
        <v>0</v>
      </c>
      <c r="CC73" s="48"/>
      <c r="CD73" s="48"/>
      <c r="CE73" s="48"/>
      <c r="CF73" s="48"/>
      <c r="CG73" s="48"/>
      <c r="CH73" s="48"/>
      <c r="CI73" s="48"/>
      <c r="CJ73" s="48"/>
      <c r="CK73" s="52"/>
    </row>
    <row r="74" spans="1:107" ht="13.8" thickBot="1" x14ac:dyDescent="0.3">
      <c r="A74" s="3"/>
      <c r="B74" s="3"/>
      <c r="C74" s="3"/>
      <c r="D74" s="3"/>
      <c r="E74" s="3"/>
      <c r="F74" s="3"/>
      <c r="G74" s="3"/>
      <c r="H74" s="3"/>
      <c r="I74" s="3"/>
      <c r="J74" s="3"/>
      <c r="K74" s="3"/>
      <c r="L74" s="3"/>
      <c r="M74" s="3"/>
      <c r="N74" s="3"/>
      <c r="O74" s="3"/>
      <c r="P74" s="3"/>
      <c r="Q74" s="3"/>
      <c r="R74" s="3"/>
      <c r="S74" s="4"/>
      <c r="T74" s="4"/>
      <c r="U74" s="4"/>
      <c r="V74" s="4"/>
      <c r="W74" s="4"/>
      <c r="X74" s="4"/>
      <c r="Y74" s="4"/>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17">
        <v>71</v>
      </c>
      <c r="BH74" s="18" t="str">
        <f t="shared" ref="BH74:BH83" si="77">IF(I84="VA","",IF(I84="VAS",2*D84,IF(I84="VRA",2*D84,IF(I84="VR",2*D84,IF(I84="","")))))</f>
        <v/>
      </c>
      <c r="BI74" s="18" t="str">
        <f t="shared" ref="BI74:BI83" si="78">IF(I84="","",IF(I84="VA","",IF(I84="VAS","FM",IF(I84="VRA","FM",IF(I84="VR","FMA")))))</f>
        <v/>
      </c>
      <c r="BJ74" s="18" t="str">
        <f t="shared" ref="BJ74:BJ83" si="79">IF(I84="VA","",IF(I84="VAS",30,IF(I84="VRA",30,IF(I84="VR",30,IF(I84="","")))))</f>
        <v/>
      </c>
      <c r="BK74" s="24" t="str">
        <f t="shared" ref="BK74:BK83" si="80">IF(I84="","",IF(I84="VA","",IF(I84="VAS",BK14-27,IF(I84="VRA",BK14-27,IF(I84="VR",BK14-10)))))</f>
        <v/>
      </c>
      <c r="BL74" s="18" t="str">
        <f t="shared" ref="BL74:BL83" si="81">IF(I84="","",IF(I84="VA","",IF(I84="VAS","",IF(I84="VRA","",IF(I84="VR","10.4")))))</f>
        <v/>
      </c>
      <c r="BM74" s="26" t="str">
        <f t="shared" si="76"/>
        <v/>
      </c>
      <c r="BN74" s="19" t="str">
        <f t="shared" si="64"/>
        <v/>
      </c>
      <c r="BO74" s="19" t="str">
        <f>IF(BN74="","",G358)</f>
        <v/>
      </c>
      <c r="BP74" s="19" t="str">
        <f>IF(BN74="","",J358)</f>
        <v/>
      </c>
      <c r="BR74" s="23"/>
      <c r="BS74" s="23"/>
      <c r="BT74" s="23"/>
      <c r="BU74" s="23"/>
      <c r="BV74" s="23"/>
      <c r="BW74" s="19" t="str">
        <f t="shared" si="70"/>
        <v/>
      </c>
      <c r="BX74" s="19" t="str">
        <f t="shared" si="71"/>
        <v/>
      </c>
      <c r="BY74" s="19" t="str">
        <f t="shared" si="72"/>
        <v/>
      </c>
      <c r="BZ74" s="19" t="str">
        <f t="shared" si="73"/>
        <v/>
      </c>
      <c r="CA74" s="19" t="str">
        <f t="shared" si="74"/>
        <v/>
      </c>
      <c r="CB74" s="4">
        <f t="shared" si="75"/>
        <v>0</v>
      </c>
      <c r="CC74" s="48"/>
      <c r="CD74" s="48"/>
      <c r="CE74" s="48"/>
      <c r="CF74" s="48"/>
      <c r="CG74" s="48"/>
      <c r="CH74" s="48"/>
      <c r="CI74" s="48"/>
      <c r="CJ74" s="48"/>
      <c r="CK74" s="52"/>
    </row>
    <row r="75" spans="1:107" x14ac:dyDescent="0.25">
      <c r="A75" s="12"/>
      <c r="B75" s="13"/>
      <c r="C75" s="13"/>
      <c r="D75" s="13"/>
      <c r="E75" s="13"/>
      <c r="F75" s="13"/>
      <c r="G75" s="13"/>
      <c r="H75" s="13"/>
      <c r="I75" s="13"/>
      <c r="J75" s="13"/>
      <c r="K75" s="13"/>
      <c r="L75" s="14"/>
      <c r="M75" s="3"/>
      <c r="N75" s="3"/>
      <c r="O75" s="3"/>
      <c r="P75" s="3"/>
      <c r="Q75" s="3"/>
      <c r="R75" s="3"/>
      <c r="S75" s="4"/>
      <c r="T75" s="4"/>
      <c r="U75" s="4"/>
      <c r="V75" s="4"/>
      <c r="W75" s="4"/>
      <c r="X75" s="4"/>
      <c r="Y75" s="4"/>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17">
        <v>72</v>
      </c>
      <c r="BH75" s="18" t="str">
        <f t="shared" si="77"/>
        <v/>
      </c>
      <c r="BI75" s="18" t="str">
        <f t="shared" si="78"/>
        <v/>
      </c>
      <c r="BJ75" s="18" t="str">
        <f t="shared" si="79"/>
        <v/>
      </c>
      <c r="BK75" s="24" t="str">
        <f t="shared" si="80"/>
        <v/>
      </c>
      <c r="BL75" s="18" t="str">
        <f t="shared" si="81"/>
        <v/>
      </c>
      <c r="BM75" s="26" t="str">
        <f t="shared" si="76"/>
        <v/>
      </c>
      <c r="BN75" s="19" t="str">
        <f t="shared" si="64"/>
        <v/>
      </c>
      <c r="BO75" s="19" t="str">
        <f>IF(BN75="","",G358)</f>
        <v/>
      </c>
      <c r="BP75" s="19" t="str">
        <f>IF(BN75="","",J358)</f>
        <v/>
      </c>
      <c r="BR75" s="23"/>
      <c r="BS75" s="23"/>
      <c r="BT75" s="23"/>
      <c r="BU75" s="23"/>
      <c r="BV75" s="23"/>
      <c r="BW75" s="19" t="str">
        <f t="shared" si="70"/>
        <v/>
      </c>
      <c r="BX75" s="19" t="str">
        <f t="shared" si="71"/>
        <v/>
      </c>
      <c r="BY75" s="19" t="str">
        <f t="shared" si="72"/>
        <v/>
      </c>
      <c r="BZ75" s="19" t="str">
        <f t="shared" si="73"/>
        <v/>
      </c>
      <c r="CA75" s="19" t="str">
        <f t="shared" si="74"/>
        <v/>
      </c>
      <c r="CB75" s="4">
        <f t="shared" si="75"/>
        <v>0</v>
      </c>
      <c r="CC75" s="48"/>
      <c r="CD75" s="48"/>
      <c r="CE75" s="48"/>
      <c r="CF75" s="48"/>
      <c r="CG75" s="48"/>
      <c r="CH75" s="48"/>
      <c r="CI75" s="48"/>
      <c r="CJ75" s="48"/>
      <c r="CK75" s="52"/>
    </row>
    <row r="76" spans="1:107" ht="17.399999999999999" x14ac:dyDescent="0.3">
      <c r="A76" s="21"/>
      <c r="B76" s="3"/>
      <c r="C76" s="54" t="s">
        <v>113</v>
      </c>
      <c r="D76" s="55"/>
      <c r="E76" s="55"/>
      <c r="F76" s="55"/>
      <c r="G76" s="55"/>
      <c r="H76" s="3"/>
      <c r="I76" s="3"/>
      <c r="J76" s="3"/>
      <c r="K76" s="3"/>
      <c r="L76" s="22"/>
      <c r="M76" s="3"/>
      <c r="N76" s="3"/>
      <c r="O76" s="3"/>
      <c r="P76" s="3"/>
      <c r="Q76" s="4"/>
      <c r="R76" s="4"/>
      <c r="S76" s="4"/>
      <c r="T76" s="4"/>
      <c r="U76" s="4"/>
      <c r="V76" s="4"/>
      <c r="W76" s="4"/>
      <c r="X76" s="4"/>
      <c r="Y76" s="4"/>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17">
        <v>73</v>
      </c>
      <c r="BH76" s="18" t="str">
        <f t="shared" si="77"/>
        <v/>
      </c>
      <c r="BI76" s="18" t="str">
        <f t="shared" si="78"/>
        <v/>
      </c>
      <c r="BJ76" s="18" t="str">
        <f t="shared" si="79"/>
        <v/>
      </c>
      <c r="BK76" s="24" t="str">
        <f t="shared" si="80"/>
        <v/>
      </c>
      <c r="BL76" s="18" t="str">
        <f t="shared" si="81"/>
        <v/>
      </c>
      <c r="BM76" s="26" t="str">
        <f t="shared" ref="BM76:BM88" si="82">AV266</f>
        <v/>
      </c>
      <c r="BN76" s="19" t="str">
        <f>IF(BM76="","","CL")</f>
        <v/>
      </c>
      <c r="BO76" s="19" t="str">
        <f>IF(BN76="","",G358)</f>
        <v/>
      </c>
      <c r="BP76" s="19" t="str">
        <f>IF(BN76="","",IF(I361="SI",J358-AO266,J358))</f>
        <v/>
      </c>
      <c r="BR76" s="23"/>
      <c r="BS76" s="23"/>
      <c r="BT76" s="23"/>
      <c r="BU76" s="23"/>
      <c r="BV76" s="23"/>
      <c r="BW76" s="19" t="str">
        <f t="shared" si="70"/>
        <v/>
      </c>
      <c r="BX76" s="19" t="str">
        <f t="shared" si="71"/>
        <v/>
      </c>
      <c r="BY76" s="19" t="str">
        <f t="shared" si="72"/>
        <v/>
      </c>
      <c r="BZ76" s="19" t="str">
        <f t="shared" si="73"/>
        <v/>
      </c>
      <c r="CA76" s="19" t="str">
        <f t="shared" si="74"/>
        <v/>
      </c>
      <c r="CB76" s="4">
        <f t="shared" si="75"/>
        <v>0</v>
      </c>
      <c r="CC76" s="48"/>
      <c r="CD76" s="48"/>
      <c r="CE76" s="48"/>
      <c r="CF76" s="48"/>
      <c r="CG76" s="48"/>
      <c r="CH76" s="48"/>
      <c r="CI76" s="48"/>
      <c r="CJ76" s="48"/>
      <c r="CK76" s="52"/>
    </row>
    <row r="77" spans="1:107" ht="17.399999999999999" x14ac:dyDescent="0.3">
      <c r="A77" s="21"/>
      <c r="B77" s="3"/>
      <c r="C77" s="46" t="s">
        <v>114</v>
      </c>
      <c r="D77" s="56"/>
      <c r="E77" s="3"/>
      <c r="F77" s="3"/>
      <c r="G77" s="3"/>
      <c r="H77" s="3"/>
      <c r="I77" s="56"/>
      <c r="J77" s="3"/>
      <c r="K77" s="3"/>
      <c r="L77" s="57"/>
      <c r="M77" s="53"/>
      <c r="N77" s="53"/>
      <c r="O77" s="3"/>
      <c r="P77" s="3"/>
      <c r="Q77" s="4"/>
      <c r="R77" s="4"/>
      <c r="S77" s="4"/>
      <c r="T77" s="4"/>
      <c r="U77" s="4"/>
      <c r="V77" s="4"/>
      <c r="W77" s="4"/>
      <c r="X77" s="4"/>
      <c r="Y77" s="4"/>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17">
        <v>74</v>
      </c>
      <c r="BH77" s="18" t="str">
        <f t="shared" si="77"/>
        <v/>
      </c>
      <c r="BI77" s="18" t="str">
        <f t="shared" si="78"/>
        <v/>
      </c>
      <c r="BJ77" s="18" t="str">
        <f t="shared" si="79"/>
        <v/>
      </c>
      <c r="BK77" s="24" t="str">
        <f t="shared" si="80"/>
        <v/>
      </c>
      <c r="BL77" s="18" t="str">
        <f t="shared" si="81"/>
        <v/>
      </c>
      <c r="BM77" s="26" t="str">
        <f t="shared" si="82"/>
        <v/>
      </c>
      <c r="BN77" s="19" t="str">
        <f t="shared" ref="BN77:BN95" si="83">IF(BM77="","","CL")</f>
        <v/>
      </c>
      <c r="BO77" s="19" t="str">
        <f>IF(BN77="","",G358)</f>
        <v/>
      </c>
      <c r="BP77" s="19" t="str">
        <f>IF(BN77="","",IF(I362="SI",J358-AO267,J358))</f>
        <v/>
      </c>
      <c r="BR77" s="23"/>
      <c r="BS77" s="23"/>
      <c r="BT77" s="23"/>
      <c r="BU77" s="23"/>
      <c r="BV77" s="23"/>
      <c r="BW77" s="19" t="str">
        <f t="shared" si="70"/>
        <v/>
      </c>
      <c r="BX77" s="19" t="str">
        <f t="shared" si="71"/>
        <v/>
      </c>
      <c r="BY77" s="19" t="str">
        <f t="shared" si="72"/>
        <v/>
      </c>
      <c r="BZ77" s="19" t="str">
        <f t="shared" si="73"/>
        <v/>
      </c>
      <c r="CA77" s="19" t="str">
        <f t="shared" si="74"/>
        <v/>
      </c>
      <c r="CB77" s="4">
        <f t="shared" si="75"/>
        <v>0</v>
      </c>
      <c r="CC77" s="48"/>
      <c r="CD77" s="48"/>
      <c r="CE77" s="48"/>
      <c r="CF77" s="48"/>
      <c r="CG77" s="48"/>
      <c r="CH77" s="48"/>
      <c r="CI77" s="48"/>
      <c r="CJ77" s="48"/>
      <c r="CK77" s="52"/>
    </row>
    <row r="78" spans="1:107" ht="13.8" thickBot="1" x14ac:dyDescent="0.3">
      <c r="A78" s="21"/>
      <c r="B78" s="3"/>
      <c r="C78" s="48"/>
      <c r="D78" s="58"/>
      <c r="E78" s="3"/>
      <c r="F78" s="58"/>
      <c r="G78" s="58"/>
      <c r="H78" s="3"/>
      <c r="I78" s="3"/>
      <c r="J78" s="3"/>
      <c r="K78" s="3"/>
      <c r="L78" s="22"/>
      <c r="M78" s="3"/>
      <c r="N78" s="3"/>
      <c r="O78" s="3"/>
      <c r="P78" s="3"/>
      <c r="Q78" s="4"/>
      <c r="R78" s="4"/>
      <c r="S78" s="4"/>
      <c r="T78" s="4"/>
      <c r="U78" s="4"/>
      <c r="V78" s="4"/>
      <c r="W78" s="4"/>
      <c r="X78" s="4"/>
      <c r="Y78" s="4"/>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17">
        <v>75</v>
      </c>
      <c r="BH78" s="18" t="str">
        <f t="shared" si="77"/>
        <v/>
      </c>
      <c r="BI78" s="18" t="str">
        <f t="shared" si="78"/>
        <v/>
      </c>
      <c r="BJ78" s="18" t="str">
        <f t="shared" si="79"/>
        <v/>
      </c>
      <c r="BK78" s="24" t="str">
        <f t="shared" si="80"/>
        <v/>
      </c>
      <c r="BL78" s="18" t="str">
        <f t="shared" si="81"/>
        <v/>
      </c>
      <c r="BM78" s="26" t="str">
        <f t="shared" si="82"/>
        <v/>
      </c>
      <c r="BN78" s="19" t="str">
        <f t="shared" si="83"/>
        <v/>
      </c>
      <c r="BO78" s="19" t="str">
        <f>IF(BN78="","",G358)</f>
        <v/>
      </c>
      <c r="BP78" s="19" t="str">
        <f>IF(BN78="","",IF(I363="SI",J358-AO268,J358))</f>
        <v/>
      </c>
      <c r="BR78" s="23"/>
      <c r="BS78" s="23"/>
      <c r="BT78" s="23"/>
      <c r="BU78" s="23"/>
      <c r="BV78" s="23"/>
      <c r="BW78" s="19" t="str">
        <f t="shared" si="70"/>
        <v/>
      </c>
      <c r="BX78" s="19" t="str">
        <f t="shared" si="71"/>
        <v/>
      </c>
      <c r="BY78" s="19" t="str">
        <f t="shared" si="72"/>
        <v/>
      </c>
      <c r="BZ78" s="19" t="str">
        <f t="shared" si="73"/>
        <v/>
      </c>
      <c r="CA78" s="19" t="str">
        <f t="shared" si="74"/>
        <v/>
      </c>
      <c r="CB78" s="4">
        <f t="shared" si="75"/>
        <v>0</v>
      </c>
      <c r="CC78" s="48"/>
      <c r="CD78" s="48"/>
      <c r="CE78" s="48"/>
      <c r="CF78" s="48"/>
      <c r="CG78" s="48"/>
      <c r="CH78" s="48"/>
      <c r="CI78" s="48"/>
      <c r="CJ78" s="48"/>
      <c r="CK78" s="52"/>
    </row>
    <row r="79" spans="1:107" ht="13.8" thickBot="1" x14ac:dyDescent="0.3">
      <c r="A79" s="21"/>
      <c r="B79" s="3"/>
      <c r="C79" s="3"/>
      <c r="D79" s="59" t="s">
        <v>115</v>
      </c>
      <c r="E79" s="3"/>
      <c r="F79" s="60">
        <f>'EQUIPO BASE'!Q6+'EQUIPO BASE'!Q7</f>
        <v>0</v>
      </c>
      <c r="G79" s="3"/>
      <c r="H79" s="61"/>
      <c r="I79" s="62"/>
      <c r="J79" s="3"/>
      <c r="K79" s="3"/>
      <c r="L79" s="22"/>
      <c r="M79" s="3"/>
      <c r="N79" s="3"/>
      <c r="O79" s="3"/>
      <c r="P79" s="4"/>
      <c r="Q79" s="4"/>
      <c r="R79" s="4"/>
      <c r="S79" s="4"/>
      <c r="T79" s="4"/>
      <c r="U79" s="4"/>
      <c r="V79" s="4"/>
      <c r="W79" s="4"/>
      <c r="X79" s="4"/>
      <c r="Y79" s="4"/>
      <c r="AB79" s="3"/>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17">
        <v>76</v>
      </c>
      <c r="BH79" s="18" t="str">
        <f t="shared" si="77"/>
        <v/>
      </c>
      <c r="BI79" s="18" t="str">
        <f t="shared" si="78"/>
        <v/>
      </c>
      <c r="BJ79" s="18" t="str">
        <f t="shared" si="79"/>
        <v/>
      </c>
      <c r="BK79" s="24" t="str">
        <f t="shared" si="80"/>
        <v/>
      </c>
      <c r="BL79" s="18" t="str">
        <f t="shared" si="81"/>
        <v/>
      </c>
      <c r="BM79" s="26" t="str">
        <f t="shared" si="82"/>
        <v/>
      </c>
      <c r="BN79" s="19" t="str">
        <f t="shared" si="83"/>
        <v/>
      </c>
      <c r="BO79" s="19" t="str">
        <f>IF(BN79="","",G358)</f>
        <v/>
      </c>
      <c r="BP79" s="19" t="str">
        <f>IF(BN79="","",IF(I364="SI",J358-AO269,J358))</f>
        <v/>
      </c>
      <c r="BR79" s="15"/>
      <c r="BS79" s="15"/>
      <c r="BT79" s="15"/>
      <c r="BU79" s="15"/>
      <c r="BV79" s="15"/>
      <c r="BW79" s="19" t="str">
        <f t="shared" si="70"/>
        <v/>
      </c>
      <c r="BX79" s="19" t="str">
        <f t="shared" si="71"/>
        <v/>
      </c>
      <c r="BY79" s="19" t="str">
        <f t="shared" si="72"/>
        <v/>
      </c>
      <c r="BZ79" s="19" t="str">
        <f t="shared" si="73"/>
        <v/>
      </c>
      <c r="CA79" s="19" t="str">
        <f t="shared" si="74"/>
        <v/>
      </c>
      <c r="CB79" s="4">
        <f t="shared" si="75"/>
        <v>0</v>
      </c>
      <c r="DC79" s="52"/>
    </row>
    <row r="80" spans="1:107" ht="13.8" thickBot="1" x14ac:dyDescent="0.3">
      <c r="A80" s="21"/>
      <c r="B80" s="3"/>
      <c r="C80" s="3"/>
      <c r="D80" s="59" t="s">
        <v>116</v>
      </c>
      <c r="E80" s="3"/>
      <c r="F80" s="60">
        <f>'EQUIPO BASE'!Q6-10</f>
        <v>-10</v>
      </c>
      <c r="G80" s="3"/>
      <c r="H80" s="61" t="s">
        <v>117</v>
      </c>
      <c r="I80" s="60">
        <f>'EQUIPO BASE'!Q6-F80</f>
        <v>10</v>
      </c>
      <c r="J80" s="3"/>
      <c r="K80" s="3"/>
      <c r="L80" s="22"/>
      <c r="M80" s="3"/>
      <c r="N80" s="3"/>
      <c r="O80" s="3"/>
      <c r="P80" s="4"/>
      <c r="Q80" s="4"/>
      <c r="R80" s="4"/>
      <c r="S80" s="4"/>
      <c r="T80" s="4"/>
      <c r="U80" s="4"/>
      <c r="V80" s="4"/>
      <c r="W80" s="4"/>
      <c r="X80" s="4"/>
      <c r="Y80" s="4"/>
      <c r="AB80" s="3"/>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17">
        <v>77</v>
      </c>
      <c r="BH80" s="18" t="str">
        <f t="shared" si="77"/>
        <v/>
      </c>
      <c r="BI80" s="18" t="str">
        <f t="shared" si="78"/>
        <v/>
      </c>
      <c r="BJ80" s="18" t="str">
        <f t="shared" si="79"/>
        <v/>
      </c>
      <c r="BK80" s="24" t="str">
        <f t="shared" si="80"/>
        <v/>
      </c>
      <c r="BL80" s="18" t="str">
        <f t="shared" si="81"/>
        <v/>
      </c>
      <c r="BM80" s="26" t="str">
        <f t="shared" si="82"/>
        <v/>
      </c>
      <c r="BN80" s="19" t="str">
        <f t="shared" si="83"/>
        <v/>
      </c>
      <c r="BO80" s="19" t="str">
        <f>IF(BN80="","",G358)</f>
        <v/>
      </c>
      <c r="BP80" s="19" t="str">
        <f>IF(BN80="","",IF(I365="SI",J358-AO270,J358))</f>
        <v/>
      </c>
      <c r="BR80" s="15"/>
      <c r="BS80" s="15"/>
      <c r="BT80" s="15"/>
      <c r="BU80" s="15"/>
      <c r="BV80" s="15"/>
      <c r="BW80" s="19" t="str">
        <f t="shared" si="70"/>
        <v/>
      </c>
      <c r="BX80" s="19" t="str">
        <f t="shared" si="71"/>
        <v/>
      </c>
      <c r="BY80" s="19" t="str">
        <f t="shared" si="72"/>
        <v/>
      </c>
      <c r="BZ80" s="19" t="str">
        <f t="shared" si="73"/>
        <v/>
      </c>
      <c r="CA80" s="19" t="str">
        <f t="shared" si="74"/>
        <v/>
      </c>
      <c r="CB80" s="4">
        <f t="shared" si="75"/>
        <v>0</v>
      </c>
    </row>
    <row r="81" spans="1:107" x14ac:dyDescent="0.25">
      <c r="A81" s="21"/>
      <c r="B81" s="3"/>
      <c r="C81" s="3"/>
      <c r="D81" s="3"/>
      <c r="E81" s="3"/>
      <c r="F81" s="3"/>
      <c r="G81" s="3"/>
      <c r="H81" s="3"/>
      <c r="I81" s="3"/>
      <c r="J81" s="3"/>
      <c r="K81" s="3"/>
      <c r="L81" s="22"/>
      <c r="M81" s="3"/>
      <c r="N81" s="3"/>
      <c r="O81" s="3"/>
      <c r="P81" s="4"/>
      <c r="Q81" s="4"/>
      <c r="R81" s="4"/>
      <c r="S81" s="4"/>
      <c r="T81" s="4"/>
      <c r="U81" s="4"/>
      <c r="V81" s="4"/>
      <c r="W81" s="4"/>
      <c r="X81" s="4"/>
      <c r="Y81" s="4"/>
      <c r="AB81" s="3"/>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17">
        <v>78</v>
      </c>
      <c r="BH81" s="18" t="str">
        <f t="shared" si="77"/>
        <v/>
      </c>
      <c r="BI81" s="18" t="str">
        <f t="shared" si="78"/>
        <v/>
      </c>
      <c r="BJ81" s="18" t="str">
        <f t="shared" si="79"/>
        <v/>
      </c>
      <c r="BK81" s="24" t="str">
        <f t="shared" si="80"/>
        <v/>
      </c>
      <c r="BL81" s="18" t="str">
        <f t="shared" si="81"/>
        <v/>
      </c>
      <c r="BM81" s="26" t="str">
        <f t="shared" si="82"/>
        <v/>
      </c>
      <c r="BN81" s="19" t="str">
        <f t="shared" si="83"/>
        <v/>
      </c>
      <c r="BO81" s="19" t="str">
        <f>IF(BN81="","",G358)</f>
        <v/>
      </c>
      <c r="BP81" s="19" t="str">
        <f>IF(BN81="","",IF(I366="SI",J358-AO271,J358))</f>
        <v/>
      </c>
      <c r="BR81" s="15"/>
      <c r="BS81" s="15"/>
      <c r="BT81" s="15"/>
      <c r="BU81" s="15"/>
      <c r="BV81" s="15"/>
      <c r="BW81" s="19" t="str">
        <f t="shared" si="70"/>
        <v/>
      </c>
      <c r="BX81" s="19" t="str">
        <f t="shared" si="71"/>
        <v/>
      </c>
      <c r="BY81" s="19" t="str">
        <f t="shared" si="72"/>
        <v/>
      </c>
      <c r="BZ81" s="19" t="str">
        <f t="shared" si="73"/>
        <v/>
      </c>
      <c r="CA81" s="19" t="str">
        <f t="shared" si="74"/>
        <v/>
      </c>
      <c r="CB81" s="4">
        <f t="shared" si="75"/>
        <v>0</v>
      </c>
    </row>
    <row r="82" spans="1:107" ht="13.8" thickBot="1" x14ac:dyDescent="0.3">
      <c r="A82" s="21"/>
      <c r="B82" s="3"/>
      <c r="C82" s="48"/>
      <c r="D82" s="48"/>
      <c r="E82" s="48"/>
      <c r="F82" s="48"/>
      <c r="G82" s="48"/>
      <c r="H82" s="48"/>
      <c r="I82" s="58"/>
      <c r="J82" s="3"/>
      <c r="K82" s="3"/>
      <c r="L82" s="22"/>
      <c r="M82" s="3"/>
      <c r="N82" s="3"/>
      <c r="O82" s="3"/>
      <c r="P82" s="4"/>
      <c r="Q82" s="4"/>
      <c r="R82" s="4"/>
      <c r="S82" s="4"/>
      <c r="T82" s="4"/>
      <c r="U82" s="4"/>
      <c r="V82" s="4"/>
      <c r="W82" s="4"/>
      <c r="X82" s="4"/>
      <c r="Y82" s="4"/>
      <c r="AB82" s="58"/>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7">
        <v>79</v>
      </c>
      <c r="BH82" s="18" t="str">
        <f t="shared" si="77"/>
        <v/>
      </c>
      <c r="BI82" s="18" t="str">
        <f t="shared" si="78"/>
        <v/>
      </c>
      <c r="BJ82" s="18" t="str">
        <f t="shared" si="79"/>
        <v/>
      </c>
      <c r="BK82" s="24" t="str">
        <f t="shared" si="80"/>
        <v/>
      </c>
      <c r="BL82" s="18" t="str">
        <f t="shared" si="81"/>
        <v/>
      </c>
      <c r="BM82" s="26" t="str">
        <f t="shared" si="82"/>
        <v/>
      </c>
      <c r="BN82" s="19" t="str">
        <f t="shared" si="83"/>
        <v/>
      </c>
      <c r="BO82" s="19" t="str">
        <f>IF(BN82="","",G358)</f>
        <v/>
      </c>
      <c r="BP82" s="19" t="str">
        <f>IF(BN82="","",IF(I367="SI",J358-AO272,J358))</f>
        <v/>
      </c>
      <c r="BR82" s="16"/>
      <c r="BS82" s="16"/>
      <c r="BT82" s="16"/>
      <c r="BU82" s="16"/>
      <c r="BV82" s="16"/>
      <c r="BW82" s="19" t="str">
        <f t="shared" si="70"/>
        <v/>
      </c>
      <c r="BX82" s="19" t="str">
        <f t="shared" si="71"/>
        <v/>
      </c>
      <c r="BY82" s="19" t="str">
        <f t="shared" si="72"/>
        <v/>
      </c>
      <c r="BZ82" s="19" t="str">
        <f t="shared" si="73"/>
        <v/>
      </c>
      <c r="CA82" s="19" t="str">
        <f t="shared" si="74"/>
        <v/>
      </c>
      <c r="CB82" s="4">
        <f t="shared" si="75"/>
        <v>0</v>
      </c>
      <c r="CC82" s="11"/>
      <c r="CD82" s="11"/>
      <c r="CE82" s="11"/>
      <c r="CF82" s="11"/>
      <c r="CG82" s="11"/>
      <c r="CH82" s="11"/>
      <c r="CI82" s="11"/>
      <c r="CJ82" s="11"/>
      <c r="CK82" s="11"/>
      <c r="CU82" s="11"/>
      <c r="CV82" s="11"/>
      <c r="CW82" s="11"/>
      <c r="CX82" s="11"/>
      <c r="CY82" s="11"/>
      <c r="CZ82" s="11"/>
      <c r="DA82" s="11"/>
      <c r="DB82" s="11"/>
    </row>
    <row r="83" spans="1:107" ht="13.8" thickBot="1" x14ac:dyDescent="0.3">
      <c r="A83" s="21"/>
      <c r="B83" s="3"/>
      <c r="C83" s="63" t="s">
        <v>118</v>
      </c>
      <c r="D83" s="64" t="s">
        <v>119</v>
      </c>
      <c r="E83" s="64" t="s">
        <v>120</v>
      </c>
      <c r="F83" s="64" t="s">
        <v>121</v>
      </c>
      <c r="G83" s="64" t="s">
        <v>122</v>
      </c>
      <c r="H83" s="64" t="s">
        <v>123</v>
      </c>
      <c r="I83" s="64" t="s">
        <v>124</v>
      </c>
      <c r="J83" s="3"/>
      <c r="K83" s="3"/>
      <c r="L83" s="22"/>
      <c r="M83" s="3"/>
      <c r="N83" s="3"/>
      <c r="O83" s="3"/>
      <c r="P83" s="4"/>
      <c r="Q83" s="4"/>
      <c r="R83" s="4"/>
      <c r="S83" s="4"/>
      <c r="T83" s="4"/>
      <c r="U83" s="4"/>
      <c r="V83" s="4"/>
      <c r="W83" s="4"/>
      <c r="X83" s="4"/>
      <c r="Y83" s="4"/>
      <c r="AB83" s="65" t="s">
        <v>125</v>
      </c>
      <c r="AC83" s="65" t="s">
        <v>126</v>
      </c>
      <c r="AD83" s="65" t="s">
        <v>127</v>
      </c>
      <c r="AE83" s="65" t="s">
        <v>128</v>
      </c>
      <c r="AF83" s="65" t="s">
        <v>129</v>
      </c>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17">
        <v>80</v>
      </c>
      <c r="BH83" s="18" t="str">
        <f t="shared" si="77"/>
        <v/>
      </c>
      <c r="BI83" s="18" t="str">
        <f t="shared" si="78"/>
        <v/>
      </c>
      <c r="BJ83" s="18" t="str">
        <f t="shared" si="79"/>
        <v/>
      </c>
      <c r="BK83" s="24" t="str">
        <f t="shared" si="80"/>
        <v/>
      </c>
      <c r="BL83" s="18" t="str">
        <f t="shared" si="81"/>
        <v/>
      </c>
      <c r="BM83" s="26" t="str">
        <f t="shared" si="82"/>
        <v/>
      </c>
      <c r="BN83" s="19" t="str">
        <f t="shared" si="83"/>
        <v/>
      </c>
      <c r="BO83" s="19" t="str">
        <f>IF(BN83="","",G358)</f>
        <v/>
      </c>
      <c r="BP83" s="19" t="str">
        <f>IF(BN83="","",IF(I368="SI",J358-AO273,J358))</f>
        <v/>
      </c>
      <c r="BR83" s="15"/>
      <c r="BS83" s="15"/>
      <c r="BT83" s="15"/>
      <c r="BU83" s="15"/>
      <c r="BV83" s="15"/>
      <c r="BW83" s="19" t="str">
        <f t="shared" si="70"/>
        <v/>
      </c>
      <c r="BX83" s="19" t="str">
        <f t="shared" si="71"/>
        <v/>
      </c>
      <c r="BY83" s="19" t="str">
        <f t="shared" si="72"/>
        <v/>
      </c>
      <c r="BZ83" s="19" t="str">
        <f t="shared" si="73"/>
        <v/>
      </c>
      <c r="CA83" s="19" t="str">
        <f t="shared" si="74"/>
        <v/>
      </c>
      <c r="CB83" s="4">
        <f t="shared" si="75"/>
        <v>0</v>
      </c>
      <c r="DC83" s="3"/>
    </row>
    <row r="84" spans="1:107" x14ac:dyDescent="0.25">
      <c r="A84" s="21"/>
      <c r="B84" s="3"/>
      <c r="C84" s="66">
        <v>1</v>
      </c>
      <c r="D84" s="67">
        <f>IF('EQUIPO BASE'!F4&gt;0,1,0)</f>
        <v>0</v>
      </c>
      <c r="E84" s="68">
        <f>'EQUIPO BASE'!F4</f>
        <v>0</v>
      </c>
      <c r="F84" s="68">
        <f>'EQUIPO BASE'!G4</f>
        <v>0</v>
      </c>
      <c r="G84" s="68">
        <v>10</v>
      </c>
      <c r="H84" s="68">
        <f>IF(D84=0,0,$F$80-F84)</f>
        <v>0</v>
      </c>
      <c r="I84" s="68" t="s">
        <v>130</v>
      </c>
      <c r="J84" s="3"/>
      <c r="K84" s="69" t="s">
        <v>130</v>
      </c>
      <c r="L84" s="22"/>
      <c r="M84" s="3"/>
      <c r="N84" s="3"/>
      <c r="O84" s="3"/>
      <c r="P84" s="4"/>
      <c r="Q84" s="4"/>
      <c r="R84" s="4"/>
      <c r="S84" s="4"/>
      <c r="T84" s="4"/>
      <c r="U84" s="4"/>
      <c r="V84" s="4"/>
      <c r="W84" s="4"/>
      <c r="X84" s="4"/>
      <c r="Y84" s="4"/>
      <c r="AB84" s="65">
        <f t="shared" ref="AB84:AB92" si="84">IF(E84="","",AC84+E84)</f>
        <v>60</v>
      </c>
      <c r="AC84" s="65">
        <f t="shared" ref="AC84:AC92" si="85">IF(E84="","",60)</f>
        <v>60</v>
      </c>
      <c r="AD84" s="65">
        <f>IF(E84="","",F79)</f>
        <v>0</v>
      </c>
      <c r="AE84" s="65">
        <f>IF(E84="","",F80)</f>
        <v>-10</v>
      </c>
      <c r="AF84" s="65">
        <f>IF(E84="","",I80)</f>
        <v>10</v>
      </c>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17">
        <v>81</v>
      </c>
      <c r="BH84" s="18">
        <f t="shared" ref="BH84:BH93" si="86">IF(BI84="","",IF(E84&lt;=60,1*D84,IF(E84&lt;=120,2*D84,IF(E84&lt;=180,3*D84,IF(E84&lt;=240,4*D84)))))</f>
        <v>0</v>
      </c>
      <c r="BI84" s="18" t="str">
        <f t="shared" ref="BI84:BI93" si="87">IF(I84="","",IF(I84="VA","TAF",IF(I84="VAS","TAF",IF(I84="VRA","TAF",IF(I84="VR","")))))</f>
        <v>TAF</v>
      </c>
      <c r="BJ84" s="18">
        <f t="shared" ref="BJ84:BJ93" si="88">IF(I84="","",IF(I84="VA",10,IF(I84="VAS",10,IF(I84="VRA",10,IF(I84="VR","")))))</f>
        <v>10</v>
      </c>
      <c r="BK84" s="24">
        <f t="shared" ref="BK84:BK93" si="89">IF(BI84="","",IF(E84&lt;=60,E84,IF(E84&lt;=120,E84/2,IF(E84&lt;=180,E84/3,IF(E84&lt;=240,E84/4)))))</f>
        <v>0</v>
      </c>
      <c r="BL84" s="25"/>
      <c r="BM84" s="26" t="str">
        <f t="shared" si="82"/>
        <v/>
      </c>
      <c r="BN84" s="19" t="str">
        <f t="shared" si="83"/>
        <v/>
      </c>
      <c r="BO84" s="19" t="str">
        <f>IF(BN84="","",G358)</f>
        <v/>
      </c>
      <c r="BP84" s="19" t="str">
        <f>IF(BN84="","",IF(I369="SI",J358-AO274,J358))</f>
        <v/>
      </c>
      <c r="BR84" s="15"/>
      <c r="BS84" s="15"/>
      <c r="BT84" s="15"/>
      <c r="BU84" s="15"/>
      <c r="BV84" s="15"/>
      <c r="BW84" s="19" t="str">
        <f t="shared" ref="BW84:BW103" si="90">IF(H361="TH","",IF(H361=1,"",IF(H361=2,1,IF(H361=3,1,IF(H361=4,"",IF(H361="",""))))))</f>
        <v/>
      </c>
      <c r="BX84" s="19" t="str">
        <f t="shared" ref="BX84:BX103" si="91">IF(H361="TH","",IF(H361=1,"",IF(H361=2,"RMLE",IF(H361=3,"RML",IF(H361=4,"",IF(H361="",""))))))</f>
        <v/>
      </c>
      <c r="BY84" s="19" t="str">
        <f>IF(BX84="","",18.4)</f>
        <v/>
      </c>
      <c r="BZ84" s="19" t="str">
        <f t="shared" ref="BZ84:BZ103" si="92">IF(H361=2,F361+15,IF(H361=3,F361+30,IF(H361=1,"",IF(H361=4,"",IF(H361="TH","",IF(H361="",""))))))</f>
        <v/>
      </c>
      <c r="CA84" s="19" t="str">
        <f>IF(BX84="RMLE",BZ84,"")</f>
        <v/>
      </c>
      <c r="CB84" s="4">
        <f t="shared" si="75"/>
        <v>0</v>
      </c>
      <c r="DC84" s="3"/>
    </row>
    <row r="85" spans="1:107" x14ac:dyDescent="0.25">
      <c r="A85" s="21"/>
      <c r="B85" s="3"/>
      <c r="C85" s="65">
        <v>2</v>
      </c>
      <c r="D85" s="67">
        <f>IF('EQUIPO BASE'!F5&gt;0,1,0)</f>
        <v>0</v>
      </c>
      <c r="E85" s="68">
        <f>'EQUIPO BASE'!F5</f>
        <v>0</v>
      </c>
      <c r="F85" s="68">
        <f>'EQUIPO BASE'!G5</f>
        <v>0</v>
      </c>
      <c r="G85" s="68">
        <v>10</v>
      </c>
      <c r="H85" s="68">
        <f t="shared" ref="H85:H93" si="93">IF(D85=0,0,$F$80-F85)</f>
        <v>0</v>
      </c>
      <c r="I85" s="70" t="s">
        <v>130</v>
      </c>
      <c r="J85" s="3"/>
      <c r="K85" s="69" t="s">
        <v>131</v>
      </c>
      <c r="L85" s="22"/>
      <c r="M85" s="3"/>
      <c r="N85" s="3"/>
      <c r="O85" s="3"/>
      <c r="P85" s="4"/>
      <c r="Q85" s="4"/>
      <c r="R85" s="4"/>
      <c r="S85" s="4"/>
      <c r="T85" s="4"/>
      <c r="U85" s="4"/>
      <c r="V85" s="4"/>
      <c r="W85" s="4"/>
      <c r="X85" s="4"/>
      <c r="Y85" s="4"/>
      <c r="AB85" s="65">
        <f t="shared" si="84"/>
        <v>60</v>
      </c>
      <c r="AC85" s="65">
        <f t="shared" si="85"/>
        <v>60</v>
      </c>
      <c r="AD85" s="65">
        <f>IF(E85="","",F79)</f>
        <v>0</v>
      </c>
      <c r="AE85" s="65">
        <f>IF(E85="","",F80)</f>
        <v>-10</v>
      </c>
      <c r="AF85" s="65">
        <f>IF(E85="","",I80)</f>
        <v>10</v>
      </c>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17">
        <v>82</v>
      </c>
      <c r="BH85" s="18">
        <f t="shared" si="86"/>
        <v>0</v>
      </c>
      <c r="BI85" s="18" t="str">
        <f t="shared" si="87"/>
        <v>TAF</v>
      </c>
      <c r="BJ85" s="18">
        <f t="shared" si="88"/>
        <v>10</v>
      </c>
      <c r="BK85" s="24">
        <f t="shared" si="89"/>
        <v>0</v>
      </c>
      <c r="BL85" s="25"/>
      <c r="BM85" s="26" t="str">
        <f t="shared" si="82"/>
        <v/>
      </c>
      <c r="BN85" s="19" t="str">
        <f t="shared" si="83"/>
        <v/>
      </c>
      <c r="BO85" s="19" t="str">
        <f>IF(BN85="","",G358)</f>
        <v/>
      </c>
      <c r="BP85" s="19" t="str">
        <f>IF(BN85="","",IF(I370="SI",J358-AO275,J358))</f>
        <v/>
      </c>
      <c r="BR85" s="15"/>
      <c r="BS85" s="15"/>
      <c r="BT85" s="15"/>
      <c r="BU85" s="15"/>
      <c r="BV85" s="15"/>
      <c r="BW85" s="19" t="str">
        <f t="shared" si="90"/>
        <v/>
      </c>
      <c r="BX85" s="19" t="str">
        <f t="shared" si="91"/>
        <v/>
      </c>
      <c r="BY85" s="19" t="str">
        <f t="shared" ref="BY85:BY103" si="94">IF(BX85="","",18.4)</f>
        <v/>
      </c>
      <c r="BZ85" s="19" t="str">
        <f t="shared" si="92"/>
        <v/>
      </c>
      <c r="CA85" s="19" t="str">
        <f t="shared" ref="CA85:CA103" si="95">IF(BX85="RMLE",BZ85,"")</f>
        <v/>
      </c>
      <c r="CB85" s="4">
        <f t="shared" si="75"/>
        <v>0</v>
      </c>
      <c r="DC85" s="3"/>
    </row>
    <row r="86" spans="1:107" x14ac:dyDescent="0.25">
      <c r="A86" s="21"/>
      <c r="B86" s="3"/>
      <c r="C86" s="65">
        <v>3</v>
      </c>
      <c r="D86" s="67">
        <f>IF('EQUIPO BASE'!F6&gt;0,1,0)</f>
        <v>0</v>
      </c>
      <c r="E86" s="68">
        <f>'EQUIPO BASE'!F6</f>
        <v>0</v>
      </c>
      <c r="F86" s="68">
        <f>'EQUIPO BASE'!G6</f>
        <v>0</v>
      </c>
      <c r="G86" s="68">
        <v>10</v>
      </c>
      <c r="H86" s="68">
        <f t="shared" si="93"/>
        <v>0</v>
      </c>
      <c r="I86" s="70" t="s">
        <v>130</v>
      </c>
      <c r="J86" s="3"/>
      <c r="K86" s="69" t="s">
        <v>132</v>
      </c>
      <c r="L86" s="22"/>
      <c r="M86" s="3"/>
      <c r="N86" s="3"/>
      <c r="O86" s="3"/>
      <c r="P86" s="4"/>
      <c r="Q86" s="4"/>
      <c r="R86" s="4"/>
      <c r="S86" s="4"/>
      <c r="T86" s="4"/>
      <c r="U86" s="4"/>
      <c r="V86" s="4"/>
      <c r="W86" s="4"/>
      <c r="X86" s="4"/>
      <c r="Y86" s="4"/>
      <c r="AB86" s="65">
        <f t="shared" si="84"/>
        <v>60</v>
      </c>
      <c r="AC86" s="65">
        <f t="shared" si="85"/>
        <v>60</v>
      </c>
      <c r="AD86" s="65">
        <f>IF(E86="","",F79)</f>
        <v>0</v>
      </c>
      <c r="AE86" s="65">
        <f>IF(E86="","",F80)</f>
        <v>-10</v>
      </c>
      <c r="AF86" s="65">
        <f>IF(E86="","",I80)</f>
        <v>10</v>
      </c>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17">
        <v>83</v>
      </c>
      <c r="BH86" s="18">
        <f t="shared" si="86"/>
        <v>0</v>
      </c>
      <c r="BI86" s="18" t="str">
        <f t="shared" si="87"/>
        <v>TAF</v>
      </c>
      <c r="BJ86" s="18">
        <f t="shared" si="88"/>
        <v>10</v>
      </c>
      <c r="BK86" s="24">
        <f t="shared" si="89"/>
        <v>0</v>
      </c>
      <c r="BL86" s="25"/>
      <c r="BM86" s="26" t="str">
        <f t="shared" si="82"/>
        <v/>
      </c>
      <c r="BN86" s="19" t="str">
        <f t="shared" si="83"/>
        <v/>
      </c>
      <c r="BO86" s="19" t="str">
        <f>IF(BN86="","",G358)</f>
        <v/>
      </c>
      <c r="BP86" s="19" t="str">
        <f>IF(BN86="","",IF(I371="SI",J358-AO276,J358))</f>
        <v/>
      </c>
      <c r="BR86" s="15"/>
      <c r="BS86" s="15"/>
      <c r="BT86" s="15"/>
      <c r="BU86" s="15"/>
      <c r="BV86" s="15"/>
      <c r="BW86" s="19" t="str">
        <f t="shared" si="90"/>
        <v/>
      </c>
      <c r="BX86" s="19" t="str">
        <f t="shared" si="91"/>
        <v/>
      </c>
      <c r="BY86" s="19" t="str">
        <f t="shared" si="94"/>
        <v/>
      </c>
      <c r="BZ86" s="19" t="str">
        <f t="shared" si="92"/>
        <v/>
      </c>
      <c r="CA86" s="19" t="str">
        <f t="shared" si="95"/>
        <v/>
      </c>
      <c r="CB86" s="4">
        <f t="shared" si="75"/>
        <v>0</v>
      </c>
      <c r="DC86" s="3"/>
    </row>
    <row r="87" spans="1:107" x14ac:dyDescent="0.25">
      <c r="A87" s="21"/>
      <c r="B87" s="3"/>
      <c r="C87" s="65">
        <v>4</v>
      </c>
      <c r="D87" s="67">
        <f>IF('EQUIPO BASE'!F7&gt;0,1,0)</f>
        <v>0</v>
      </c>
      <c r="E87" s="68">
        <f>'EQUIPO BASE'!F7</f>
        <v>0</v>
      </c>
      <c r="F87" s="68">
        <f>'EQUIPO BASE'!G7</f>
        <v>0</v>
      </c>
      <c r="G87" s="68">
        <v>10</v>
      </c>
      <c r="H87" s="68">
        <f t="shared" si="93"/>
        <v>0</v>
      </c>
      <c r="I87" s="70" t="s">
        <v>130</v>
      </c>
      <c r="J87" s="3"/>
      <c r="K87" s="69" t="s">
        <v>133</v>
      </c>
      <c r="L87" s="22"/>
      <c r="M87" s="3"/>
      <c r="N87" s="3"/>
      <c r="O87" s="3"/>
      <c r="P87" s="4"/>
      <c r="Q87" s="4"/>
      <c r="R87" s="4"/>
      <c r="S87" s="4"/>
      <c r="T87" s="4"/>
      <c r="U87" s="4"/>
      <c r="V87" s="4"/>
      <c r="W87" s="4"/>
      <c r="X87" s="4"/>
      <c r="Y87" s="4"/>
      <c r="AB87" s="65">
        <f t="shared" si="84"/>
        <v>60</v>
      </c>
      <c r="AC87" s="65">
        <f t="shared" si="85"/>
        <v>60</v>
      </c>
      <c r="AD87" s="65">
        <f>IF(E87="","",F79)</f>
        <v>0</v>
      </c>
      <c r="AE87" s="65">
        <f>IF(E87="","",F80)</f>
        <v>-10</v>
      </c>
      <c r="AF87" s="65">
        <f>IF(E87="","",I80)</f>
        <v>10</v>
      </c>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17">
        <v>84</v>
      </c>
      <c r="BH87" s="18">
        <f t="shared" si="86"/>
        <v>0</v>
      </c>
      <c r="BI87" s="18" t="str">
        <f t="shared" si="87"/>
        <v>TAF</v>
      </c>
      <c r="BJ87" s="18">
        <f t="shared" si="88"/>
        <v>10</v>
      </c>
      <c r="BK87" s="24">
        <f t="shared" si="89"/>
        <v>0</v>
      </c>
      <c r="BL87" s="25"/>
      <c r="BM87" s="26" t="str">
        <f t="shared" si="82"/>
        <v/>
      </c>
      <c r="BN87" s="19" t="str">
        <f t="shared" si="83"/>
        <v/>
      </c>
      <c r="BO87" s="19" t="str">
        <f>IF(BN87="","",G358)</f>
        <v/>
      </c>
      <c r="BP87" s="19" t="str">
        <f>IF(BN87="","",IF(I372="SI",J358-AO277,J358))</f>
        <v/>
      </c>
      <c r="BR87" s="15"/>
      <c r="BS87" s="15"/>
      <c r="BT87" s="15"/>
      <c r="BU87" s="15"/>
      <c r="BV87" s="15"/>
      <c r="BW87" s="19" t="str">
        <f t="shared" si="90"/>
        <v/>
      </c>
      <c r="BX87" s="19" t="str">
        <f t="shared" si="91"/>
        <v/>
      </c>
      <c r="BY87" s="19" t="str">
        <f t="shared" si="94"/>
        <v/>
      </c>
      <c r="BZ87" s="19" t="str">
        <f t="shared" si="92"/>
        <v/>
      </c>
      <c r="CA87" s="19" t="str">
        <f t="shared" si="95"/>
        <v/>
      </c>
      <c r="CB87" s="4">
        <f t="shared" si="75"/>
        <v>0</v>
      </c>
      <c r="DC87" s="3"/>
    </row>
    <row r="88" spans="1:107" x14ac:dyDescent="0.25">
      <c r="A88" s="21"/>
      <c r="B88" s="3"/>
      <c r="C88" s="65">
        <v>5</v>
      </c>
      <c r="D88" s="67">
        <f>IF('EQUIPO BASE'!F8&gt;0,1,0)</f>
        <v>0</v>
      </c>
      <c r="E88" s="68">
        <f>'EQUIPO BASE'!F8</f>
        <v>0</v>
      </c>
      <c r="F88" s="68">
        <f>'EQUIPO BASE'!G8</f>
        <v>0</v>
      </c>
      <c r="G88" s="68">
        <v>10</v>
      </c>
      <c r="H88" s="68">
        <f t="shared" si="93"/>
        <v>0</v>
      </c>
      <c r="I88" s="70" t="s">
        <v>130</v>
      </c>
      <c r="J88" s="3"/>
      <c r="K88" s="3"/>
      <c r="L88" s="22"/>
      <c r="M88" s="3"/>
      <c r="N88" s="3"/>
      <c r="O88" s="3"/>
      <c r="P88" s="4"/>
      <c r="Q88" s="4"/>
      <c r="R88" s="4"/>
      <c r="S88" s="4"/>
      <c r="T88" s="4"/>
      <c r="U88" s="4"/>
      <c r="V88" s="4"/>
      <c r="W88" s="4"/>
      <c r="X88" s="4"/>
      <c r="Y88" s="4"/>
      <c r="AB88" s="65">
        <f t="shared" si="84"/>
        <v>60</v>
      </c>
      <c r="AC88" s="65">
        <f t="shared" si="85"/>
        <v>60</v>
      </c>
      <c r="AD88" s="65">
        <f>IF(E88="","",F79)</f>
        <v>0</v>
      </c>
      <c r="AE88" s="65">
        <f>IF(E88="","",F80)</f>
        <v>-10</v>
      </c>
      <c r="AF88" s="65">
        <f>IF(E88="","",I80)</f>
        <v>10</v>
      </c>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17">
        <v>85</v>
      </c>
      <c r="BH88" s="18">
        <f t="shared" si="86"/>
        <v>0</v>
      </c>
      <c r="BI88" s="18" t="str">
        <f t="shared" si="87"/>
        <v>TAF</v>
      </c>
      <c r="BJ88" s="18">
        <f t="shared" si="88"/>
        <v>10</v>
      </c>
      <c r="BK88" s="24">
        <f t="shared" si="89"/>
        <v>0</v>
      </c>
      <c r="BL88" s="25"/>
      <c r="BM88" s="26" t="str">
        <f t="shared" si="82"/>
        <v/>
      </c>
      <c r="BN88" s="19" t="str">
        <f t="shared" si="83"/>
        <v/>
      </c>
      <c r="BO88" s="19" t="str">
        <f>IF(BN88="","",G358)</f>
        <v/>
      </c>
      <c r="BP88" s="19" t="str">
        <f>IF(BN88="","",IF(I373="SI",J358-AO278,J358))</f>
        <v/>
      </c>
      <c r="BR88" s="15"/>
      <c r="BS88" s="15"/>
      <c r="BT88" s="15"/>
      <c r="BU88" s="15"/>
      <c r="BV88" s="15"/>
      <c r="BW88" s="19" t="str">
        <f t="shared" si="90"/>
        <v/>
      </c>
      <c r="BX88" s="19" t="str">
        <f t="shared" si="91"/>
        <v/>
      </c>
      <c r="BY88" s="19" t="str">
        <f t="shared" si="94"/>
        <v/>
      </c>
      <c r="BZ88" s="19" t="str">
        <f t="shared" si="92"/>
        <v/>
      </c>
      <c r="CA88" s="19" t="str">
        <f t="shared" si="95"/>
        <v/>
      </c>
      <c r="CB88" s="4">
        <f t="shared" si="75"/>
        <v>0</v>
      </c>
      <c r="DC88" s="3"/>
    </row>
    <row r="89" spans="1:107" x14ac:dyDescent="0.25">
      <c r="A89" s="21"/>
      <c r="B89" s="3"/>
      <c r="C89" s="65">
        <v>6</v>
      </c>
      <c r="D89" s="67">
        <f>IF('EQUIPO BASE'!F9&gt;0,1,0)</f>
        <v>0</v>
      </c>
      <c r="E89" s="68">
        <f>'EQUIPO BASE'!F9</f>
        <v>0</v>
      </c>
      <c r="F89" s="68">
        <f>'EQUIPO BASE'!G9</f>
        <v>0</v>
      </c>
      <c r="G89" s="68">
        <v>10</v>
      </c>
      <c r="H89" s="68">
        <f t="shared" si="93"/>
        <v>0</v>
      </c>
      <c r="I89" s="70" t="s">
        <v>130</v>
      </c>
      <c r="J89" s="3"/>
      <c r="K89" s="3"/>
      <c r="L89" s="22"/>
      <c r="M89" s="3"/>
      <c r="N89" s="3"/>
      <c r="O89" s="3"/>
      <c r="P89" s="4"/>
      <c r="Q89" s="4"/>
      <c r="R89" s="4"/>
      <c r="S89" s="4"/>
      <c r="T89" s="4"/>
      <c r="U89" s="4"/>
      <c r="V89" s="4"/>
      <c r="W89" s="4"/>
      <c r="X89" s="4"/>
      <c r="Y89" s="4"/>
      <c r="AB89" s="65">
        <f t="shared" si="84"/>
        <v>60</v>
      </c>
      <c r="AC89" s="65">
        <f t="shared" si="85"/>
        <v>60</v>
      </c>
      <c r="AD89" s="65">
        <f>IF(E89="","",F79)</f>
        <v>0</v>
      </c>
      <c r="AE89" s="65">
        <f>IF(E89="","",F80)</f>
        <v>-10</v>
      </c>
      <c r="AF89" s="65">
        <f>IF(E89="","",I80)</f>
        <v>10</v>
      </c>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17">
        <v>86</v>
      </c>
      <c r="BH89" s="18">
        <f t="shared" si="86"/>
        <v>0</v>
      </c>
      <c r="BI89" s="18" t="str">
        <f t="shared" si="87"/>
        <v>TAF</v>
      </c>
      <c r="BJ89" s="18">
        <f t="shared" si="88"/>
        <v>10</v>
      </c>
      <c r="BK89" s="24">
        <f t="shared" si="89"/>
        <v>0</v>
      </c>
      <c r="BL89" s="25"/>
      <c r="BM89" s="26" t="str">
        <f>IF(AV279=0,"",AV279)</f>
        <v/>
      </c>
      <c r="BN89" s="19" t="str">
        <f t="shared" si="83"/>
        <v/>
      </c>
      <c r="BO89" s="19" t="str">
        <f>IF(BN89="","",G358)</f>
        <v/>
      </c>
      <c r="BP89" s="19" t="str">
        <f>IF(BN89="","",IF(I374="SI",J358-AO279,J358))</f>
        <v/>
      </c>
      <c r="BR89" s="15"/>
      <c r="BS89" s="15"/>
      <c r="BT89" s="15"/>
      <c r="BU89" s="15"/>
      <c r="BV89" s="15"/>
      <c r="BW89" s="19" t="str">
        <f t="shared" si="90"/>
        <v/>
      </c>
      <c r="BX89" s="19" t="str">
        <f t="shared" si="91"/>
        <v/>
      </c>
      <c r="BY89" s="19" t="str">
        <f t="shared" si="94"/>
        <v/>
      </c>
      <c r="BZ89" s="19" t="str">
        <f t="shared" si="92"/>
        <v/>
      </c>
      <c r="CA89" s="19" t="str">
        <f t="shared" si="95"/>
        <v/>
      </c>
      <c r="CB89" s="4">
        <f t="shared" si="75"/>
        <v>0</v>
      </c>
      <c r="DC89" s="3"/>
    </row>
    <row r="90" spans="1:107" x14ac:dyDescent="0.25">
      <c r="A90" s="21"/>
      <c r="B90" s="3"/>
      <c r="C90" s="65">
        <v>7</v>
      </c>
      <c r="D90" s="67">
        <f>IF('EQUIPO BASE'!F10&gt;0,1,0)</f>
        <v>0</v>
      </c>
      <c r="E90" s="68">
        <f>'EQUIPO BASE'!F10</f>
        <v>0</v>
      </c>
      <c r="F90" s="68">
        <f>'EQUIPO BASE'!G10</f>
        <v>0</v>
      </c>
      <c r="G90" s="68">
        <v>10</v>
      </c>
      <c r="H90" s="68">
        <f t="shared" si="93"/>
        <v>0</v>
      </c>
      <c r="I90" s="70" t="s">
        <v>130</v>
      </c>
      <c r="J90" s="3"/>
      <c r="K90" s="3"/>
      <c r="L90" s="22"/>
      <c r="M90" s="3"/>
      <c r="N90" s="3"/>
      <c r="O90" s="3"/>
      <c r="P90" s="4"/>
      <c r="Q90" s="4"/>
      <c r="R90" s="4"/>
      <c r="S90" s="4"/>
      <c r="T90" s="4"/>
      <c r="U90" s="4"/>
      <c r="V90" s="4"/>
      <c r="W90" s="4"/>
      <c r="X90" s="4"/>
      <c r="Y90" s="4"/>
      <c r="AB90" s="65">
        <f t="shared" si="84"/>
        <v>60</v>
      </c>
      <c r="AC90" s="65">
        <f t="shared" si="85"/>
        <v>60</v>
      </c>
      <c r="AD90" s="65">
        <f>IF(E90="","",F79)</f>
        <v>0</v>
      </c>
      <c r="AE90" s="65">
        <f>IF(E90="","",F80)</f>
        <v>-10</v>
      </c>
      <c r="AF90" s="65">
        <f>IF(E90="","",I80)</f>
        <v>10</v>
      </c>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17">
        <v>87</v>
      </c>
      <c r="BH90" s="18">
        <f t="shared" si="86"/>
        <v>0</v>
      </c>
      <c r="BI90" s="18" t="str">
        <f t="shared" si="87"/>
        <v>TAF</v>
      </c>
      <c r="BJ90" s="18">
        <f t="shared" si="88"/>
        <v>10</v>
      </c>
      <c r="BK90" s="24">
        <f t="shared" si="89"/>
        <v>0</v>
      </c>
      <c r="BL90" s="25"/>
      <c r="BM90" s="26" t="str">
        <f t="shared" ref="BM90:BM95" si="96">AV280</f>
        <v/>
      </c>
      <c r="BN90" s="19" t="str">
        <f t="shared" si="83"/>
        <v/>
      </c>
      <c r="BO90" s="19" t="str">
        <f>IF(BN90="","",G358)</f>
        <v/>
      </c>
      <c r="BP90" s="19" t="str">
        <f>IF(BN90="","",IF(I375="SI",J358-AO280,J358))</f>
        <v/>
      </c>
      <c r="BR90" s="15"/>
      <c r="BS90" s="15"/>
      <c r="BT90" s="15"/>
      <c r="BU90" s="15"/>
      <c r="BV90" s="15"/>
      <c r="BW90" s="19" t="str">
        <f t="shared" si="90"/>
        <v/>
      </c>
      <c r="BX90" s="19" t="str">
        <f t="shared" si="91"/>
        <v/>
      </c>
      <c r="BY90" s="19" t="str">
        <f t="shared" si="94"/>
        <v/>
      </c>
      <c r="BZ90" s="19" t="str">
        <f t="shared" si="92"/>
        <v/>
      </c>
      <c r="CA90" s="19" t="str">
        <f t="shared" si="95"/>
        <v/>
      </c>
      <c r="CB90" s="4">
        <f t="shared" si="75"/>
        <v>0</v>
      </c>
      <c r="DC90" s="3"/>
    </row>
    <row r="91" spans="1:107" x14ac:dyDescent="0.25">
      <c r="A91" s="21"/>
      <c r="B91" s="3"/>
      <c r="C91" s="65">
        <v>8</v>
      </c>
      <c r="D91" s="67">
        <f>IF('EQUIPO BASE'!F11&gt;0,1,0)</f>
        <v>0</v>
      </c>
      <c r="E91" s="68">
        <f>'EQUIPO BASE'!F11</f>
        <v>0</v>
      </c>
      <c r="F91" s="68">
        <f>'EQUIPO BASE'!G11</f>
        <v>0</v>
      </c>
      <c r="G91" s="68">
        <v>10</v>
      </c>
      <c r="H91" s="68">
        <f t="shared" si="93"/>
        <v>0</v>
      </c>
      <c r="I91" s="70" t="s">
        <v>130</v>
      </c>
      <c r="J91" s="3"/>
      <c r="K91" s="3"/>
      <c r="L91" s="22"/>
      <c r="M91" s="3"/>
      <c r="N91" s="3"/>
      <c r="O91" s="3"/>
      <c r="P91" s="4"/>
      <c r="Q91" s="4"/>
      <c r="R91" s="4"/>
      <c r="S91" s="4"/>
      <c r="T91" s="4"/>
      <c r="U91" s="4"/>
      <c r="V91" s="4"/>
      <c r="W91" s="4"/>
      <c r="X91" s="4"/>
      <c r="Y91" s="4"/>
      <c r="AB91" s="65">
        <f t="shared" si="84"/>
        <v>60</v>
      </c>
      <c r="AC91" s="65">
        <f t="shared" si="85"/>
        <v>60</v>
      </c>
      <c r="AD91" s="65">
        <f>IF(E91="","",F79)</f>
        <v>0</v>
      </c>
      <c r="AE91" s="65">
        <f>IF(E91="","",F80)</f>
        <v>-10</v>
      </c>
      <c r="AF91" s="65">
        <f>IF(E91="","",I80)</f>
        <v>10</v>
      </c>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17">
        <v>88</v>
      </c>
      <c r="BH91" s="18">
        <f t="shared" si="86"/>
        <v>0</v>
      </c>
      <c r="BI91" s="18" t="str">
        <f t="shared" si="87"/>
        <v>TAF</v>
      </c>
      <c r="BJ91" s="18">
        <f t="shared" si="88"/>
        <v>10</v>
      </c>
      <c r="BK91" s="24">
        <f t="shared" si="89"/>
        <v>0</v>
      </c>
      <c r="BL91" s="25"/>
      <c r="BM91" s="26" t="str">
        <f t="shared" si="96"/>
        <v/>
      </c>
      <c r="BN91" s="19" t="str">
        <f t="shared" si="83"/>
        <v/>
      </c>
      <c r="BO91" s="19" t="str">
        <f>IF(BN91="","",G358)</f>
        <v/>
      </c>
      <c r="BP91" s="19" t="str">
        <f>IF(BN91="","",IF(I376="SI",J358-AO281,J358))</f>
        <v/>
      </c>
      <c r="BR91" s="15"/>
      <c r="BS91" s="15"/>
      <c r="BT91" s="15"/>
      <c r="BU91" s="15"/>
      <c r="BV91" s="15"/>
      <c r="BW91" s="19" t="str">
        <f t="shared" si="90"/>
        <v/>
      </c>
      <c r="BX91" s="19" t="str">
        <f t="shared" si="91"/>
        <v/>
      </c>
      <c r="BY91" s="19" t="str">
        <f t="shared" si="94"/>
        <v/>
      </c>
      <c r="BZ91" s="19" t="str">
        <f t="shared" si="92"/>
        <v/>
      </c>
      <c r="CA91" s="19" t="str">
        <f t="shared" si="95"/>
        <v/>
      </c>
      <c r="CB91" s="4">
        <f t="shared" si="75"/>
        <v>0</v>
      </c>
      <c r="DC91" s="3"/>
    </row>
    <row r="92" spans="1:107" x14ac:dyDescent="0.25">
      <c r="A92" s="21"/>
      <c r="B92" s="3"/>
      <c r="C92" s="65">
        <v>9</v>
      </c>
      <c r="D92" s="67">
        <f>IF('EQUIPO BASE'!F12&gt;0,1,0)</f>
        <v>0</v>
      </c>
      <c r="E92" s="68">
        <f>'EQUIPO BASE'!F12</f>
        <v>0</v>
      </c>
      <c r="F92" s="68">
        <f>'EQUIPO BASE'!G12</f>
        <v>0</v>
      </c>
      <c r="G92" s="68">
        <v>10</v>
      </c>
      <c r="H92" s="68">
        <f t="shared" si="93"/>
        <v>0</v>
      </c>
      <c r="I92" s="70" t="s">
        <v>130</v>
      </c>
      <c r="J92" s="3"/>
      <c r="K92" s="3"/>
      <c r="L92" s="22"/>
      <c r="M92" s="3"/>
      <c r="N92" s="3"/>
      <c r="O92" s="3"/>
      <c r="P92" s="4"/>
      <c r="Q92" s="4"/>
      <c r="R92" s="4"/>
      <c r="S92" s="4"/>
      <c r="T92" s="4"/>
      <c r="U92" s="4"/>
      <c r="V92" s="4"/>
      <c r="W92" s="4"/>
      <c r="X92" s="4"/>
      <c r="Y92" s="4"/>
      <c r="AB92" s="65">
        <f t="shared" si="84"/>
        <v>60</v>
      </c>
      <c r="AC92" s="65">
        <f t="shared" si="85"/>
        <v>60</v>
      </c>
      <c r="AD92" s="65">
        <f>IF(E92="","",F79)</f>
        <v>0</v>
      </c>
      <c r="AE92" s="65">
        <f>IF(E92="","",F80)</f>
        <v>-10</v>
      </c>
      <c r="AF92" s="65">
        <f>IF(E92="","",I80)</f>
        <v>10</v>
      </c>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17">
        <v>89</v>
      </c>
      <c r="BH92" s="18">
        <f t="shared" si="86"/>
        <v>0</v>
      </c>
      <c r="BI92" s="18" t="str">
        <f t="shared" si="87"/>
        <v>TAF</v>
      </c>
      <c r="BJ92" s="18">
        <f t="shared" si="88"/>
        <v>10</v>
      </c>
      <c r="BK92" s="24">
        <f t="shared" si="89"/>
        <v>0</v>
      </c>
      <c r="BL92" s="25"/>
      <c r="BM92" s="26" t="str">
        <f t="shared" si="96"/>
        <v/>
      </c>
      <c r="BN92" s="19" t="str">
        <f t="shared" si="83"/>
        <v/>
      </c>
      <c r="BO92" s="19" t="str">
        <f>IF(BN92="","",G358)</f>
        <v/>
      </c>
      <c r="BP92" s="19" t="str">
        <f>IF(BN92="","",IF(I377="SI",J358-AO282,J358))</f>
        <v/>
      </c>
      <c r="BR92" s="15"/>
      <c r="BS92" s="15"/>
      <c r="BT92" s="15"/>
      <c r="BU92" s="15"/>
      <c r="BV92" s="15"/>
      <c r="BW92" s="19" t="str">
        <f t="shared" si="90"/>
        <v/>
      </c>
      <c r="BX92" s="19" t="str">
        <f t="shared" si="91"/>
        <v/>
      </c>
      <c r="BY92" s="19" t="str">
        <f t="shared" si="94"/>
        <v/>
      </c>
      <c r="BZ92" s="19" t="str">
        <f t="shared" si="92"/>
        <v/>
      </c>
      <c r="CA92" s="19" t="str">
        <f t="shared" si="95"/>
        <v/>
      </c>
      <c r="CB92" s="4">
        <f t="shared" si="75"/>
        <v>0</v>
      </c>
      <c r="DC92" s="3"/>
    </row>
    <row r="93" spans="1:107" x14ac:dyDescent="0.25">
      <c r="A93" s="21"/>
      <c r="B93" s="58"/>
      <c r="C93" s="65">
        <v>10</v>
      </c>
      <c r="D93" s="67">
        <f>IF('EQUIPO BASE'!F63&gt;0,1,0)</f>
        <v>0</v>
      </c>
      <c r="E93" s="68">
        <f>'EQUIPO BASE'!F63</f>
        <v>0</v>
      </c>
      <c r="F93" s="68">
        <f>'EQUIPO BASE'!G63</f>
        <v>0</v>
      </c>
      <c r="G93" s="68">
        <v>10</v>
      </c>
      <c r="H93" s="68">
        <f t="shared" si="93"/>
        <v>0</v>
      </c>
      <c r="I93" s="70" t="s">
        <v>130</v>
      </c>
      <c r="J93" s="3"/>
      <c r="K93" s="3"/>
      <c r="L93" s="22"/>
      <c r="M93" s="3"/>
      <c r="N93" s="3"/>
      <c r="O93" s="3"/>
      <c r="P93" s="4"/>
      <c r="Q93" s="4"/>
      <c r="R93" s="4"/>
      <c r="S93" s="4"/>
      <c r="T93" s="4"/>
      <c r="U93" s="4"/>
      <c r="V93" s="4"/>
      <c r="W93" s="4"/>
      <c r="X93" s="4"/>
      <c r="Y93" s="4"/>
      <c r="AB93" s="65">
        <f>IF(E93="","",AC93+E93)</f>
        <v>60</v>
      </c>
      <c r="AC93" s="65">
        <f>IF(E93="","",60)</f>
        <v>60</v>
      </c>
      <c r="AD93" s="65">
        <f>IF(E93="","",F79)</f>
        <v>0</v>
      </c>
      <c r="AE93" s="65">
        <f>IF(E93="","",F80)</f>
        <v>-10</v>
      </c>
      <c r="AF93" s="65">
        <f>IF(E93="","",I80)</f>
        <v>10</v>
      </c>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17">
        <v>90</v>
      </c>
      <c r="BH93" s="18">
        <f t="shared" si="86"/>
        <v>0</v>
      </c>
      <c r="BI93" s="18" t="str">
        <f t="shared" si="87"/>
        <v>TAF</v>
      </c>
      <c r="BJ93" s="18">
        <f t="shared" si="88"/>
        <v>10</v>
      </c>
      <c r="BK93" s="24">
        <f t="shared" si="89"/>
        <v>0</v>
      </c>
      <c r="BL93" s="25"/>
      <c r="BM93" s="26" t="str">
        <f t="shared" si="96"/>
        <v/>
      </c>
      <c r="BN93" s="19" t="str">
        <f t="shared" si="83"/>
        <v/>
      </c>
      <c r="BO93" s="19" t="str">
        <f>IF(BN93="","",G358)</f>
        <v/>
      </c>
      <c r="BP93" s="19" t="str">
        <f>IF(BN93="","",IF(I378="SI",J358-AO283,J358))</f>
        <v/>
      </c>
      <c r="BR93" s="15"/>
      <c r="BS93" s="15"/>
      <c r="BT93" s="15"/>
      <c r="BU93" s="15"/>
      <c r="BV93" s="15"/>
      <c r="BW93" s="19" t="str">
        <f t="shared" si="90"/>
        <v/>
      </c>
      <c r="BX93" s="19" t="str">
        <f t="shared" si="91"/>
        <v/>
      </c>
      <c r="BY93" s="19" t="str">
        <f t="shared" si="94"/>
        <v/>
      </c>
      <c r="BZ93" s="19" t="str">
        <f t="shared" si="92"/>
        <v/>
      </c>
      <c r="CA93" s="19" t="str">
        <f t="shared" si="95"/>
        <v/>
      </c>
      <c r="CB93" s="4">
        <f t="shared" si="75"/>
        <v>0</v>
      </c>
      <c r="DC93" s="3"/>
    </row>
    <row r="94" spans="1:107" x14ac:dyDescent="0.25">
      <c r="A94" s="21"/>
      <c r="B94" s="3"/>
      <c r="C94" s="3"/>
      <c r="D94" s="3"/>
      <c r="E94" s="3"/>
      <c r="F94" s="71"/>
      <c r="G94" s="3"/>
      <c r="H94" s="3"/>
      <c r="I94" s="72"/>
      <c r="J94" s="3"/>
      <c r="K94" s="3"/>
      <c r="L94" s="22"/>
      <c r="M94" s="3"/>
      <c r="N94" s="3"/>
      <c r="O94" s="3"/>
      <c r="P94" s="4"/>
      <c r="Q94" s="4"/>
      <c r="R94" s="4"/>
      <c r="S94" s="4"/>
      <c r="T94" s="4"/>
      <c r="U94" s="4"/>
      <c r="V94" s="4"/>
      <c r="W94" s="4"/>
      <c r="X94" s="4"/>
      <c r="Y94" s="4"/>
      <c r="AB94" s="72"/>
      <c r="AC94" s="58"/>
      <c r="AD94" s="72"/>
      <c r="AE94" s="72"/>
      <c r="AF94" s="72"/>
      <c r="AG94" s="72"/>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17">
        <v>91</v>
      </c>
      <c r="BH94" s="18" t="str">
        <f t="shared" ref="BH94:BH103" si="97">IF(BI94="","",D84*2)</f>
        <v/>
      </c>
      <c r="BI94" s="18" t="str">
        <f t="shared" ref="BI94:BI103" si="98">IF(I84="","",IF(I84="VA","",IF(I84="VAS","TAF",IF(I84="VRA","TAF",IF(I84="VR","")))))</f>
        <v/>
      </c>
      <c r="BJ94" s="18" t="str">
        <f>IF(BI94="","",30)</f>
        <v/>
      </c>
      <c r="BK94" s="24" t="str">
        <f>IF(BI94="","",27)</f>
        <v/>
      </c>
      <c r="BL94" s="18" t="str">
        <f>IF(BI94="","",10.4)</f>
        <v/>
      </c>
      <c r="BM94" s="26" t="str">
        <f t="shared" si="96"/>
        <v/>
      </c>
      <c r="BN94" s="19" t="str">
        <f t="shared" si="83"/>
        <v/>
      </c>
      <c r="BO94" s="19" t="str">
        <f>IF(BN94="","",G358)</f>
        <v/>
      </c>
      <c r="BP94" s="19" t="str">
        <f>IF(BN94="","",IF(I379="SI",J358-AO284,J358))</f>
        <v/>
      </c>
      <c r="BR94" s="15"/>
      <c r="BS94" s="15"/>
      <c r="BT94" s="15"/>
      <c r="BU94" s="15"/>
      <c r="BV94" s="15"/>
      <c r="BW94" s="19" t="str">
        <f t="shared" si="90"/>
        <v/>
      </c>
      <c r="BX94" s="19" t="str">
        <f t="shared" si="91"/>
        <v/>
      </c>
      <c r="BY94" s="19" t="str">
        <f t="shared" si="94"/>
        <v/>
      </c>
      <c r="BZ94" s="19" t="str">
        <f t="shared" si="92"/>
        <v/>
      </c>
      <c r="CA94" s="19" t="str">
        <f t="shared" si="95"/>
        <v/>
      </c>
      <c r="CB94" s="4">
        <f t="shared" si="75"/>
        <v>0</v>
      </c>
      <c r="CC94" s="3"/>
      <c r="CD94" s="3"/>
      <c r="CE94" s="3"/>
      <c r="CF94" s="3"/>
      <c r="CG94" s="3"/>
      <c r="CH94" s="3"/>
      <c r="CI94" s="3"/>
      <c r="CJ94" s="3"/>
      <c r="CK94" s="3"/>
      <c r="CU94" s="3"/>
      <c r="CV94" s="3"/>
      <c r="CW94" s="3"/>
      <c r="CX94" s="3"/>
      <c r="CY94" s="3"/>
      <c r="CZ94" s="3"/>
      <c r="DA94" s="3"/>
      <c r="DB94" s="3"/>
      <c r="DC94" s="3"/>
    </row>
    <row r="95" spans="1:107" x14ac:dyDescent="0.25">
      <c r="A95" s="21"/>
      <c r="B95" s="3"/>
      <c r="C95" s="3"/>
      <c r="D95" s="3"/>
      <c r="E95" s="3"/>
      <c r="F95" s="73"/>
      <c r="G95" s="71"/>
      <c r="H95" s="3"/>
      <c r="I95" s="72"/>
      <c r="J95" s="3"/>
      <c r="K95" s="3"/>
      <c r="L95" s="22"/>
      <c r="M95" s="3"/>
      <c r="N95" s="3"/>
      <c r="O95" s="3"/>
      <c r="P95" s="4"/>
      <c r="Q95" s="4"/>
      <c r="R95" s="4"/>
      <c r="S95" s="4"/>
      <c r="T95" s="4"/>
      <c r="U95" s="4"/>
      <c r="V95" s="4"/>
      <c r="W95" s="4"/>
      <c r="X95" s="4"/>
      <c r="Y95" s="4"/>
      <c r="AB95" s="74"/>
      <c r="AC95" s="74"/>
      <c r="AD95" s="74"/>
      <c r="AE95" s="74"/>
      <c r="AF95" s="74"/>
      <c r="AG95" s="74"/>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7">
        <v>92</v>
      </c>
      <c r="BH95" s="18" t="str">
        <f t="shared" si="97"/>
        <v/>
      </c>
      <c r="BI95" s="18" t="str">
        <f t="shared" si="98"/>
        <v/>
      </c>
      <c r="BJ95" s="18" t="str">
        <f t="shared" ref="BJ95:BJ102" si="99">IF(BI95="","",30)</f>
        <v/>
      </c>
      <c r="BK95" s="24" t="str">
        <f t="shared" ref="BK95:BK102" si="100">IF(BI95="","",27)</f>
        <v/>
      </c>
      <c r="BL95" s="18" t="str">
        <f t="shared" ref="BL95:BL102" si="101">IF(BI95="","",10.4)</f>
        <v/>
      </c>
      <c r="BM95" s="26" t="str">
        <f t="shared" si="96"/>
        <v/>
      </c>
      <c r="BN95" s="19" t="str">
        <f t="shared" si="83"/>
        <v/>
      </c>
      <c r="BO95" s="19" t="str">
        <f>IF(BN95="","",G358)</f>
        <v/>
      </c>
      <c r="BP95" s="19" t="str">
        <f>IF(BN95="","",IF(I380="SI",J358-AO285,J358))</f>
        <v/>
      </c>
      <c r="BR95" s="15"/>
      <c r="BS95" s="15"/>
      <c r="BT95" s="15"/>
      <c r="BU95" s="15"/>
      <c r="BV95" s="15"/>
      <c r="BW95" s="19" t="str">
        <f t="shared" si="90"/>
        <v/>
      </c>
      <c r="BX95" s="19" t="str">
        <f t="shared" si="91"/>
        <v/>
      </c>
      <c r="BY95" s="19" t="str">
        <f t="shared" si="94"/>
        <v/>
      </c>
      <c r="BZ95" s="19" t="str">
        <f t="shared" si="92"/>
        <v/>
      </c>
      <c r="CA95" s="19" t="str">
        <f t="shared" si="95"/>
        <v/>
      </c>
      <c r="CB95" s="4">
        <f t="shared" si="75"/>
        <v>0</v>
      </c>
      <c r="CC95" s="3"/>
      <c r="CD95" s="3"/>
      <c r="CE95" s="3"/>
      <c r="CF95" s="3"/>
      <c r="CG95" s="3"/>
      <c r="CH95" s="3"/>
      <c r="CI95" s="3"/>
      <c r="CJ95" s="3"/>
      <c r="CK95" s="3"/>
      <c r="CU95" s="3"/>
      <c r="CV95" s="3"/>
      <c r="CW95" s="3"/>
      <c r="CX95" s="3"/>
      <c r="CY95" s="3"/>
      <c r="CZ95" s="3"/>
      <c r="DA95" s="3"/>
      <c r="DB95" s="3"/>
      <c r="DC95" s="3"/>
    </row>
    <row r="96" spans="1:107" x14ac:dyDescent="0.25">
      <c r="A96" s="21"/>
      <c r="B96" s="3"/>
      <c r="C96" s="3"/>
      <c r="D96" s="3"/>
      <c r="E96" s="3"/>
      <c r="F96" s="3"/>
      <c r="G96" s="3"/>
      <c r="H96" s="3"/>
      <c r="I96" s="3"/>
      <c r="J96" s="3"/>
      <c r="K96" s="3"/>
      <c r="L96" s="22"/>
      <c r="M96" s="3"/>
      <c r="N96" s="3"/>
      <c r="O96" s="3"/>
      <c r="P96" s="3"/>
      <c r="Q96" s="3"/>
      <c r="R96" s="3"/>
      <c r="S96" s="3"/>
      <c r="T96" s="3"/>
      <c r="U96" s="3"/>
      <c r="V96" s="3"/>
      <c r="W96" s="3"/>
      <c r="X96" s="3"/>
      <c r="Y96" s="3"/>
      <c r="Z96" s="3"/>
      <c r="AA96" s="7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7">
        <v>93</v>
      </c>
      <c r="BH96" s="18" t="str">
        <f t="shared" si="97"/>
        <v/>
      </c>
      <c r="BI96" s="18" t="str">
        <f t="shared" si="98"/>
        <v/>
      </c>
      <c r="BJ96" s="18" t="str">
        <f t="shared" si="99"/>
        <v/>
      </c>
      <c r="BK96" s="24" t="str">
        <f t="shared" si="100"/>
        <v/>
      </c>
      <c r="BL96" s="18" t="str">
        <f t="shared" si="101"/>
        <v/>
      </c>
      <c r="BM96" s="76" t="str">
        <f t="shared" ref="BM96:BM115" si="102">IF(BN96="","",(IF(G361=1,0,IF(G361=2,0,IF(G361=3,0,IF(G361=4,0,IF(G361=0,0,IF(G361="TH",1)))))))+(IF(H361=1,0,IF(H361=2,0,IF(H361=3,0,IF(H361=4,0,IF(H361=0,0,IF(H361="TH",1))))))))</f>
        <v/>
      </c>
      <c r="BN96" s="76" t="str">
        <f t="shared" ref="BN96:BN115" si="103">IF(OR(G361="TH",H361="TH"),"TH","")</f>
        <v/>
      </c>
      <c r="BO96" s="19" t="str">
        <f t="shared" ref="BO96:BO115" si="104">IF(BN96="","",F361)</f>
        <v/>
      </c>
      <c r="BP96" s="77" t="str">
        <f>IF(BN96="","",J358)</f>
        <v/>
      </c>
      <c r="BR96" s="15"/>
      <c r="BS96" s="15"/>
      <c r="BT96" s="15"/>
      <c r="BU96" s="15"/>
      <c r="BV96" s="15"/>
      <c r="BW96" s="19" t="str">
        <f t="shared" si="90"/>
        <v/>
      </c>
      <c r="BX96" s="19" t="str">
        <f t="shared" si="91"/>
        <v/>
      </c>
      <c r="BY96" s="19" t="str">
        <f t="shared" si="94"/>
        <v/>
      </c>
      <c r="BZ96" s="19" t="str">
        <f t="shared" si="92"/>
        <v/>
      </c>
      <c r="CA96" s="19" t="str">
        <f t="shared" si="95"/>
        <v/>
      </c>
      <c r="CB96" s="4">
        <f t="shared" si="75"/>
        <v>0</v>
      </c>
      <c r="CC96" s="3"/>
      <c r="CD96" s="3"/>
      <c r="CE96" s="3"/>
      <c r="CF96" s="3"/>
      <c r="CG96" s="3"/>
      <c r="CH96" s="3"/>
      <c r="CI96" s="3"/>
      <c r="CJ96" s="3"/>
      <c r="CK96" s="3"/>
    </row>
    <row r="97" spans="1:88" x14ac:dyDescent="0.25">
      <c r="A97" s="21"/>
      <c r="B97" s="3"/>
      <c r="C97" s="3"/>
      <c r="D97" s="3"/>
      <c r="E97" s="3"/>
      <c r="F97" s="3"/>
      <c r="G97" s="3"/>
      <c r="H97" s="3"/>
      <c r="I97" s="3"/>
      <c r="J97" s="3"/>
      <c r="K97" s="3"/>
      <c r="L97" s="22"/>
      <c r="M97" s="3"/>
      <c r="N97" s="3"/>
      <c r="O97" s="3"/>
      <c r="P97" s="3"/>
      <c r="Q97" s="3"/>
      <c r="R97" s="3"/>
      <c r="S97" s="3"/>
      <c r="T97" s="3"/>
      <c r="U97" s="3"/>
      <c r="V97" s="3"/>
      <c r="W97" s="3"/>
      <c r="X97" s="3"/>
      <c r="Y97" s="3"/>
      <c r="Z97" s="3"/>
      <c r="AA97" s="75"/>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17">
        <v>94</v>
      </c>
      <c r="BH97" s="18" t="str">
        <f t="shared" si="97"/>
        <v/>
      </c>
      <c r="BI97" s="18" t="str">
        <f t="shared" si="98"/>
        <v/>
      </c>
      <c r="BJ97" s="18" t="str">
        <f t="shared" si="99"/>
        <v/>
      </c>
      <c r="BK97" s="24" t="str">
        <f t="shared" si="100"/>
        <v/>
      </c>
      <c r="BL97" s="18" t="str">
        <f t="shared" si="101"/>
        <v/>
      </c>
      <c r="BM97" s="76" t="str">
        <f t="shared" si="102"/>
        <v/>
      </c>
      <c r="BN97" s="76" t="str">
        <f t="shared" si="103"/>
        <v/>
      </c>
      <c r="BO97" s="19" t="str">
        <f t="shared" si="104"/>
        <v/>
      </c>
      <c r="BP97" s="77" t="str">
        <f>IF(BN97="","",J358)</f>
        <v/>
      </c>
      <c r="BR97" s="15"/>
      <c r="BS97" s="15"/>
      <c r="BT97" s="15"/>
      <c r="BU97" s="15"/>
      <c r="BV97" s="15"/>
      <c r="BW97" s="19" t="str">
        <f t="shared" si="90"/>
        <v/>
      </c>
      <c r="BX97" s="19" t="str">
        <f t="shared" si="91"/>
        <v/>
      </c>
      <c r="BY97" s="19" t="str">
        <f t="shared" si="94"/>
        <v/>
      </c>
      <c r="BZ97" s="19" t="str">
        <f t="shared" si="92"/>
        <v/>
      </c>
      <c r="CA97" s="19" t="str">
        <f t="shared" si="95"/>
        <v/>
      </c>
      <c r="CB97" s="4">
        <f t="shared" si="75"/>
        <v>0</v>
      </c>
      <c r="CC97" s="3"/>
      <c r="CD97" s="3"/>
      <c r="CE97" s="3"/>
      <c r="CF97" s="3"/>
      <c r="CG97" s="3"/>
      <c r="CH97" s="3"/>
      <c r="CI97" s="3"/>
      <c r="CJ97" s="3"/>
    </row>
    <row r="98" spans="1:88" x14ac:dyDescent="0.25">
      <c r="A98" s="21"/>
      <c r="B98" s="3"/>
      <c r="C98" s="3"/>
      <c r="D98" s="3"/>
      <c r="E98" s="3"/>
      <c r="F98" s="3"/>
      <c r="G98" s="3"/>
      <c r="H98" s="3"/>
      <c r="I98" s="3"/>
      <c r="J98" s="3"/>
      <c r="K98" s="3"/>
      <c r="L98" s="22"/>
      <c r="M98" s="3"/>
      <c r="N98" s="3"/>
      <c r="O98" s="3"/>
      <c r="P98" s="4"/>
      <c r="Q98" s="4"/>
      <c r="R98" s="4"/>
      <c r="S98" s="4"/>
      <c r="T98" s="4"/>
      <c r="U98" s="4"/>
      <c r="V98" s="4"/>
      <c r="W98" s="4"/>
      <c r="X98" s="4"/>
      <c r="Y98" s="4"/>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17">
        <v>95</v>
      </c>
      <c r="BH98" s="18" t="str">
        <f t="shared" si="97"/>
        <v/>
      </c>
      <c r="BI98" s="18" t="str">
        <f t="shared" si="98"/>
        <v/>
      </c>
      <c r="BJ98" s="18" t="str">
        <f t="shared" si="99"/>
        <v/>
      </c>
      <c r="BK98" s="24" t="str">
        <f t="shared" si="100"/>
        <v/>
      </c>
      <c r="BL98" s="18" t="str">
        <f t="shared" si="101"/>
        <v/>
      </c>
      <c r="BM98" s="76" t="str">
        <f t="shared" si="102"/>
        <v/>
      </c>
      <c r="BN98" s="76" t="str">
        <f t="shared" si="103"/>
        <v/>
      </c>
      <c r="BO98" s="19" t="str">
        <f t="shared" si="104"/>
        <v/>
      </c>
      <c r="BP98" s="77" t="str">
        <f>IF(BN98="","",J358)</f>
        <v/>
      </c>
      <c r="BR98" s="15"/>
      <c r="BS98" s="15"/>
      <c r="BT98" s="15"/>
      <c r="BU98" s="15"/>
      <c r="BV98" s="15"/>
      <c r="BW98" s="19" t="str">
        <f t="shared" si="90"/>
        <v/>
      </c>
      <c r="BX98" s="19" t="str">
        <f t="shared" si="91"/>
        <v/>
      </c>
      <c r="BY98" s="19" t="str">
        <f t="shared" si="94"/>
        <v/>
      </c>
      <c r="BZ98" s="19" t="str">
        <f t="shared" si="92"/>
        <v/>
      </c>
      <c r="CA98" s="19" t="str">
        <f t="shared" si="95"/>
        <v/>
      </c>
      <c r="CB98" s="4">
        <f t="shared" si="75"/>
        <v>0</v>
      </c>
      <c r="CC98" s="3"/>
      <c r="CD98" s="3"/>
      <c r="CE98" s="3"/>
      <c r="CF98" s="3"/>
      <c r="CG98" s="3"/>
      <c r="CH98" s="3"/>
      <c r="CI98" s="3"/>
      <c r="CJ98" s="3"/>
    </row>
    <row r="99" spans="1:88" x14ac:dyDescent="0.25">
      <c r="A99" s="21"/>
      <c r="B99" s="3"/>
      <c r="C99" s="3"/>
      <c r="D99" s="3"/>
      <c r="E99" s="3"/>
      <c r="F99" s="3"/>
      <c r="G99" s="3"/>
      <c r="H99" s="3"/>
      <c r="I99" s="3"/>
      <c r="J99" s="3"/>
      <c r="K99" s="3"/>
      <c r="L99" s="78"/>
      <c r="M99" s="3"/>
      <c r="N99" s="3"/>
      <c r="O99" s="3"/>
      <c r="P99" s="4"/>
      <c r="Q99" s="4"/>
      <c r="R99" s="4"/>
      <c r="S99" s="4"/>
      <c r="T99" s="4"/>
      <c r="U99" s="4"/>
      <c r="V99" s="4"/>
      <c r="W99" s="4"/>
      <c r="X99" s="4"/>
      <c r="Y99" s="4"/>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17">
        <v>96</v>
      </c>
      <c r="BH99" s="18" t="str">
        <f t="shared" si="97"/>
        <v/>
      </c>
      <c r="BI99" s="18" t="str">
        <f t="shared" si="98"/>
        <v/>
      </c>
      <c r="BJ99" s="18" t="str">
        <f t="shared" si="99"/>
        <v/>
      </c>
      <c r="BK99" s="24" t="str">
        <f t="shared" si="100"/>
        <v/>
      </c>
      <c r="BL99" s="18" t="str">
        <f t="shared" si="101"/>
        <v/>
      </c>
      <c r="BM99" s="76" t="str">
        <f t="shared" si="102"/>
        <v/>
      </c>
      <c r="BN99" s="76" t="str">
        <f t="shared" si="103"/>
        <v/>
      </c>
      <c r="BO99" s="19" t="str">
        <f t="shared" si="104"/>
        <v/>
      </c>
      <c r="BP99" s="77" t="str">
        <f>IF(BN99="","",J358)</f>
        <v/>
      </c>
      <c r="BR99" s="15"/>
      <c r="BS99" s="15"/>
      <c r="BT99" s="15"/>
      <c r="BU99" s="15"/>
      <c r="BV99" s="15"/>
      <c r="BW99" s="19" t="str">
        <f t="shared" si="90"/>
        <v/>
      </c>
      <c r="BX99" s="19" t="str">
        <f t="shared" si="91"/>
        <v/>
      </c>
      <c r="BY99" s="19" t="str">
        <f t="shared" si="94"/>
        <v/>
      </c>
      <c r="BZ99" s="19" t="str">
        <f t="shared" si="92"/>
        <v/>
      </c>
      <c r="CA99" s="19" t="str">
        <f t="shared" si="95"/>
        <v/>
      </c>
      <c r="CB99" s="4">
        <f t="shared" si="75"/>
        <v>0</v>
      </c>
      <c r="CC99" s="3"/>
      <c r="CD99" s="3"/>
      <c r="CE99" s="3"/>
      <c r="CF99" s="3"/>
      <c r="CG99" s="3"/>
      <c r="CH99" s="3"/>
      <c r="CI99" s="3"/>
      <c r="CJ99" s="3"/>
    </row>
    <row r="100" spans="1:88" x14ac:dyDescent="0.25">
      <c r="A100" s="21"/>
      <c r="B100" s="3"/>
      <c r="C100" s="3"/>
      <c r="D100" s="3"/>
      <c r="E100" s="3"/>
      <c r="F100" s="3"/>
      <c r="G100" s="3"/>
      <c r="H100" s="3"/>
      <c r="I100" s="3"/>
      <c r="J100" s="3"/>
      <c r="K100" s="3"/>
      <c r="L100" s="22"/>
      <c r="M100" s="3"/>
      <c r="N100" s="3"/>
      <c r="O100" s="3"/>
      <c r="P100" s="4"/>
      <c r="Q100" s="4"/>
      <c r="R100" s="4"/>
      <c r="S100" s="4"/>
      <c r="T100" s="4"/>
      <c r="U100" s="4"/>
      <c r="V100" s="4"/>
      <c r="W100" s="4"/>
      <c r="X100" s="4"/>
      <c r="Y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17">
        <v>97</v>
      </c>
      <c r="BH100" s="18" t="str">
        <f t="shared" si="97"/>
        <v/>
      </c>
      <c r="BI100" s="18" t="str">
        <f t="shared" si="98"/>
        <v/>
      </c>
      <c r="BJ100" s="18" t="str">
        <f t="shared" si="99"/>
        <v/>
      </c>
      <c r="BK100" s="24" t="str">
        <f t="shared" si="100"/>
        <v/>
      </c>
      <c r="BL100" s="18" t="str">
        <f t="shared" si="101"/>
        <v/>
      </c>
      <c r="BM100" s="76" t="str">
        <f t="shared" si="102"/>
        <v/>
      </c>
      <c r="BN100" s="76" t="str">
        <f t="shared" si="103"/>
        <v/>
      </c>
      <c r="BO100" s="19" t="str">
        <f t="shared" si="104"/>
        <v/>
      </c>
      <c r="BP100" s="77" t="str">
        <f>IF(BN100="","",J358)</f>
        <v/>
      </c>
      <c r="BR100" s="15"/>
      <c r="BS100" s="15"/>
      <c r="BT100" s="15"/>
      <c r="BU100" s="15"/>
      <c r="BV100" s="15"/>
      <c r="BW100" s="19" t="str">
        <f t="shared" si="90"/>
        <v/>
      </c>
      <c r="BX100" s="19" t="str">
        <f t="shared" si="91"/>
        <v/>
      </c>
      <c r="BY100" s="19" t="str">
        <f t="shared" si="94"/>
        <v/>
      </c>
      <c r="BZ100" s="19" t="str">
        <f t="shared" si="92"/>
        <v/>
      </c>
      <c r="CA100" s="19" t="str">
        <f t="shared" si="95"/>
        <v/>
      </c>
      <c r="CB100" s="4">
        <f t="shared" si="75"/>
        <v>0</v>
      </c>
    </row>
    <row r="101" spans="1:88" x14ac:dyDescent="0.25">
      <c r="A101" s="21"/>
      <c r="B101" s="3"/>
      <c r="C101" s="3"/>
      <c r="D101" s="3"/>
      <c r="E101" s="3"/>
      <c r="F101" s="3"/>
      <c r="G101" s="3"/>
      <c r="H101" s="3"/>
      <c r="I101" s="3"/>
      <c r="J101" s="3"/>
      <c r="K101" s="3"/>
      <c r="L101" s="22"/>
      <c r="M101" s="3"/>
      <c r="N101" s="3"/>
      <c r="O101" s="3"/>
      <c r="P101" s="4"/>
      <c r="Q101" s="4"/>
      <c r="R101" s="4"/>
      <c r="S101" s="4"/>
      <c r="T101" s="4"/>
      <c r="U101" s="4"/>
      <c r="V101" s="4"/>
      <c r="W101" s="4"/>
      <c r="X101" s="4"/>
      <c r="Y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17">
        <v>98</v>
      </c>
      <c r="BH101" s="18" t="str">
        <f t="shared" si="97"/>
        <v/>
      </c>
      <c r="BI101" s="18" t="str">
        <f t="shared" si="98"/>
        <v/>
      </c>
      <c r="BJ101" s="18" t="str">
        <f t="shared" si="99"/>
        <v/>
      </c>
      <c r="BK101" s="24" t="str">
        <f t="shared" si="100"/>
        <v/>
      </c>
      <c r="BL101" s="18" t="str">
        <f t="shared" si="101"/>
        <v/>
      </c>
      <c r="BM101" s="76" t="str">
        <f t="shared" si="102"/>
        <v/>
      </c>
      <c r="BN101" s="76" t="str">
        <f t="shared" si="103"/>
        <v/>
      </c>
      <c r="BO101" s="19" t="str">
        <f t="shared" si="104"/>
        <v/>
      </c>
      <c r="BP101" s="77" t="str">
        <f>IF(BN101="","",J358)</f>
        <v/>
      </c>
      <c r="BW101" s="19" t="str">
        <f t="shared" si="90"/>
        <v/>
      </c>
      <c r="BX101" s="19" t="str">
        <f t="shared" si="91"/>
        <v/>
      </c>
      <c r="BY101" s="19" t="str">
        <f t="shared" si="94"/>
        <v/>
      </c>
      <c r="BZ101" s="19" t="str">
        <f t="shared" si="92"/>
        <v/>
      </c>
      <c r="CA101" s="19" t="str">
        <f t="shared" si="95"/>
        <v/>
      </c>
      <c r="CB101" s="4">
        <f t="shared" si="75"/>
        <v>0</v>
      </c>
    </row>
    <row r="102" spans="1:88" x14ac:dyDescent="0.25">
      <c r="A102" s="21"/>
      <c r="B102" s="3"/>
      <c r="C102" s="3"/>
      <c r="D102" s="3"/>
      <c r="E102" s="3"/>
      <c r="F102" s="3"/>
      <c r="G102" s="3"/>
      <c r="H102" s="3"/>
      <c r="I102" s="3"/>
      <c r="J102" s="3"/>
      <c r="K102" s="3"/>
      <c r="L102" s="22"/>
      <c r="M102" s="3"/>
      <c r="N102" s="3"/>
      <c r="O102" s="3"/>
      <c r="P102" s="4"/>
      <c r="Q102" s="4"/>
      <c r="R102" s="4"/>
      <c r="S102" s="4"/>
      <c r="T102" s="4"/>
      <c r="U102" s="4"/>
      <c r="V102" s="4"/>
      <c r="W102" s="4"/>
      <c r="X102" s="4"/>
      <c r="Y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17">
        <v>99</v>
      </c>
      <c r="BH102" s="18" t="str">
        <f t="shared" si="97"/>
        <v/>
      </c>
      <c r="BI102" s="18" t="str">
        <f t="shared" si="98"/>
        <v/>
      </c>
      <c r="BJ102" s="18" t="str">
        <f t="shared" si="99"/>
        <v/>
      </c>
      <c r="BK102" s="24" t="str">
        <f t="shared" si="100"/>
        <v/>
      </c>
      <c r="BL102" s="18" t="str">
        <f t="shared" si="101"/>
        <v/>
      </c>
      <c r="BM102" s="76" t="str">
        <f t="shared" si="102"/>
        <v/>
      </c>
      <c r="BN102" s="76" t="str">
        <f t="shared" si="103"/>
        <v/>
      </c>
      <c r="BO102" s="19" t="str">
        <f t="shared" si="104"/>
        <v/>
      </c>
      <c r="BP102" s="77" t="str">
        <f>IF(BN102="","",J358)</f>
        <v/>
      </c>
      <c r="BW102" s="19" t="str">
        <f t="shared" si="90"/>
        <v/>
      </c>
      <c r="BX102" s="19" t="str">
        <f t="shared" si="91"/>
        <v/>
      </c>
      <c r="BY102" s="19" t="str">
        <f t="shared" si="94"/>
        <v/>
      </c>
      <c r="BZ102" s="19" t="str">
        <f t="shared" si="92"/>
        <v/>
      </c>
      <c r="CA102" s="19" t="str">
        <f t="shared" si="95"/>
        <v/>
      </c>
      <c r="CB102" s="4">
        <f t="shared" si="75"/>
        <v>0</v>
      </c>
    </row>
    <row r="103" spans="1:88" x14ac:dyDescent="0.25">
      <c r="A103" s="21"/>
      <c r="B103" s="3"/>
      <c r="C103" s="3"/>
      <c r="D103" s="3"/>
      <c r="E103" s="3"/>
      <c r="F103" s="3"/>
      <c r="G103" s="3"/>
      <c r="H103" s="3"/>
      <c r="I103" s="3"/>
      <c r="J103" s="3"/>
      <c r="K103" s="3"/>
      <c r="L103" s="22"/>
      <c r="M103" s="3"/>
      <c r="N103" s="3"/>
      <c r="O103" s="3"/>
      <c r="P103" s="4"/>
      <c r="Q103" s="4"/>
      <c r="R103" s="4"/>
      <c r="S103" s="4"/>
      <c r="T103" s="4"/>
      <c r="U103" s="4"/>
      <c r="V103" s="4"/>
      <c r="W103" s="4"/>
      <c r="X103" s="4"/>
      <c r="Y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17">
        <v>100</v>
      </c>
      <c r="BH103" s="18" t="str">
        <f t="shared" si="97"/>
        <v/>
      </c>
      <c r="BI103" s="18" t="str">
        <f t="shared" si="98"/>
        <v/>
      </c>
      <c r="BJ103" s="18" t="str">
        <f>IF(BI103="","",30)</f>
        <v/>
      </c>
      <c r="BK103" s="24" t="str">
        <f>IF(BI103="","",27)</f>
        <v/>
      </c>
      <c r="BL103" s="18" t="str">
        <f>IF(BI103="","",10.4)</f>
        <v/>
      </c>
      <c r="BM103" s="76" t="str">
        <f t="shared" si="102"/>
        <v/>
      </c>
      <c r="BN103" s="76" t="str">
        <f t="shared" si="103"/>
        <v/>
      </c>
      <c r="BO103" s="19" t="str">
        <f t="shared" si="104"/>
        <v/>
      </c>
      <c r="BP103" s="77" t="str">
        <f>IF(BN103="","",J358)</f>
        <v/>
      </c>
      <c r="BW103" s="19" t="str">
        <f t="shared" si="90"/>
        <v/>
      </c>
      <c r="BX103" s="19" t="str">
        <f t="shared" si="91"/>
        <v/>
      </c>
      <c r="BY103" s="19" t="str">
        <f t="shared" si="94"/>
        <v/>
      </c>
      <c r="BZ103" s="19" t="str">
        <f t="shared" si="92"/>
        <v/>
      </c>
      <c r="CA103" s="19" t="str">
        <f t="shared" si="95"/>
        <v/>
      </c>
      <c r="CB103" s="4">
        <f t="shared" si="75"/>
        <v>0</v>
      </c>
    </row>
    <row r="104" spans="1:88" x14ac:dyDescent="0.25">
      <c r="A104" s="21"/>
      <c r="B104" s="3"/>
      <c r="C104" s="3"/>
      <c r="D104" s="3"/>
      <c r="E104" s="3"/>
      <c r="F104" s="3"/>
      <c r="G104" s="3"/>
      <c r="H104" s="3"/>
      <c r="I104" s="3"/>
      <c r="J104" s="3"/>
      <c r="K104" s="3"/>
      <c r="L104" s="22"/>
      <c r="M104" s="3"/>
      <c r="N104" s="3"/>
      <c r="O104" s="3"/>
      <c r="P104" s="4"/>
      <c r="Q104" s="4"/>
      <c r="R104" s="4"/>
      <c r="S104" s="4"/>
      <c r="T104" s="4"/>
      <c r="U104" s="4"/>
      <c r="V104" s="4"/>
      <c r="W104" s="4"/>
      <c r="X104" s="4"/>
      <c r="Y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17">
        <v>101</v>
      </c>
      <c r="BH104" s="18">
        <f t="shared" ref="BH104:BH113" si="105">IF(BI104="","",2*D84)</f>
        <v>0</v>
      </c>
      <c r="BI104" s="18" t="str">
        <f t="shared" ref="BI104:BI113" si="106">IF(I84="","",IF(I84="VA","TV",IF(I84="VAS","TV",IF(I84="VRA","TV",IF(I84="VR","TV")))))</f>
        <v>TV</v>
      </c>
      <c r="BJ104" s="18">
        <f t="shared" ref="BJ104:BJ113" si="107">IF(I84="","",IF(I84="VA",G84,IF(I84="VAS",G84,IF(I84="VRA",G84+5,IF(I84="VR",G84+5)))))</f>
        <v>10</v>
      </c>
      <c r="BK104" s="24">
        <f t="shared" ref="BK104:BK113" si="108">IF(I84="","",IF(I84="VA",F84,IF(I84="VAS",F84,IF(I84="VRA",F84,IF(I84="VR",F84)))))</f>
        <v>0</v>
      </c>
      <c r="BL104" s="25"/>
      <c r="BM104" s="76" t="str">
        <f t="shared" si="102"/>
        <v/>
      </c>
      <c r="BN104" s="76" t="str">
        <f t="shared" si="103"/>
        <v/>
      </c>
      <c r="BO104" s="19" t="str">
        <f t="shared" si="104"/>
        <v/>
      </c>
      <c r="BP104" s="77" t="str">
        <f>IF(BN104="","",J358)</f>
        <v/>
      </c>
      <c r="CB104" s="4">
        <f t="shared" si="75"/>
        <v>0</v>
      </c>
    </row>
    <row r="105" spans="1:88" x14ac:dyDescent="0.25">
      <c r="A105" s="21"/>
      <c r="B105" s="3"/>
      <c r="C105" s="48"/>
      <c r="D105" s="48"/>
      <c r="E105" s="48"/>
      <c r="F105" s="62"/>
      <c r="G105" s="3"/>
      <c r="H105" s="3"/>
      <c r="I105" s="3"/>
      <c r="J105" s="3"/>
      <c r="K105" s="3"/>
      <c r="L105" s="22"/>
      <c r="M105" s="3"/>
      <c r="N105" s="3"/>
      <c r="O105" s="3"/>
      <c r="P105" s="4"/>
      <c r="Q105" s="4"/>
      <c r="R105" s="4"/>
      <c r="S105" s="4"/>
      <c r="T105" s="4"/>
      <c r="U105" s="4"/>
      <c r="V105" s="4"/>
      <c r="W105" s="4"/>
      <c r="X105" s="4"/>
      <c r="Y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17">
        <v>102</v>
      </c>
      <c r="BH105" s="18">
        <f t="shared" si="105"/>
        <v>0</v>
      </c>
      <c r="BI105" s="18" t="str">
        <f t="shared" si="106"/>
        <v>TV</v>
      </c>
      <c r="BJ105" s="18">
        <f t="shared" si="107"/>
        <v>10</v>
      </c>
      <c r="BK105" s="24">
        <f t="shared" si="108"/>
        <v>0</v>
      </c>
      <c r="BL105" s="25"/>
      <c r="BM105" s="76" t="str">
        <f t="shared" si="102"/>
        <v/>
      </c>
      <c r="BN105" s="76" t="str">
        <f t="shared" si="103"/>
        <v/>
      </c>
      <c r="BO105" s="19" t="str">
        <f t="shared" si="104"/>
        <v/>
      </c>
      <c r="BP105" s="77" t="str">
        <f>IF(BN105="","",J358)</f>
        <v/>
      </c>
      <c r="BR105" s="15"/>
      <c r="BS105" s="15"/>
      <c r="BT105" s="15"/>
      <c r="BU105" s="15"/>
      <c r="BV105" s="15"/>
      <c r="CB105" s="4">
        <f t="shared" si="75"/>
        <v>0</v>
      </c>
      <c r="CC105" s="3"/>
      <c r="CD105" s="3"/>
      <c r="CE105" s="3"/>
      <c r="CF105" s="3"/>
      <c r="CG105" s="3"/>
      <c r="CH105" s="3"/>
      <c r="CI105" s="3"/>
    </row>
    <row r="106" spans="1:88" x14ac:dyDescent="0.25">
      <c r="A106" s="21"/>
      <c r="B106" s="3"/>
      <c r="C106" s="48"/>
      <c r="D106" s="48"/>
      <c r="E106" s="48"/>
      <c r="F106" s="62"/>
      <c r="G106" s="3"/>
      <c r="H106" s="3"/>
      <c r="I106" s="3"/>
      <c r="J106" s="3"/>
      <c r="K106" s="3"/>
      <c r="L106" s="22"/>
      <c r="M106" s="3"/>
      <c r="N106" s="3"/>
      <c r="O106" s="3"/>
      <c r="P106" s="4"/>
      <c r="Q106" s="4"/>
      <c r="R106" s="4"/>
      <c r="S106" s="4"/>
      <c r="T106" s="4"/>
      <c r="U106" s="4"/>
      <c r="V106" s="4"/>
      <c r="W106" s="4"/>
      <c r="X106" s="4"/>
      <c r="Y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17">
        <v>103</v>
      </c>
      <c r="BH106" s="18">
        <f t="shared" si="105"/>
        <v>0</v>
      </c>
      <c r="BI106" s="18" t="str">
        <f t="shared" si="106"/>
        <v>TV</v>
      </c>
      <c r="BJ106" s="18">
        <f t="shared" si="107"/>
        <v>10</v>
      </c>
      <c r="BK106" s="24">
        <f t="shared" si="108"/>
        <v>0</v>
      </c>
      <c r="BL106" s="25"/>
      <c r="BM106" s="76" t="str">
        <f t="shared" si="102"/>
        <v/>
      </c>
      <c r="BN106" s="76" t="str">
        <f t="shared" si="103"/>
        <v/>
      </c>
      <c r="BO106" s="19" t="str">
        <f t="shared" si="104"/>
        <v/>
      </c>
      <c r="BP106" s="77" t="str">
        <f>IF(BN106="","",J358)</f>
        <v/>
      </c>
      <c r="BR106" s="15"/>
      <c r="BS106" s="15"/>
      <c r="BT106" s="15"/>
      <c r="BU106" s="15"/>
      <c r="BV106" s="15"/>
      <c r="CB106" s="4">
        <f t="shared" si="75"/>
        <v>0</v>
      </c>
      <c r="CC106" s="3"/>
      <c r="CD106" s="3"/>
      <c r="CE106" s="3"/>
      <c r="CF106" s="3"/>
      <c r="CG106" s="3"/>
      <c r="CH106" s="3"/>
      <c r="CI106" s="3"/>
    </row>
    <row r="107" spans="1:88" ht="15.6" x14ac:dyDescent="0.3">
      <c r="A107" s="21"/>
      <c r="B107" s="3"/>
      <c r="C107" s="48"/>
      <c r="D107" s="79"/>
      <c r="E107" s="80"/>
      <c r="F107" s="81"/>
      <c r="G107" s="82"/>
      <c r="H107" s="82"/>
      <c r="I107" s="80"/>
      <c r="J107" s="82"/>
      <c r="K107" s="79"/>
      <c r="L107" s="22"/>
      <c r="M107" s="3"/>
      <c r="N107" s="3"/>
      <c r="O107" s="3"/>
      <c r="P107" s="4"/>
      <c r="Q107" s="4"/>
      <c r="R107" s="4"/>
      <c r="S107" s="4"/>
      <c r="T107" s="4"/>
      <c r="U107" s="4"/>
      <c r="V107" s="4"/>
      <c r="W107" s="4"/>
      <c r="X107" s="4"/>
      <c r="Y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17">
        <v>104</v>
      </c>
      <c r="BH107" s="18">
        <f t="shared" si="105"/>
        <v>0</v>
      </c>
      <c r="BI107" s="18" t="str">
        <f t="shared" si="106"/>
        <v>TV</v>
      </c>
      <c r="BJ107" s="18">
        <f t="shared" si="107"/>
        <v>10</v>
      </c>
      <c r="BK107" s="24">
        <f t="shared" si="108"/>
        <v>0</v>
      </c>
      <c r="BL107" s="25"/>
      <c r="BM107" s="76" t="str">
        <f t="shared" si="102"/>
        <v/>
      </c>
      <c r="BN107" s="76" t="str">
        <f t="shared" si="103"/>
        <v/>
      </c>
      <c r="BO107" s="19" t="str">
        <f t="shared" si="104"/>
        <v/>
      </c>
      <c r="BP107" s="77" t="str">
        <f>IF(BN107="","",J358)</f>
        <v/>
      </c>
      <c r="BR107" s="15"/>
      <c r="BS107" s="15"/>
      <c r="BT107" s="15"/>
      <c r="BU107" s="15"/>
      <c r="BV107" s="15"/>
      <c r="CB107" s="4">
        <f t="shared" si="75"/>
        <v>0</v>
      </c>
      <c r="CC107" s="3"/>
      <c r="CD107" s="3"/>
      <c r="CE107" s="3"/>
      <c r="CF107" s="3"/>
      <c r="CG107" s="3"/>
      <c r="CH107" s="3"/>
      <c r="CI107" s="3"/>
    </row>
    <row r="108" spans="1:88" x14ac:dyDescent="0.25">
      <c r="A108" s="21"/>
      <c r="B108" s="83"/>
      <c r="C108" s="84"/>
      <c r="D108" s="48"/>
      <c r="E108" s="48"/>
      <c r="F108" s="62"/>
      <c r="G108" s="85"/>
      <c r="H108" s="85"/>
      <c r="I108" s="85"/>
      <c r="J108" s="3"/>
      <c r="K108" s="3"/>
      <c r="L108" s="22"/>
      <c r="M108" s="3"/>
      <c r="N108" s="3"/>
      <c r="O108" s="3"/>
      <c r="P108" s="4"/>
      <c r="Q108" s="4"/>
      <c r="R108" s="4"/>
      <c r="S108" s="4"/>
      <c r="T108" s="4"/>
      <c r="U108" s="4"/>
      <c r="V108" s="4"/>
      <c r="W108" s="4"/>
      <c r="X108" s="4"/>
      <c r="Y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17">
        <v>105</v>
      </c>
      <c r="BH108" s="18">
        <f t="shared" si="105"/>
        <v>0</v>
      </c>
      <c r="BI108" s="18" t="str">
        <f t="shared" si="106"/>
        <v>TV</v>
      </c>
      <c r="BJ108" s="18">
        <f t="shared" si="107"/>
        <v>10</v>
      </c>
      <c r="BK108" s="24">
        <f t="shared" si="108"/>
        <v>0</v>
      </c>
      <c r="BL108" s="25"/>
      <c r="BM108" s="76" t="str">
        <f t="shared" si="102"/>
        <v/>
      </c>
      <c r="BN108" s="76" t="str">
        <f t="shared" si="103"/>
        <v/>
      </c>
      <c r="BO108" s="19" t="str">
        <f t="shared" si="104"/>
        <v/>
      </c>
      <c r="BP108" s="77" t="str">
        <f>IF(BN108="","",J358)</f>
        <v/>
      </c>
      <c r="BQ108" s="15"/>
      <c r="BR108" s="15"/>
      <c r="BS108" s="15"/>
      <c r="BT108" s="15"/>
      <c r="BU108" s="15"/>
      <c r="BV108" s="15"/>
      <c r="CB108" s="4">
        <f t="shared" si="75"/>
        <v>0</v>
      </c>
      <c r="CC108" s="3"/>
      <c r="CD108" s="3"/>
      <c r="CE108" s="3"/>
      <c r="CF108" s="3"/>
      <c r="CG108" s="3"/>
      <c r="CH108" s="3"/>
      <c r="CI108" s="3"/>
    </row>
    <row r="109" spans="1:88" ht="13.8" thickBot="1" x14ac:dyDescent="0.3">
      <c r="A109" s="21"/>
      <c r="B109" s="3"/>
      <c r="C109" s="48"/>
      <c r="D109" s="48"/>
      <c r="E109" s="48"/>
      <c r="F109" s="62"/>
      <c r="G109" s="3"/>
      <c r="H109" s="3"/>
      <c r="I109" s="85"/>
      <c r="J109" s="3"/>
      <c r="K109" s="3"/>
      <c r="L109" s="22"/>
      <c r="M109" s="3"/>
      <c r="N109" s="3"/>
      <c r="O109" s="3"/>
      <c r="P109" s="4"/>
      <c r="Q109" s="4"/>
      <c r="R109" s="4"/>
      <c r="S109" s="4"/>
      <c r="T109" s="4"/>
      <c r="U109" s="4"/>
      <c r="V109" s="4"/>
      <c r="W109" s="4"/>
      <c r="X109" s="4"/>
      <c r="Y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17">
        <v>106</v>
      </c>
      <c r="BH109" s="18">
        <f t="shared" si="105"/>
        <v>0</v>
      </c>
      <c r="BI109" s="18" t="str">
        <f t="shared" si="106"/>
        <v>TV</v>
      </c>
      <c r="BJ109" s="18">
        <f t="shared" si="107"/>
        <v>10</v>
      </c>
      <c r="BK109" s="24">
        <f t="shared" si="108"/>
        <v>0</v>
      </c>
      <c r="BL109" s="28"/>
      <c r="BM109" s="76" t="str">
        <f t="shared" si="102"/>
        <v/>
      </c>
      <c r="BN109" s="76" t="str">
        <f t="shared" si="103"/>
        <v/>
      </c>
      <c r="BO109" s="19" t="str">
        <f t="shared" si="104"/>
        <v/>
      </c>
      <c r="BP109" s="77" t="str">
        <f>IF(BN109="","",J358)</f>
        <v/>
      </c>
      <c r="BQ109" s="15"/>
      <c r="BR109" s="15"/>
      <c r="BS109" s="15"/>
      <c r="BT109" s="15"/>
      <c r="BU109" s="15"/>
      <c r="BV109" s="15"/>
      <c r="BW109" s="15"/>
      <c r="BX109" s="15"/>
      <c r="BY109" s="15"/>
      <c r="BZ109" s="15"/>
      <c r="CA109" s="15"/>
      <c r="CB109" s="4">
        <f t="shared" si="75"/>
        <v>0</v>
      </c>
      <c r="CC109" s="3"/>
      <c r="CD109" s="3"/>
      <c r="CE109" s="3"/>
      <c r="CF109" s="3"/>
      <c r="CG109" s="3"/>
      <c r="CH109" s="3"/>
      <c r="CI109" s="3"/>
    </row>
    <row r="110" spans="1:88" x14ac:dyDescent="0.25">
      <c r="A110" s="21"/>
      <c r="B110" s="3"/>
      <c r="C110" s="3"/>
      <c r="D110" s="3"/>
      <c r="E110" s="3"/>
      <c r="F110" s="3"/>
      <c r="G110" s="3"/>
      <c r="H110" s="3"/>
      <c r="I110" s="3"/>
      <c r="J110" s="3"/>
      <c r="K110" s="3"/>
      <c r="L110" s="22"/>
      <c r="M110" s="3"/>
      <c r="N110" s="3"/>
      <c r="O110" s="3"/>
      <c r="P110" s="4"/>
      <c r="Q110" s="4"/>
      <c r="R110" s="4"/>
      <c r="S110" s="4"/>
      <c r="T110" s="4"/>
      <c r="U110" s="4"/>
      <c r="V110" s="4"/>
      <c r="W110" s="4"/>
      <c r="X110" s="4"/>
      <c r="Y110" s="4"/>
      <c r="AB110" s="4"/>
      <c r="AC110" s="86" t="s">
        <v>134</v>
      </c>
      <c r="AD110" s="87"/>
      <c r="AE110" s="13"/>
      <c r="AF110" s="13"/>
      <c r="AG110" s="14"/>
      <c r="AH110" s="86" t="s">
        <v>135</v>
      </c>
      <c r="AI110" s="13"/>
      <c r="AJ110" s="13"/>
      <c r="AK110" s="13"/>
      <c r="AL110" s="13"/>
      <c r="AM110" s="14"/>
      <c r="AN110" s="86" t="s">
        <v>136</v>
      </c>
      <c r="AO110" s="13"/>
      <c r="AP110" s="13"/>
      <c r="AQ110" s="13"/>
      <c r="AR110" s="13"/>
      <c r="AS110" s="14"/>
      <c r="AT110" s="86" t="s">
        <v>137</v>
      </c>
      <c r="AU110" s="13"/>
      <c r="AV110" s="13"/>
      <c r="AW110" s="13"/>
      <c r="AX110" s="14"/>
      <c r="AY110" s="4"/>
      <c r="AZ110" s="88" t="s">
        <v>134</v>
      </c>
      <c r="BA110" s="4"/>
      <c r="BB110" s="4"/>
      <c r="BC110" s="4"/>
      <c r="BD110" s="4"/>
      <c r="BE110" s="4"/>
      <c r="BF110" s="4"/>
      <c r="BG110" s="17">
        <v>107</v>
      </c>
      <c r="BH110" s="18">
        <f t="shared" si="105"/>
        <v>0</v>
      </c>
      <c r="BI110" s="18" t="str">
        <f t="shared" si="106"/>
        <v>TV</v>
      </c>
      <c r="BJ110" s="18">
        <f t="shared" si="107"/>
        <v>10</v>
      </c>
      <c r="BK110" s="24">
        <f t="shared" si="108"/>
        <v>0</v>
      </c>
      <c r="BL110" s="25"/>
      <c r="BM110" s="76" t="str">
        <f t="shared" si="102"/>
        <v/>
      </c>
      <c r="BN110" s="76" t="str">
        <f t="shared" si="103"/>
        <v/>
      </c>
      <c r="BO110" s="19" t="str">
        <f t="shared" si="104"/>
        <v/>
      </c>
      <c r="BP110" s="77" t="str">
        <f>IF(BN110="","",J358)</f>
        <v/>
      </c>
      <c r="CB110" s="4">
        <f t="shared" si="75"/>
        <v>0</v>
      </c>
    </row>
    <row r="111" spans="1:88" x14ac:dyDescent="0.25">
      <c r="A111" s="21"/>
      <c r="B111" s="3"/>
      <c r="C111" s="3"/>
      <c r="D111" s="3"/>
      <c r="E111" s="3"/>
      <c r="F111" s="3"/>
      <c r="G111" s="3"/>
      <c r="H111" s="3"/>
      <c r="I111" s="3"/>
      <c r="J111" s="3"/>
      <c r="K111" s="3"/>
      <c r="L111" s="22"/>
      <c r="M111" s="3"/>
      <c r="N111" s="3"/>
      <c r="O111" s="3"/>
      <c r="P111" s="4"/>
      <c r="Q111" s="4"/>
      <c r="R111" s="4"/>
      <c r="S111" s="4"/>
      <c r="T111" s="4"/>
      <c r="U111" s="4"/>
      <c r="V111" s="4"/>
      <c r="W111" s="4"/>
      <c r="X111" s="4"/>
      <c r="Y111" s="4"/>
      <c r="AB111" s="4"/>
      <c r="AC111" s="89" t="s">
        <v>138</v>
      </c>
      <c r="AD111" s="85"/>
      <c r="AE111" s="3"/>
      <c r="AF111" s="3"/>
      <c r="AG111" s="22"/>
      <c r="AH111" s="89" t="s">
        <v>138</v>
      </c>
      <c r="AI111" s="3"/>
      <c r="AJ111" s="3"/>
      <c r="AK111" s="3"/>
      <c r="AL111" s="3"/>
      <c r="AM111" s="22"/>
      <c r="AN111" s="89" t="s">
        <v>138</v>
      </c>
      <c r="AO111" s="3"/>
      <c r="AP111" s="3"/>
      <c r="AQ111" s="3"/>
      <c r="AR111" s="3"/>
      <c r="AS111" s="22"/>
      <c r="AT111" s="90" t="s">
        <v>139</v>
      </c>
      <c r="AU111" s="91" t="e">
        <f>DEGREES(AU114)</f>
        <v>#DIV/0!</v>
      </c>
      <c r="AV111" s="3"/>
      <c r="AW111" s="3"/>
      <c r="AX111" s="22"/>
      <c r="AY111" s="92" t="s">
        <v>124</v>
      </c>
      <c r="AZ111" s="93" t="s">
        <v>140</v>
      </c>
      <c r="BA111" s="94"/>
      <c r="BB111" s="94"/>
      <c r="BC111" s="94"/>
      <c r="BD111" s="94"/>
      <c r="BE111" s="95"/>
      <c r="BF111" s="4"/>
      <c r="BG111" s="17">
        <v>108</v>
      </c>
      <c r="BH111" s="18">
        <f t="shared" si="105"/>
        <v>0</v>
      </c>
      <c r="BI111" s="18" t="str">
        <f t="shared" si="106"/>
        <v>TV</v>
      </c>
      <c r="BJ111" s="18">
        <f t="shared" si="107"/>
        <v>10</v>
      </c>
      <c r="BK111" s="24">
        <f t="shared" si="108"/>
        <v>0</v>
      </c>
      <c r="BL111" s="25"/>
      <c r="BM111" s="76" t="str">
        <f t="shared" si="102"/>
        <v/>
      </c>
      <c r="BN111" s="76" t="str">
        <f t="shared" si="103"/>
        <v/>
      </c>
      <c r="BO111" s="19" t="str">
        <f t="shared" si="104"/>
        <v/>
      </c>
      <c r="BP111" s="77" t="str">
        <f>IF(BN111="","",J358)</f>
        <v/>
      </c>
      <c r="CB111" s="4">
        <f t="shared" si="75"/>
        <v>0</v>
      </c>
    </row>
    <row r="112" spans="1:88" x14ac:dyDescent="0.25">
      <c r="A112" s="21"/>
      <c r="B112" s="3"/>
      <c r="C112" s="3"/>
      <c r="D112" s="3"/>
      <c r="E112" s="3"/>
      <c r="F112" s="3"/>
      <c r="G112" s="3"/>
      <c r="H112" s="3"/>
      <c r="I112" s="3"/>
      <c r="J112" s="3"/>
      <c r="K112" s="3"/>
      <c r="L112" s="22"/>
      <c r="M112" s="3"/>
      <c r="N112" s="3"/>
      <c r="O112" s="3"/>
      <c r="P112" s="4"/>
      <c r="Q112" s="4"/>
      <c r="R112" s="4"/>
      <c r="S112" s="4"/>
      <c r="T112" s="4"/>
      <c r="U112" s="4"/>
      <c r="V112" s="4"/>
      <c r="W112" s="4"/>
      <c r="X112" s="4"/>
      <c r="Y112" s="4"/>
      <c r="AB112" s="4"/>
      <c r="AC112" s="21" t="e">
        <f>IF(F147="","",RADIANS(AE137))</f>
        <v>#DIV/0!</v>
      </c>
      <c r="AD112" s="85"/>
      <c r="AE112" s="3"/>
      <c r="AF112" s="3"/>
      <c r="AG112" s="22"/>
      <c r="AH112" s="21" t="e">
        <f>IF(F147="","",RADIANS(AI138))</f>
        <v>#DIV/0!</v>
      </c>
      <c r="AI112" s="3"/>
      <c r="AJ112" s="3"/>
      <c r="AK112" s="3"/>
      <c r="AL112" s="3"/>
      <c r="AM112" s="22"/>
      <c r="AN112" s="21" t="e">
        <f>RADIANS(AO148)</f>
        <v>#DIV/0!</v>
      </c>
      <c r="AO112" s="3"/>
      <c r="AP112" s="3"/>
      <c r="AQ112" s="3"/>
      <c r="AR112" s="3"/>
      <c r="AS112" s="22"/>
      <c r="AT112" s="96" t="s">
        <v>141</v>
      </c>
      <c r="AU112" s="91">
        <f>F149</f>
        <v>0</v>
      </c>
      <c r="AV112" s="3"/>
      <c r="AW112" s="3"/>
      <c r="AX112" s="22"/>
      <c r="AY112" s="5"/>
      <c r="AZ112" s="97" t="s">
        <v>104</v>
      </c>
      <c r="BA112" s="97" t="s">
        <v>105</v>
      </c>
      <c r="BB112" s="97" t="s">
        <v>106</v>
      </c>
      <c r="BC112" s="97" t="s">
        <v>107</v>
      </c>
      <c r="BD112" s="97" t="s">
        <v>109</v>
      </c>
      <c r="BE112" s="97" t="s">
        <v>108</v>
      </c>
      <c r="BF112" s="4"/>
      <c r="BG112" s="17">
        <v>109</v>
      </c>
      <c r="BH112" s="18">
        <f t="shared" si="105"/>
        <v>0</v>
      </c>
      <c r="BI112" s="18" t="str">
        <f t="shared" si="106"/>
        <v>TV</v>
      </c>
      <c r="BJ112" s="18">
        <f t="shared" si="107"/>
        <v>10</v>
      </c>
      <c r="BK112" s="24">
        <f t="shared" si="108"/>
        <v>0</v>
      </c>
      <c r="BL112" s="25"/>
      <c r="BM112" s="76" t="str">
        <f t="shared" si="102"/>
        <v/>
      </c>
      <c r="BN112" s="76" t="str">
        <f t="shared" si="103"/>
        <v/>
      </c>
      <c r="BO112" s="19" t="str">
        <f t="shared" si="104"/>
        <v/>
      </c>
      <c r="BP112" s="77" t="str">
        <f>IF(BN112="","",J358)</f>
        <v/>
      </c>
      <c r="CB112" s="4">
        <f t="shared" si="75"/>
        <v>0</v>
      </c>
    </row>
    <row r="113" spans="1:80" ht="13.8" thickBot="1" x14ac:dyDescent="0.3">
      <c r="A113" s="38"/>
      <c r="B113" s="39"/>
      <c r="C113" s="39"/>
      <c r="D113" s="39"/>
      <c r="E113" s="39"/>
      <c r="F113" s="39"/>
      <c r="G113" s="39"/>
      <c r="H113" s="39"/>
      <c r="I113" s="39"/>
      <c r="J113" s="39"/>
      <c r="K113" s="39"/>
      <c r="L113" s="40"/>
      <c r="M113" s="3"/>
      <c r="N113" s="3"/>
      <c r="O113" s="3"/>
      <c r="P113" s="4"/>
      <c r="Q113" s="4"/>
      <c r="R113" s="4"/>
      <c r="S113" s="4"/>
      <c r="T113" s="4"/>
      <c r="U113" s="4"/>
      <c r="V113" s="4"/>
      <c r="W113" s="4"/>
      <c r="X113" s="4"/>
      <c r="Y113" s="4"/>
      <c r="AB113" s="4"/>
      <c r="AC113" s="21" t="e">
        <f>IF(F147="","",COS(AC112))</f>
        <v>#DIV/0!</v>
      </c>
      <c r="AD113" s="98"/>
      <c r="AE113" s="98"/>
      <c r="AF113" s="3"/>
      <c r="AG113" s="22"/>
      <c r="AH113" s="21" t="e">
        <f>IF(F147="","",COS(AH112))</f>
        <v>#DIV/0!</v>
      </c>
      <c r="AI113" s="3"/>
      <c r="AJ113" s="3"/>
      <c r="AK113" s="3"/>
      <c r="AL113" s="3"/>
      <c r="AM113" s="22"/>
      <c r="AN113" s="21" t="e">
        <f>COS(AN112)</f>
        <v>#DIV/0!</v>
      </c>
      <c r="AO113" s="3"/>
      <c r="AP113" s="3"/>
      <c r="AQ113" s="3"/>
      <c r="AR113" s="3"/>
      <c r="AS113" s="22"/>
      <c r="AT113" s="96" t="s">
        <v>142</v>
      </c>
      <c r="AU113" s="91">
        <f>F147/3</f>
        <v>0</v>
      </c>
      <c r="AV113" s="3"/>
      <c r="AW113" s="3"/>
      <c r="AX113" s="22"/>
      <c r="AY113" s="5">
        <f>IF(F146="","",F146)</f>
        <v>0</v>
      </c>
      <c r="AZ113" s="99" t="e">
        <f>AC120</f>
        <v>#DIV/0!</v>
      </c>
      <c r="BA113" s="99" t="e">
        <f>AD120</f>
        <v>#DIV/0!</v>
      </c>
      <c r="BB113" s="100">
        <f>AF120</f>
        <v>0</v>
      </c>
      <c r="BC113" s="100">
        <f>AE120</f>
        <v>0</v>
      </c>
      <c r="BD113" s="100"/>
      <c r="BE113" s="100"/>
      <c r="BF113" s="4"/>
      <c r="BG113" s="17">
        <v>110</v>
      </c>
      <c r="BH113" s="18">
        <f t="shared" si="105"/>
        <v>0</v>
      </c>
      <c r="BI113" s="18" t="str">
        <f t="shared" si="106"/>
        <v>TV</v>
      </c>
      <c r="BJ113" s="18">
        <f t="shared" si="107"/>
        <v>10</v>
      </c>
      <c r="BK113" s="24">
        <f t="shared" si="108"/>
        <v>0</v>
      </c>
      <c r="BL113" s="25"/>
      <c r="BM113" s="76" t="str">
        <f t="shared" si="102"/>
        <v/>
      </c>
      <c r="BN113" s="76" t="str">
        <f t="shared" si="103"/>
        <v/>
      </c>
      <c r="BO113" s="19" t="str">
        <f t="shared" si="104"/>
        <v/>
      </c>
      <c r="BP113" s="77" t="str">
        <f>IF(BN113="","",J358)</f>
        <v/>
      </c>
      <c r="CB113" s="4">
        <f t="shared" si="75"/>
        <v>0</v>
      </c>
    </row>
    <row r="114" spans="1:80" x14ac:dyDescent="0.25">
      <c r="B114" s="4"/>
      <c r="C114" s="4"/>
      <c r="D114" s="4"/>
      <c r="E114" s="4"/>
      <c r="F114" s="4"/>
      <c r="G114" s="4"/>
      <c r="H114" s="4"/>
      <c r="I114" s="4"/>
      <c r="J114" s="4"/>
      <c r="K114" s="4"/>
      <c r="L114" s="4"/>
      <c r="M114" s="3"/>
      <c r="N114" s="3"/>
      <c r="O114" s="3"/>
      <c r="P114" s="4"/>
      <c r="Q114" s="4"/>
      <c r="R114" s="4"/>
      <c r="S114" s="4"/>
      <c r="T114" s="4"/>
      <c r="U114" s="4"/>
      <c r="V114" s="4"/>
      <c r="W114" s="4"/>
      <c r="X114" s="4"/>
      <c r="Y114" s="4"/>
      <c r="AC114" s="101" t="e">
        <f>IF(F147="","",F149/AC113)</f>
        <v>#DIV/0!</v>
      </c>
      <c r="AD114" s="102" t="s">
        <v>143</v>
      </c>
      <c r="AE114" s="103"/>
      <c r="AF114" s="15"/>
      <c r="AG114" s="104"/>
      <c r="AH114" s="105" t="e">
        <f>IF(F149="","",F149/AH113)</f>
        <v>#DIV/0!</v>
      </c>
      <c r="AI114" s="15"/>
      <c r="AJ114" s="15"/>
      <c r="AK114" s="15"/>
      <c r="AL114" s="15"/>
      <c r="AM114" s="104"/>
      <c r="AN114" s="105" t="e">
        <f>F149/AN113</f>
        <v>#DIV/0!</v>
      </c>
      <c r="AO114" s="15"/>
      <c r="AP114" s="15"/>
      <c r="AQ114" s="15"/>
      <c r="AR114" s="15"/>
      <c r="AS114" s="104"/>
      <c r="AT114" s="101" t="e">
        <f>AU113/AU112</f>
        <v>#DIV/0!</v>
      </c>
      <c r="AU114" s="50" t="e">
        <f>ATAN(AT114)</f>
        <v>#DIV/0!</v>
      </c>
      <c r="AV114" s="15"/>
      <c r="AW114" s="15"/>
      <c r="AX114" s="104"/>
      <c r="AY114" s="5">
        <f>IF(F146="","",F146)</f>
        <v>0</v>
      </c>
      <c r="AZ114" s="106" t="e">
        <f>AC133</f>
        <v>#DIV/0!</v>
      </c>
      <c r="BA114" s="106" t="str">
        <f>AD133</f>
        <v>FL</v>
      </c>
      <c r="BB114" s="107">
        <f>AE133</f>
        <v>60</v>
      </c>
      <c r="BC114" s="107">
        <f>AF133</f>
        <v>0</v>
      </c>
      <c r="BD114" s="107"/>
      <c r="BE114" s="107"/>
      <c r="BG114" s="17">
        <v>111</v>
      </c>
      <c r="BH114" s="18">
        <f t="shared" ref="BH114:BH123" si="109">IF(I84="","",IF(I84="VA",2*D84,IF(I84="VAS",2*D84,IF(I84="VRA",1*D84,IF(I84="VR",2*D84)))))</f>
        <v>0</v>
      </c>
      <c r="BI114" s="18" t="str">
        <f t="shared" ref="BI114:BI123" si="110">IF(I84="","",IF(I84="VA","TH",IF(I84="VAS","TH",IF(I84="VRA","TH",IF(I84="VR","TH")))))</f>
        <v>TH</v>
      </c>
      <c r="BJ114" s="18">
        <f t="shared" ref="BJ114:BJ123" si="111">IF(I84="","",IF(I84="VA",G84,IF(I84="VAS",G84,IF(I84="VRA",G84+5,IF(I84="VR",G84+5)))))</f>
        <v>10</v>
      </c>
      <c r="BK114" s="24">
        <f t="shared" ref="BK114:BK123" si="112">IF(I84="","",IF(I84="VA",F84-2.4,IF(I84="VAS",F84-2.4,IF(I84="VRA",F84-11,IF(I84="VR",F84-11)))))</f>
        <v>-2.4</v>
      </c>
      <c r="BL114" s="25"/>
      <c r="BM114" s="76" t="str">
        <f t="shared" si="102"/>
        <v/>
      </c>
      <c r="BN114" s="76" t="str">
        <f t="shared" si="103"/>
        <v/>
      </c>
      <c r="BO114" s="19" t="str">
        <f t="shared" si="104"/>
        <v/>
      </c>
      <c r="BP114" s="77" t="str">
        <f>IF(BN114="","",J358)</f>
        <v/>
      </c>
      <c r="CB114" s="4">
        <f t="shared" si="75"/>
        <v>0</v>
      </c>
    </row>
    <row r="115" spans="1:80" x14ac:dyDescent="0.25">
      <c r="B115" s="4"/>
      <c r="C115" s="4"/>
      <c r="D115" s="4"/>
      <c r="E115" s="4"/>
      <c r="F115" s="4"/>
      <c r="G115" s="4"/>
      <c r="H115" s="4"/>
      <c r="I115" s="4"/>
      <c r="J115" s="4"/>
      <c r="K115" s="4"/>
      <c r="L115" s="4"/>
      <c r="M115" s="3"/>
      <c r="N115" s="3"/>
      <c r="O115" s="3"/>
      <c r="P115" s="4"/>
      <c r="Q115" s="4"/>
      <c r="R115" s="4"/>
      <c r="S115" s="4"/>
      <c r="T115" s="4"/>
      <c r="U115" s="4"/>
      <c r="V115" s="4"/>
      <c r="W115" s="4"/>
      <c r="X115" s="4"/>
      <c r="Y115" s="4"/>
      <c r="AC115" s="108" t="s">
        <v>144</v>
      </c>
      <c r="AD115" s="103"/>
      <c r="AE115" s="103"/>
      <c r="AF115" s="15"/>
      <c r="AG115" s="104"/>
      <c r="AH115" s="101" t="e">
        <f>AH114</f>
        <v>#DIV/0!</v>
      </c>
      <c r="AI115" s="50" t="s">
        <v>145</v>
      </c>
      <c r="AJ115" s="15"/>
      <c r="AK115" s="15"/>
      <c r="AL115" s="15"/>
      <c r="AM115" s="104"/>
      <c r="AN115" s="101" t="e">
        <f>AN114</f>
        <v>#DIV/0!</v>
      </c>
      <c r="AO115" s="50" t="s">
        <v>145</v>
      </c>
      <c r="AP115" s="15"/>
      <c r="AQ115" s="15"/>
      <c r="AR115" s="15"/>
      <c r="AS115" s="104"/>
      <c r="AT115" s="105" t="e">
        <f>RADIANS(AU111)</f>
        <v>#DIV/0!</v>
      </c>
      <c r="AU115" s="15"/>
      <c r="AV115" s="15"/>
      <c r="AW115" s="15"/>
      <c r="AX115" s="104"/>
      <c r="AY115" s="5">
        <f>IF(F146="","",F146)</f>
        <v>0</v>
      </c>
      <c r="AZ115" s="106">
        <f>AC135</f>
        <v>2</v>
      </c>
      <c r="BA115" s="106" t="str">
        <f>AD135</f>
        <v>FL</v>
      </c>
      <c r="BB115" s="107">
        <f>AE135</f>
        <v>-20</v>
      </c>
      <c r="BC115" s="107">
        <f>AF135</f>
        <v>0</v>
      </c>
      <c r="BD115" s="107"/>
      <c r="BE115" s="107"/>
      <c r="BG115" s="17">
        <v>112</v>
      </c>
      <c r="BH115" s="18">
        <f t="shared" si="109"/>
        <v>0</v>
      </c>
      <c r="BI115" s="18" t="str">
        <f t="shared" si="110"/>
        <v>TH</v>
      </c>
      <c r="BJ115" s="18">
        <f t="shared" si="111"/>
        <v>10</v>
      </c>
      <c r="BK115" s="24">
        <f t="shared" si="112"/>
        <v>-2.4</v>
      </c>
      <c r="BL115" s="25"/>
      <c r="BM115" s="76" t="str">
        <f t="shared" si="102"/>
        <v/>
      </c>
      <c r="BN115" s="76" t="str">
        <f t="shared" si="103"/>
        <v/>
      </c>
      <c r="BO115" s="19" t="str">
        <f t="shared" si="104"/>
        <v/>
      </c>
      <c r="BP115" s="77" t="str">
        <f>IF(BN115="","",J358)</f>
        <v/>
      </c>
      <c r="CB115" s="4">
        <f t="shared" si="75"/>
        <v>0</v>
      </c>
    </row>
    <row r="116" spans="1:80" x14ac:dyDescent="0.25">
      <c r="B116" s="4"/>
      <c r="C116" s="4"/>
      <c r="D116" s="4"/>
      <c r="E116" s="4"/>
      <c r="F116" s="4"/>
      <c r="G116" s="4"/>
      <c r="H116" s="4"/>
      <c r="I116" s="4"/>
      <c r="J116" s="4"/>
      <c r="K116" s="4"/>
      <c r="L116" s="4"/>
      <c r="M116" s="3"/>
      <c r="N116" s="3"/>
      <c r="O116" s="3"/>
      <c r="P116" s="4"/>
      <c r="Q116" s="4"/>
      <c r="R116" s="4"/>
      <c r="S116" s="4"/>
      <c r="T116" s="4"/>
      <c r="U116" s="4"/>
      <c r="V116" s="4"/>
      <c r="W116" s="4"/>
      <c r="X116" s="4"/>
      <c r="Y116" s="4"/>
      <c r="AC116" s="105">
        <f>IF(F149="","",F149)</f>
        <v>0</v>
      </c>
      <c r="AD116" s="103" t="e">
        <f>IF(F147="","",AD117*AC116/AC117)</f>
        <v>#DIV/0!</v>
      </c>
      <c r="AE116" s="103"/>
      <c r="AF116" s="15"/>
      <c r="AG116" s="104"/>
      <c r="AH116" s="108" t="s">
        <v>144</v>
      </c>
      <c r="AI116" s="15"/>
      <c r="AJ116" s="15"/>
      <c r="AK116" s="15"/>
      <c r="AL116" s="15"/>
      <c r="AM116" s="104"/>
      <c r="AN116" s="105"/>
      <c r="AO116" s="15"/>
      <c r="AP116" s="15"/>
      <c r="AQ116" s="15"/>
      <c r="AR116" s="15"/>
      <c r="AS116" s="104"/>
      <c r="AT116" s="105" t="e">
        <f>COS(AT115)</f>
        <v>#DIV/0!</v>
      </c>
      <c r="AU116" s="15"/>
      <c r="AV116" s="15"/>
      <c r="AW116" s="15"/>
      <c r="AX116" s="104"/>
      <c r="AY116" s="5">
        <f>IF(F146="","",F146)</f>
        <v>0</v>
      </c>
      <c r="AZ116" s="106">
        <f>AC130</f>
        <v>2</v>
      </c>
      <c r="BA116" s="106" t="str">
        <f>AD130</f>
        <v>FLA</v>
      </c>
      <c r="BB116" s="107">
        <f>AE130</f>
        <v>20</v>
      </c>
      <c r="BC116" s="107">
        <f>AF130</f>
        <v>0</v>
      </c>
      <c r="BD116" s="107"/>
      <c r="BE116" s="107">
        <f>AG130</f>
        <v>20</v>
      </c>
      <c r="BG116" s="17">
        <v>113</v>
      </c>
      <c r="BH116" s="18">
        <f t="shared" si="109"/>
        <v>0</v>
      </c>
      <c r="BI116" s="18" t="str">
        <f t="shared" si="110"/>
        <v>TH</v>
      </c>
      <c r="BJ116" s="18">
        <f t="shared" si="111"/>
        <v>10</v>
      </c>
      <c r="BK116" s="24">
        <f t="shared" si="112"/>
        <v>-2.4</v>
      </c>
      <c r="BL116" s="109"/>
      <c r="CB116" s="4">
        <f t="shared" si="75"/>
        <v>0</v>
      </c>
    </row>
    <row r="117" spans="1:80" x14ac:dyDescent="0.25">
      <c r="B117" s="4"/>
      <c r="C117" s="4"/>
      <c r="D117" s="4"/>
      <c r="E117" s="4"/>
      <c r="F117" s="4"/>
      <c r="G117" s="4"/>
      <c r="H117" s="4"/>
      <c r="I117" s="4"/>
      <c r="J117" s="4"/>
      <c r="K117" s="4"/>
      <c r="L117" s="4"/>
      <c r="M117" s="3"/>
      <c r="N117" s="3"/>
      <c r="O117" s="3"/>
      <c r="P117" s="4"/>
      <c r="Q117" s="4"/>
      <c r="R117" s="4"/>
      <c r="S117" s="4"/>
      <c r="T117" s="4"/>
      <c r="U117" s="4"/>
      <c r="V117" s="4"/>
      <c r="W117" s="4"/>
      <c r="X117" s="4"/>
      <c r="Y117" s="4"/>
      <c r="AC117" s="105">
        <f>IF(F147="","",F147)</f>
        <v>0</v>
      </c>
      <c r="AD117" s="103">
        <f>IF(F152="","",F152)</f>
        <v>0</v>
      </c>
      <c r="AE117" s="103"/>
      <c r="AF117" s="15"/>
      <c r="AG117" s="104"/>
      <c r="AH117" s="105">
        <f>AC116</f>
        <v>0</v>
      </c>
      <c r="AI117" s="15" t="e">
        <f>IF(F147="","",(AI118*AH117)/AH118)</f>
        <v>#DIV/0!</v>
      </c>
      <c r="AJ117" s="15"/>
      <c r="AK117" s="15"/>
      <c r="AL117" s="15"/>
      <c r="AM117" s="104"/>
      <c r="AN117" s="108" t="s">
        <v>144</v>
      </c>
      <c r="AO117" s="15"/>
      <c r="AP117" s="15"/>
      <c r="AQ117" s="15"/>
      <c r="AR117" s="15"/>
      <c r="AS117" s="104"/>
      <c r="AT117" s="101" t="e">
        <f>F149/AT116</f>
        <v>#DIV/0!</v>
      </c>
      <c r="AU117" s="50" t="s">
        <v>145</v>
      </c>
      <c r="AV117" s="15"/>
      <c r="AW117" s="15"/>
      <c r="AX117" s="104"/>
      <c r="AY117" s="5">
        <f>IF(F146="","",F146)</f>
        <v>0</v>
      </c>
      <c r="AZ117" s="106" t="e">
        <f>AC128</f>
        <v>#DIV/0!</v>
      </c>
      <c r="BA117" s="106" t="e">
        <f>AD128</f>
        <v>#DIV/0!</v>
      </c>
      <c r="BB117" s="107" t="e">
        <f>AE128</f>
        <v>#DIV/0!</v>
      </c>
      <c r="BC117" s="107" t="e">
        <f>AF128</f>
        <v>#DIV/0!</v>
      </c>
      <c r="BD117" s="107"/>
      <c r="BE117" s="107"/>
      <c r="BG117" s="17">
        <v>114</v>
      </c>
      <c r="BH117" s="18">
        <f t="shared" si="109"/>
        <v>0</v>
      </c>
      <c r="BI117" s="18" t="str">
        <f t="shared" si="110"/>
        <v>TH</v>
      </c>
      <c r="BJ117" s="18">
        <f t="shared" si="111"/>
        <v>10</v>
      </c>
      <c r="BK117" s="24">
        <f t="shared" si="112"/>
        <v>-2.4</v>
      </c>
      <c r="BL117" s="109"/>
      <c r="CB117" s="4">
        <f t="shared" si="75"/>
        <v>0</v>
      </c>
    </row>
    <row r="118" spans="1:80" x14ac:dyDescent="0.25">
      <c r="B118" s="4"/>
      <c r="C118" s="4"/>
      <c r="D118" s="4"/>
      <c r="E118" s="4"/>
      <c r="F118" s="4"/>
      <c r="G118" s="4"/>
      <c r="H118" s="4"/>
      <c r="I118" s="4"/>
      <c r="J118" s="4"/>
      <c r="K118" s="4"/>
      <c r="L118" s="4"/>
      <c r="M118" s="4"/>
      <c r="N118" s="4"/>
      <c r="O118" s="4"/>
      <c r="P118" s="4"/>
      <c r="Q118" s="4"/>
      <c r="R118" s="4"/>
      <c r="S118" s="4"/>
      <c r="T118" s="4"/>
      <c r="U118" s="4"/>
      <c r="V118" s="4"/>
      <c r="W118" s="4"/>
      <c r="X118" s="4"/>
      <c r="Y118" s="4"/>
      <c r="AC118" s="105" t="e">
        <f>IF(F147="","",F147/AD117)</f>
        <v>#DIV/0!</v>
      </c>
      <c r="AD118" s="103"/>
      <c r="AE118" s="103"/>
      <c r="AF118" s="15"/>
      <c r="AG118" s="104"/>
      <c r="AH118" s="105">
        <f>F147/2</f>
        <v>0</v>
      </c>
      <c r="AI118" s="15">
        <f>F152</f>
        <v>0</v>
      </c>
      <c r="AJ118" s="15"/>
      <c r="AK118" s="15"/>
      <c r="AL118" s="15"/>
      <c r="AM118" s="104"/>
      <c r="AN118" s="105">
        <f>F149</f>
        <v>0</v>
      </c>
      <c r="AO118" s="15" t="e">
        <f>(AO119*AN118)/AN119</f>
        <v>#DIV/0!</v>
      </c>
      <c r="AP118" s="15"/>
      <c r="AQ118" s="15"/>
      <c r="AR118" s="15"/>
      <c r="AS118" s="104"/>
      <c r="AT118" s="105"/>
      <c r="AU118" s="15"/>
      <c r="AV118" s="15"/>
      <c r="AW118" s="15"/>
      <c r="AX118" s="104"/>
      <c r="AY118" s="5">
        <f>IF(F146="","",F146)</f>
        <v>0</v>
      </c>
      <c r="BG118" s="17">
        <v>115</v>
      </c>
      <c r="BH118" s="18">
        <f t="shared" si="109"/>
        <v>0</v>
      </c>
      <c r="BI118" s="18" t="str">
        <f t="shared" si="110"/>
        <v>TH</v>
      </c>
      <c r="BJ118" s="18">
        <f t="shared" si="111"/>
        <v>10</v>
      </c>
      <c r="BK118" s="24">
        <f t="shared" si="112"/>
        <v>-2.4</v>
      </c>
      <c r="BL118" s="109"/>
      <c r="CB118" s="4">
        <f t="shared" si="75"/>
        <v>0</v>
      </c>
    </row>
    <row r="119" spans="1:80" x14ac:dyDescent="0.25">
      <c r="B119" s="4"/>
      <c r="C119" s="4"/>
      <c r="D119" s="4"/>
      <c r="E119" s="4"/>
      <c r="F119" s="4"/>
      <c r="G119" s="4"/>
      <c r="H119" s="4"/>
      <c r="I119" s="4"/>
      <c r="J119" s="4"/>
      <c r="K119" s="4"/>
      <c r="L119" s="4"/>
      <c r="M119" s="4"/>
      <c r="N119" s="4"/>
      <c r="O119" s="4"/>
      <c r="P119" s="4"/>
      <c r="Q119" s="4"/>
      <c r="R119" s="4"/>
      <c r="S119" s="4"/>
      <c r="T119" s="4"/>
      <c r="U119" s="4"/>
      <c r="V119" s="4"/>
      <c r="W119" s="4"/>
      <c r="X119" s="4"/>
      <c r="Y119" s="4"/>
      <c r="AC119" s="105" t="e">
        <f>MID(AC118,1,2)</f>
        <v>#DIV/0!</v>
      </c>
      <c r="AD119" s="15"/>
      <c r="AE119" s="103"/>
      <c r="AF119" s="15"/>
      <c r="AG119" s="104"/>
      <c r="AH119" s="105" t="e">
        <f>IF(F147="","",F147/F152)</f>
        <v>#DIV/0!</v>
      </c>
      <c r="AI119" s="15"/>
      <c r="AJ119" s="15"/>
      <c r="AK119" s="15"/>
      <c r="AL119" s="15"/>
      <c r="AM119" s="104"/>
      <c r="AN119" s="105">
        <f>F147/3</f>
        <v>0</v>
      </c>
      <c r="AO119" s="15">
        <f>F152</f>
        <v>0</v>
      </c>
      <c r="AP119" s="15"/>
      <c r="AQ119" s="15"/>
      <c r="AR119" s="15"/>
      <c r="AS119" s="104"/>
      <c r="AT119" s="108" t="s">
        <v>144</v>
      </c>
      <c r="AU119" s="15"/>
      <c r="AV119" s="15"/>
      <c r="AW119" s="15"/>
      <c r="AX119" s="104"/>
      <c r="AY119" s="5">
        <f>IF(F146="","",F146)</f>
        <v>0</v>
      </c>
      <c r="AZ119" s="88" t="s">
        <v>135</v>
      </c>
      <c r="BA119" s="4"/>
      <c r="BB119" s="4"/>
      <c r="BC119" s="4"/>
      <c r="BD119" s="4"/>
      <c r="BE119" s="4"/>
      <c r="BG119" s="17">
        <v>116</v>
      </c>
      <c r="BH119" s="18">
        <f t="shared" si="109"/>
        <v>0</v>
      </c>
      <c r="BI119" s="18" t="str">
        <f t="shared" si="110"/>
        <v>TH</v>
      </c>
      <c r="BJ119" s="18">
        <f t="shared" si="111"/>
        <v>10</v>
      </c>
      <c r="BK119" s="24">
        <f t="shared" si="112"/>
        <v>-2.4</v>
      </c>
      <c r="BL119" s="109"/>
      <c r="CB119" s="4">
        <f t="shared" si="75"/>
        <v>0</v>
      </c>
    </row>
    <row r="120" spans="1:80" x14ac:dyDescent="0.25">
      <c r="B120" s="4"/>
      <c r="C120" s="4"/>
      <c r="D120" s="4"/>
      <c r="E120" s="4"/>
      <c r="F120" s="4"/>
      <c r="G120" s="4"/>
      <c r="H120" s="4"/>
      <c r="I120" s="4"/>
      <c r="J120" s="4"/>
      <c r="K120" s="4"/>
      <c r="L120" s="4"/>
      <c r="M120" s="4"/>
      <c r="N120" s="4"/>
      <c r="O120" s="4"/>
      <c r="P120" s="4"/>
      <c r="Q120" s="4"/>
      <c r="R120" s="4"/>
      <c r="S120" s="4"/>
      <c r="T120" s="4"/>
      <c r="U120" s="4"/>
      <c r="V120" s="4"/>
      <c r="W120" s="4"/>
      <c r="X120" s="4"/>
      <c r="Y120" s="4"/>
      <c r="AC120" s="110" t="e">
        <f>IF(AC119="","",AC119+1)</f>
        <v>#DIV/0!</v>
      </c>
      <c r="AD120" s="102" t="e">
        <f>IF(AC120="","","CP")</f>
        <v>#DIV/0!</v>
      </c>
      <c r="AE120" s="102">
        <f>AD117</f>
        <v>0</v>
      </c>
      <c r="AF120" s="50">
        <f>IF(F151="","",F151)</f>
        <v>0</v>
      </c>
      <c r="AG120" s="104"/>
      <c r="AH120" s="105" t="e">
        <f>MID(AH119,1,2)</f>
        <v>#DIV/0!</v>
      </c>
      <c r="AI120" s="15"/>
      <c r="AJ120" s="15"/>
      <c r="AK120" s="15"/>
      <c r="AL120" s="15"/>
      <c r="AM120" s="104"/>
      <c r="AN120" s="105" t="e">
        <f>AH121</f>
        <v>#DIV/0!</v>
      </c>
      <c r="AO120" s="15" t="e">
        <f>AN120-5</f>
        <v>#DIV/0!</v>
      </c>
      <c r="AP120" s="15"/>
      <c r="AQ120" s="15"/>
      <c r="AR120" s="15"/>
      <c r="AS120" s="104"/>
      <c r="AT120" s="105">
        <f>F149</f>
        <v>0</v>
      </c>
      <c r="AU120" s="15" t="e">
        <f>(AU121*AT120)/AT121</f>
        <v>#DIV/0!</v>
      </c>
      <c r="AV120" s="15"/>
      <c r="AW120" s="15"/>
      <c r="AX120" s="104"/>
      <c r="AY120" s="5">
        <f>IF(F146="","",F146)</f>
        <v>0</v>
      </c>
      <c r="AZ120" s="93" t="s">
        <v>140</v>
      </c>
      <c r="BA120" s="94"/>
      <c r="BB120" s="94"/>
      <c r="BC120" s="94"/>
      <c r="BD120" s="94"/>
      <c r="BE120" s="95"/>
      <c r="BG120" s="17">
        <v>117</v>
      </c>
      <c r="BH120" s="18">
        <f t="shared" si="109"/>
        <v>0</v>
      </c>
      <c r="BI120" s="18" t="str">
        <f t="shared" si="110"/>
        <v>TH</v>
      </c>
      <c r="BJ120" s="18">
        <f t="shared" si="111"/>
        <v>10</v>
      </c>
      <c r="BK120" s="24">
        <f t="shared" si="112"/>
        <v>-2.4</v>
      </c>
      <c r="BL120" s="109"/>
      <c r="CB120" s="4">
        <f t="shared" si="75"/>
        <v>0</v>
      </c>
    </row>
    <row r="121" spans="1:80" x14ac:dyDescent="0.25">
      <c r="B121" s="4"/>
      <c r="C121" s="4"/>
      <c r="D121" s="4"/>
      <c r="E121" s="4"/>
      <c r="F121" s="4"/>
      <c r="G121" s="4"/>
      <c r="H121" s="4"/>
      <c r="I121" s="4"/>
      <c r="J121" s="4"/>
      <c r="K121" s="4"/>
      <c r="L121" s="4"/>
      <c r="M121" s="4"/>
      <c r="N121" s="4"/>
      <c r="O121" s="4"/>
      <c r="P121" s="4"/>
      <c r="Q121" s="4"/>
      <c r="R121" s="4"/>
      <c r="S121" s="4"/>
      <c r="T121" s="4"/>
      <c r="U121" s="4"/>
      <c r="V121" s="4"/>
      <c r="W121" s="4"/>
      <c r="X121" s="4"/>
      <c r="Y121" s="4"/>
      <c r="AC121" s="108" t="s">
        <v>146</v>
      </c>
      <c r="AD121" s="103"/>
      <c r="AE121" s="103"/>
      <c r="AF121" s="15"/>
      <c r="AG121" s="104"/>
      <c r="AH121" s="105" t="e">
        <f>IF(F147="","",AH120+1)</f>
        <v>#DIV/0!</v>
      </c>
      <c r="AI121" s="15" t="e">
        <f>IF(AH121="","","CP")</f>
        <v>#DIV/0!</v>
      </c>
      <c r="AJ121" s="15">
        <f>AE120</f>
        <v>0</v>
      </c>
      <c r="AK121" s="15" t="e">
        <f>IF(AI121="","",AF120/2)</f>
        <v>#DIV/0!</v>
      </c>
      <c r="AL121" s="15"/>
      <c r="AM121" s="104"/>
      <c r="AN121" s="105" t="e">
        <f>AO120</f>
        <v>#DIV/0!</v>
      </c>
      <c r="AO121" s="15" t="s">
        <v>147</v>
      </c>
      <c r="AP121" s="15">
        <f>F152</f>
        <v>0</v>
      </c>
      <c r="AQ121" s="15">
        <f>F151/2</f>
        <v>0</v>
      </c>
      <c r="AR121" s="15"/>
      <c r="AS121" s="104"/>
      <c r="AT121" s="105">
        <f>F147/3</f>
        <v>0</v>
      </c>
      <c r="AU121" s="15">
        <f>F152</f>
        <v>0</v>
      </c>
      <c r="AV121" s="15"/>
      <c r="AW121" s="15"/>
      <c r="AX121" s="104"/>
      <c r="AY121" s="5">
        <f>IF(F146="","",F146)</f>
        <v>0</v>
      </c>
      <c r="AZ121" s="97" t="s">
        <v>104</v>
      </c>
      <c r="BA121" s="97" t="s">
        <v>105</v>
      </c>
      <c r="BB121" s="97" t="s">
        <v>106</v>
      </c>
      <c r="BC121" s="97" t="s">
        <v>107</v>
      </c>
      <c r="BD121" s="97" t="s">
        <v>109</v>
      </c>
      <c r="BE121" s="97" t="s">
        <v>108</v>
      </c>
      <c r="BG121" s="17">
        <v>118</v>
      </c>
      <c r="BH121" s="18">
        <f t="shared" si="109"/>
        <v>0</v>
      </c>
      <c r="BI121" s="18" t="str">
        <f t="shared" si="110"/>
        <v>TH</v>
      </c>
      <c r="BJ121" s="18">
        <f t="shared" si="111"/>
        <v>10</v>
      </c>
      <c r="BK121" s="24">
        <f t="shared" si="112"/>
        <v>-2.4</v>
      </c>
      <c r="BL121" s="109"/>
      <c r="CB121" s="4">
        <f t="shared" si="75"/>
        <v>0</v>
      </c>
    </row>
    <row r="122" spans="1:80" x14ac:dyDescent="0.25">
      <c r="B122" s="4"/>
      <c r="C122" s="4"/>
      <c r="D122" s="4"/>
      <c r="E122" s="4"/>
      <c r="F122" s="4"/>
      <c r="G122" s="4"/>
      <c r="H122" s="4"/>
      <c r="I122" s="4"/>
      <c r="J122" s="4"/>
      <c r="K122" s="4"/>
      <c r="L122" s="4"/>
      <c r="M122" s="4"/>
      <c r="N122" s="4"/>
      <c r="O122" s="4"/>
      <c r="P122" s="4"/>
      <c r="Q122" s="4"/>
      <c r="R122" s="4"/>
      <c r="S122" s="4"/>
      <c r="T122" s="4"/>
      <c r="U122" s="4"/>
      <c r="V122" s="4"/>
      <c r="W122" s="4"/>
      <c r="X122" s="4"/>
      <c r="Y122" s="4"/>
      <c r="AC122" s="105" t="e">
        <f>AC112</f>
        <v>#DIV/0!</v>
      </c>
      <c r="AD122" s="103"/>
      <c r="AE122" s="103" t="e">
        <f>AC113</f>
        <v>#DIV/0!</v>
      </c>
      <c r="AF122" s="15"/>
      <c r="AG122" s="104"/>
      <c r="AH122" s="108" t="s">
        <v>146</v>
      </c>
      <c r="AI122" s="111"/>
      <c r="AJ122" s="15"/>
      <c r="AK122" s="15"/>
      <c r="AL122" s="15"/>
      <c r="AM122" s="104"/>
      <c r="AN122" s="105">
        <v>1</v>
      </c>
      <c r="AO122" s="15" t="s">
        <v>147</v>
      </c>
      <c r="AP122" s="15">
        <f>F152</f>
        <v>0</v>
      </c>
      <c r="AQ122" s="15">
        <f>F150</f>
        <v>0</v>
      </c>
      <c r="AR122" s="15"/>
      <c r="AS122" s="104"/>
      <c r="AT122" s="105" t="e">
        <f>(F147/F152)+1</f>
        <v>#DIV/0!</v>
      </c>
      <c r="AU122" s="15" t="e">
        <f>AT122/3</f>
        <v>#DIV/0!</v>
      </c>
      <c r="AV122" s="15"/>
      <c r="AW122" s="15"/>
      <c r="AX122" s="104"/>
      <c r="AY122" s="5">
        <f>IF(F146="","",F146)</f>
        <v>0</v>
      </c>
      <c r="AZ122" s="91" t="e">
        <f>AH121</f>
        <v>#DIV/0!</v>
      </c>
      <c r="BA122" s="91" t="e">
        <f>AI121</f>
        <v>#DIV/0!</v>
      </c>
      <c r="BB122" s="100" t="e">
        <f>AK121</f>
        <v>#DIV/0!</v>
      </c>
      <c r="BC122" s="100">
        <f>AJ121</f>
        <v>0</v>
      </c>
      <c r="BD122" s="91"/>
      <c r="BE122" s="91"/>
      <c r="BG122" s="17">
        <v>119</v>
      </c>
      <c r="BH122" s="18">
        <f t="shared" si="109"/>
        <v>0</v>
      </c>
      <c r="BI122" s="18" t="str">
        <f t="shared" si="110"/>
        <v>TH</v>
      </c>
      <c r="BJ122" s="18">
        <f t="shared" si="111"/>
        <v>10</v>
      </c>
      <c r="BK122" s="24">
        <f t="shared" si="112"/>
        <v>-2.4</v>
      </c>
      <c r="BL122" s="109"/>
      <c r="CB122" s="4">
        <f t="shared" si="75"/>
        <v>0</v>
      </c>
    </row>
    <row r="123" spans="1:80" x14ac:dyDescent="0.25">
      <c r="B123" s="4"/>
      <c r="C123" s="4"/>
      <c r="D123" s="4"/>
      <c r="E123" s="4"/>
      <c r="F123" s="4"/>
      <c r="G123" s="4"/>
      <c r="H123" s="4"/>
      <c r="I123" s="4"/>
      <c r="J123" s="4"/>
      <c r="K123" s="4"/>
      <c r="L123" s="4"/>
      <c r="M123" s="4"/>
      <c r="N123" s="4"/>
      <c r="O123" s="4"/>
      <c r="P123" s="4"/>
      <c r="Q123" s="4"/>
      <c r="R123" s="4"/>
      <c r="S123" s="4"/>
      <c r="T123" s="4"/>
      <c r="U123" s="4"/>
      <c r="V123" s="4"/>
      <c r="W123" s="4"/>
      <c r="X123" s="4"/>
      <c r="Y123" s="4"/>
      <c r="AC123" s="105" t="e">
        <f>IF(F147="","",SIN(AC122))</f>
        <v>#DIV/0!</v>
      </c>
      <c r="AD123" s="103" t="e">
        <f>AD116</f>
        <v>#DIV/0!</v>
      </c>
      <c r="AE123" s="15">
        <f>IF(F148="","",F148)</f>
        <v>0</v>
      </c>
      <c r="AF123" s="15"/>
      <c r="AG123" s="104"/>
      <c r="AH123" s="105" t="e">
        <f>AH112</f>
        <v>#DIV/0!</v>
      </c>
      <c r="AI123" s="15"/>
      <c r="AJ123" s="15" t="e">
        <f>AH113</f>
        <v>#DIV/0!</v>
      </c>
      <c r="AK123" s="15"/>
      <c r="AL123" s="15"/>
      <c r="AM123" s="104"/>
      <c r="AN123" s="105"/>
      <c r="AO123" s="15"/>
      <c r="AP123" s="15"/>
      <c r="AQ123" s="15"/>
      <c r="AR123" s="15"/>
      <c r="AS123" s="104"/>
      <c r="AT123" s="105" t="e">
        <f>AT122-AU122</f>
        <v>#DIV/0!</v>
      </c>
      <c r="AU123" s="15" t="e">
        <f>MID(AT123,1,2)+1</f>
        <v>#DIV/0!</v>
      </c>
      <c r="AV123" s="15"/>
      <c r="AW123" s="15"/>
      <c r="AX123" s="104"/>
      <c r="AY123" s="5">
        <f>IF(F146="","",F146)</f>
        <v>0</v>
      </c>
      <c r="AZ123" s="112" t="e">
        <f>AH134</f>
        <v>#DIV/0!</v>
      </c>
      <c r="BA123" s="112" t="e">
        <f>AI134</f>
        <v>#DIV/0!</v>
      </c>
      <c r="BB123" s="107">
        <f>AJ134</f>
        <v>60</v>
      </c>
      <c r="BC123" s="107">
        <f>AK134</f>
        <v>0</v>
      </c>
      <c r="BD123" s="112"/>
      <c r="BE123" s="112"/>
      <c r="BG123" s="17">
        <v>120</v>
      </c>
      <c r="BH123" s="18">
        <f t="shared" si="109"/>
        <v>0</v>
      </c>
      <c r="BI123" s="18" t="str">
        <f t="shared" si="110"/>
        <v>TH</v>
      </c>
      <c r="BJ123" s="18">
        <f t="shared" si="111"/>
        <v>10</v>
      </c>
      <c r="BK123" s="24">
        <f t="shared" si="112"/>
        <v>-2.4</v>
      </c>
      <c r="BL123" s="109"/>
      <c r="CB123" s="4">
        <f t="shared" si="75"/>
        <v>0</v>
      </c>
    </row>
    <row r="124" spans="1:80" x14ac:dyDescent="0.25">
      <c r="B124" s="4"/>
      <c r="C124" s="4"/>
      <c r="D124" s="4"/>
      <c r="E124" s="4"/>
      <c r="F124" s="4"/>
      <c r="G124" s="4"/>
      <c r="H124" s="4"/>
      <c r="I124" s="4"/>
      <c r="J124" s="4"/>
      <c r="K124" s="4"/>
      <c r="L124" s="4"/>
      <c r="M124" s="4"/>
      <c r="N124" s="4"/>
      <c r="O124" s="4"/>
      <c r="P124" s="4"/>
      <c r="Q124" s="4"/>
      <c r="R124" s="4"/>
      <c r="S124" s="4"/>
      <c r="T124" s="4"/>
      <c r="U124" s="4"/>
      <c r="V124" s="4"/>
      <c r="W124" s="4"/>
      <c r="X124" s="4"/>
      <c r="Y124" s="4"/>
      <c r="AC124" s="105" t="e">
        <f>IF(F147="","",AC123*AD123)</f>
        <v>#DIV/0!</v>
      </c>
      <c r="AD124" s="111"/>
      <c r="AE124" s="15" t="e">
        <f>IF(F147="","",AE122*AE123)</f>
        <v>#DIV/0!</v>
      </c>
      <c r="AF124" s="15"/>
      <c r="AG124" s="104"/>
      <c r="AH124" s="105" t="e">
        <f>IF(F147="","",SIN(AH123))</f>
        <v>#DIV/0!</v>
      </c>
      <c r="AI124" s="15" t="e">
        <f>AI117</f>
        <v>#DIV/0!</v>
      </c>
      <c r="AJ124" s="15">
        <f>F148</f>
        <v>0</v>
      </c>
      <c r="AK124" s="15"/>
      <c r="AL124" s="15"/>
      <c r="AM124" s="104"/>
      <c r="AN124" s="105">
        <f>(F150/2)*(F150/2)</f>
        <v>0</v>
      </c>
      <c r="AO124" s="15">
        <f>(F151/2)*(F151/2)</f>
        <v>0</v>
      </c>
      <c r="AP124" s="15">
        <f>AN124+AO124</f>
        <v>0</v>
      </c>
      <c r="AQ124" s="15">
        <f>SQRT(AP124)</f>
        <v>0</v>
      </c>
      <c r="AR124" s="15"/>
      <c r="AS124" s="104"/>
      <c r="AT124" s="105" t="e">
        <f>AU123</f>
        <v>#DIV/0!</v>
      </c>
      <c r="AU124" s="15" t="s">
        <v>147</v>
      </c>
      <c r="AV124" s="15">
        <f>F152</f>
        <v>0</v>
      </c>
      <c r="AW124" s="15">
        <f>(F151-F149)/2</f>
        <v>0</v>
      </c>
      <c r="AX124" s="104"/>
      <c r="AY124" s="5">
        <f>IF(F146="","",F146)</f>
        <v>0</v>
      </c>
      <c r="AZ124" s="112">
        <f>IF(F147="","",AH136)</f>
        <v>3</v>
      </c>
      <c r="BA124" s="112" t="str">
        <f>IF(AZ124="","",AI136)</f>
        <v>FL</v>
      </c>
      <c r="BB124" s="107">
        <f>IF(F147="","",AJ136)</f>
        <v>-20</v>
      </c>
      <c r="BC124" s="107">
        <f>IF(AZ124="","",AK136)</f>
        <v>0</v>
      </c>
      <c r="BD124" s="112"/>
      <c r="BE124" s="112"/>
      <c r="BG124" s="17">
        <v>121</v>
      </c>
      <c r="BH124" s="18" t="str">
        <f t="shared" ref="BH124:BH133" si="113">IF(I84="","",IF(I84="VA","",IF(I84="VAS","",IF(I84="VRA",1*D84,IF(I84="VR","")))))</f>
        <v/>
      </c>
      <c r="BI124" s="18" t="str">
        <f t="shared" ref="BI124:BI133" si="114">IF(I84="","",IF(I84="VA","",IF(I84="VAS","",IF(I84="VRA","TH",IF(I84="VR","")))))</f>
        <v/>
      </c>
      <c r="BJ124" s="18" t="str">
        <f t="shared" ref="BJ124:BJ133" si="115">IF(I84="","",IF(I84="VA","",IF(I84="VAS","",IF(I84="VRA",G84,IF(I84="VR","")))))</f>
        <v/>
      </c>
      <c r="BK124" s="24" t="str">
        <f t="shared" ref="BK124:BK133" si="116">IF(I84="","",IF(I84="VA","",IF(I84="VAS","",IF(I84="VRA",F84-11,IF(I84="VR","")))))</f>
        <v/>
      </c>
      <c r="BL124" s="109"/>
      <c r="CB124" s="4">
        <f t="shared" si="75"/>
        <v>0</v>
      </c>
    </row>
    <row r="125" spans="1:80" x14ac:dyDescent="0.25">
      <c r="B125" s="4"/>
      <c r="C125" s="4"/>
      <c r="D125" s="4"/>
      <c r="E125" s="4"/>
      <c r="F125" s="4"/>
      <c r="G125" s="4"/>
      <c r="H125" s="4"/>
      <c r="I125" s="4"/>
      <c r="J125" s="4"/>
      <c r="K125" s="4"/>
      <c r="L125" s="4"/>
      <c r="M125" s="4"/>
      <c r="N125" s="4"/>
      <c r="O125" s="4"/>
      <c r="P125" s="4"/>
      <c r="Q125" s="4"/>
      <c r="R125" s="4"/>
      <c r="S125" s="4"/>
      <c r="T125" s="4"/>
      <c r="U125" s="4"/>
      <c r="V125" s="4"/>
      <c r="W125" s="4"/>
      <c r="X125" s="4"/>
      <c r="Y125" s="4"/>
      <c r="AC125" s="105"/>
      <c r="AD125" s="113" t="e">
        <f>IF(F147="","",AC124+AE124+(5))</f>
        <v>#DIV/0!</v>
      </c>
      <c r="AE125" s="15"/>
      <c r="AF125" s="15"/>
      <c r="AG125" s="104"/>
      <c r="AH125" s="105" t="e">
        <f>AH124*AI124</f>
        <v>#DIV/0!</v>
      </c>
      <c r="AI125" s="15"/>
      <c r="AJ125" s="15" t="e">
        <f>AJ123*AJ124</f>
        <v>#DIV/0!</v>
      </c>
      <c r="AK125" s="15"/>
      <c r="AL125" s="15"/>
      <c r="AM125" s="104"/>
      <c r="AN125" s="105">
        <v>2</v>
      </c>
      <c r="AO125" s="15" t="s">
        <v>147</v>
      </c>
      <c r="AP125" s="15">
        <f>F152</f>
        <v>0</v>
      </c>
      <c r="AQ125" s="15">
        <f>AQ124</f>
        <v>0</v>
      </c>
      <c r="AR125" s="15"/>
      <c r="AS125" s="104"/>
      <c r="AT125" s="105" t="e">
        <f>MID(AU122,1,2)+1</f>
        <v>#DIV/0!</v>
      </c>
      <c r="AU125" s="15" t="s">
        <v>147</v>
      </c>
      <c r="AV125" s="15">
        <v>17.5</v>
      </c>
      <c r="AW125" s="15">
        <f>F150</f>
        <v>0</v>
      </c>
      <c r="AX125" s="104"/>
      <c r="AZ125" s="112">
        <f>IF(F147="","",AH131)</f>
        <v>4</v>
      </c>
      <c r="BA125" s="112" t="str">
        <f>IF(AZ125="","",AI131)</f>
        <v>FLA</v>
      </c>
      <c r="BB125" s="107">
        <f>IF(AZ125="","",AJ131)</f>
        <v>20</v>
      </c>
      <c r="BC125" s="107">
        <f>IF(AZ125="","",AK131)</f>
        <v>0</v>
      </c>
      <c r="BD125" s="112"/>
      <c r="BE125" s="107">
        <f>IF(F147="","",AL131)</f>
        <v>20</v>
      </c>
      <c r="BG125" s="17">
        <v>122</v>
      </c>
      <c r="BH125" s="18" t="str">
        <f t="shared" si="113"/>
        <v/>
      </c>
      <c r="BI125" s="18" t="str">
        <f t="shared" si="114"/>
        <v/>
      </c>
      <c r="BJ125" s="18" t="str">
        <f t="shared" si="115"/>
        <v/>
      </c>
      <c r="BK125" s="24" t="str">
        <f t="shared" si="116"/>
        <v/>
      </c>
      <c r="BL125" s="109"/>
      <c r="CB125" s="4">
        <f t="shared" si="75"/>
        <v>0</v>
      </c>
    </row>
    <row r="126" spans="1:80" x14ac:dyDescent="0.25">
      <c r="B126" s="4"/>
      <c r="C126" s="4"/>
      <c r="D126" s="4"/>
      <c r="E126" s="4"/>
      <c r="F126" s="4"/>
      <c r="G126" s="4"/>
      <c r="H126" s="4"/>
      <c r="I126" s="4"/>
      <c r="J126" s="4"/>
      <c r="K126" s="4"/>
      <c r="L126" s="4"/>
      <c r="M126" s="4"/>
      <c r="N126" s="4"/>
      <c r="O126" s="4"/>
      <c r="P126" s="4"/>
      <c r="Q126" s="4"/>
      <c r="R126" s="4"/>
      <c r="S126" s="4"/>
      <c r="T126" s="4"/>
      <c r="U126" s="4"/>
      <c r="V126" s="4"/>
      <c r="W126" s="4"/>
      <c r="X126" s="4"/>
      <c r="Y126" s="4"/>
      <c r="AC126" s="108" t="s">
        <v>148</v>
      </c>
      <c r="AD126" s="15"/>
      <c r="AE126" s="15"/>
      <c r="AF126" s="15"/>
      <c r="AG126" s="104"/>
      <c r="AH126" s="105"/>
      <c r="AI126" s="113" t="e">
        <f>AH125+AJ125+(5)</f>
        <v>#DIV/0!</v>
      </c>
      <c r="AJ126" s="15"/>
      <c r="AK126" s="15"/>
      <c r="AL126" s="15"/>
      <c r="AM126" s="104"/>
      <c r="AN126" s="105">
        <f>(F151/4)*(F151/4)</f>
        <v>0</v>
      </c>
      <c r="AO126" s="15">
        <f>(F150/2)*(F150/2)</f>
        <v>0</v>
      </c>
      <c r="AP126" s="15">
        <f>AN126+AO126</f>
        <v>0</v>
      </c>
      <c r="AQ126" s="15">
        <f>SQRT(AP126)</f>
        <v>0</v>
      </c>
      <c r="AR126" s="15"/>
      <c r="AS126" s="104"/>
      <c r="AT126" s="108" t="s">
        <v>146</v>
      </c>
      <c r="AU126" s="15"/>
      <c r="AV126" s="15"/>
      <c r="AW126" s="15"/>
      <c r="AX126" s="104"/>
      <c r="AZ126" s="112" t="e">
        <f>IF(F147="","",AH129)</f>
        <v>#DIV/0!</v>
      </c>
      <c r="BA126" s="112" t="e">
        <f>AI129</f>
        <v>#DIV/0!</v>
      </c>
      <c r="BB126" s="107" t="e">
        <f>IF(AZ126="","",AJ129)</f>
        <v>#DIV/0!</v>
      </c>
      <c r="BC126" s="107" t="e">
        <f>AK129</f>
        <v>#DIV/0!</v>
      </c>
      <c r="BD126" s="112"/>
      <c r="BE126" s="112"/>
      <c r="BG126" s="17">
        <v>123</v>
      </c>
      <c r="BH126" s="18" t="str">
        <f t="shared" si="113"/>
        <v/>
      </c>
      <c r="BI126" s="18" t="str">
        <f t="shared" si="114"/>
        <v/>
      </c>
      <c r="BJ126" s="18" t="str">
        <f t="shared" si="115"/>
        <v/>
      </c>
      <c r="BK126" s="24" t="str">
        <f t="shared" si="116"/>
        <v/>
      </c>
      <c r="BL126" s="109"/>
      <c r="CB126" s="4">
        <f t="shared" si="75"/>
        <v>0</v>
      </c>
    </row>
    <row r="127" spans="1:80" x14ac:dyDescent="0.25">
      <c r="B127" s="4"/>
      <c r="C127" s="4"/>
      <c r="D127" s="4"/>
      <c r="E127" s="4"/>
      <c r="F127" s="4"/>
      <c r="G127" s="4"/>
      <c r="H127" s="4"/>
      <c r="I127" s="4"/>
      <c r="J127" s="4"/>
      <c r="K127" s="4"/>
      <c r="L127" s="4"/>
      <c r="M127" s="4"/>
      <c r="N127" s="4"/>
      <c r="O127" s="4"/>
      <c r="P127" s="4"/>
      <c r="Q127" s="4"/>
      <c r="R127" s="4"/>
      <c r="S127" s="4"/>
      <c r="T127" s="4"/>
      <c r="U127" s="4"/>
      <c r="V127" s="4"/>
      <c r="W127" s="4"/>
      <c r="X127" s="4"/>
      <c r="Y127" s="4"/>
      <c r="AC127" s="105" t="e">
        <f>IF(F147="","",IF(AC114&lt;=450,AC114/2,IF(AC114&gt;=450,AC114/3)))</f>
        <v>#DIV/0!</v>
      </c>
      <c r="AD127" s="15"/>
      <c r="AE127" s="15"/>
      <c r="AF127" s="15"/>
      <c r="AG127" s="104"/>
      <c r="AH127" s="108" t="s">
        <v>148</v>
      </c>
      <c r="AI127" s="15"/>
      <c r="AJ127" s="15"/>
      <c r="AK127" s="15"/>
      <c r="AL127" s="15"/>
      <c r="AM127" s="104"/>
      <c r="AN127" s="105">
        <v>2</v>
      </c>
      <c r="AO127" s="15" t="s">
        <v>147</v>
      </c>
      <c r="AP127" s="15">
        <f>F152</f>
        <v>0</v>
      </c>
      <c r="AQ127" s="15">
        <f>AQ126</f>
        <v>0</v>
      </c>
      <c r="AR127" s="15"/>
      <c r="AS127" s="104"/>
      <c r="AT127" s="105" t="e">
        <f>AT115</f>
        <v>#DIV/0!</v>
      </c>
      <c r="AU127" s="15"/>
      <c r="AV127" s="15" t="e">
        <f>AT116</f>
        <v>#DIV/0!</v>
      </c>
      <c r="AW127" s="15"/>
      <c r="AX127" s="104"/>
      <c r="BG127" s="17">
        <v>124</v>
      </c>
      <c r="BH127" s="18" t="str">
        <f t="shared" si="113"/>
        <v/>
      </c>
      <c r="BI127" s="18" t="str">
        <f t="shared" si="114"/>
        <v/>
      </c>
      <c r="BJ127" s="18" t="str">
        <f t="shared" si="115"/>
        <v/>
      </c>
      <c r="BK127" s="24" t="str">
        <f t="shared" si="116"/>
        <v/>
      </c>
      <c r="BL127" s="109"/>
      <c r="CB127" s="4">
        <f t="shared" si="75"/>
        <v>0</v>
      </c>
    </row>
    <row r="128" spans="1:80" x14ac:dyDescent="0.25">
      <c r="B128" s="4"/>
      <c r="C128" s="4"/>
      <c r="D128" s="4"/>
      <c r="E128" s="4"/>
      <c r="F128" s="4"/>
      <c r="G128" s="4"/>
      <c r="H128" s="4"/>
      <c r="I128" s="4"/>
      <c r="J128" s="4"/>
      <c r="K128" s="4"/>
      <c r="L128" s="4"/>
      <c r="M128" s="4"/>
      <c r="N128" s="4"/>
      <c r="O128" s="4"/>
      <c r="P128" s="4"/>
      <c r="Q128" s="4"/>
      <c r="R128" s="4"/>
      <c r="S128" s="4"/>
      <c r="T128" s="4"/>
      <c r="U128" s="4"/>
      <c r="V128" s="4"/>
      <c r="W128" s="4"/>
      <c r="X128" s="4"/>
      <c r="Y128" s="4"/>
      <c r="AC128" s="101" t="e">
        <f>IF(F147="","",IF(AC114&lt;=450,4,IF(AC114&gt;=450,6)))</f>
        <v>#DIV/0!</v>
      </c>
      <c r="AD128" s="50" t="e">
        <f>IF(AC128="","","FLE")</f>
        <v>#DIV/0!</v>
      </c>
      <c r="AE128" s="50" t="e">
        <f>AD125</f>
        <v>#DIV/0!</v>
      </c>
      <c r="AF128" s="50" t="e">
        <f>AC127</f>
        <v>#DIV/0!</v>
      </c>
      <c r="AG128" s="104"/>
      <c r="AH128" s="105" t="e">
        <f>IF(F147="","",IF(AH115&lt;=450,AH115/2,IF(AH115&gt;=450,AH115/3)))</f>
        <v>#DIV/0!</v>
      </c>
      <c r="AI128" s="15"/>
      <c r="AJ128" s="15"/>
      <c r="AK128" s="15"/>
      <c r="AL128" s="15"/>
      <c r="AM128" s="104"/>
      <c r="AN128" s="108" t="s">
        <v>146</v>
      </c>
      <c r="AO128" s="15"/>
      <c r="AP128" s="15"/>
      <c r="AQ128" s="15"/>
      <c r="AR128" s="15"/>
      <c r="AS128" s="104"/>
      <c r="AT128" s="105" t="e">
        <f>SIN(AT127)</f>
        <v>#DIV/0!</v>
      </c>
      <c r="AU128" s="15" t="e">
        <f>AU120</f>
        <v>#DIV/0!</v>
      </c>
      <c r="AV128" s="15">
        <f>F148</f>
        <v>0</v>
      </c>
      <c r="AW128" s="15"/>
      <c r="AX128" s="104"/>
      <c r="AZ128" s="88" t="s">
        <v>136</v>
      </c>
      <c r="BA128" s="4"/>
      <c r="BB128" s="4"/>
      <c r="BC128" s="4"/>
      <c r="BD128" s="4"/>
      <c r="BE128" s="4"/>
      <c r="BG128" s="17">
        <v>125</v>
      </c>
      <c r="BH128" s="18" t="str">
        <f t="shared" si="113"/>
        <v/>
      </c>
      <c r="BI128" s="18" t="str">
        <f t="shared" si="114"/>
        <v/>
      </c>
      <c r="BJ128" s="18" t="str">
        <f t="shared" si="115"/>
        <v/>
      </c>
      <c r="BK128" s="24" t="str">
        <f t="shared" si="116"/>
        <v/>
      </c>
      <c r="BL128" s="109"/>
      <c r="CB128" s="4">
        <f t="shared" si="75"/>
        <v>0</v>
      </c>
    </row>
    <row r="129" spans="1:80" x14ac:dyDescent="0.25">
      <c r="B129" s="4"/>
      <c r="C129" s="4"/>
      <c r="D129" s="4"/>
      <c r="E129" s="4"/>
      <c r="F129" s="4"/>
      <c r="G129" s="4"/>
      <c r="H129" s="4"/>
      <c r="I129" s="4"/>
      <c r="J129" s="4"/>
      <c r="K129" s="4"/>
      <c r="L129" s="4"/>
      <c r="M129" s="4"/>
      <c r="N129" s="4"/>
      <c r="O129" s="4"/>
      <c r="P129" s="4"/>
      <c r="Q129" s="4"/>
      <c r="R129" s="4"/>
      <c r="S129" s="4"/>
      <c r="T129" s="4"/>
      <c r="U129" s="4"/>
      <c r="V129" s="4"/>
      <c r="W129" s="4"/>
      <c r="X129" s="4"/>
      <c r="Y129" s="4"/>
      <c r="AC129" s="108" t="s">
        <v>149</v>
      </c>
      <c r="AD129" s="15"/>
      <c r="AE129" s="15"/>
      <c r="AF129" s="15"/>
      <c r="AG129" s="15"/>
      <c r="AH129" s="50" t="e">
        <f>IF(AH115&lt;=450,4,IF(AH115&gt;=450,8))</f>
        <v>#DIV/0!</v>
      </c>
      <c r="AI129" s="50" t="e">
        <f>AD128</f>
        <v>#DIV/0!</v>
      </c>
      <c r="AJ129" s="50" t="e">
        <f>IF(F147="","",AI126)</f>
        <v>#DIV/0!</v>
      </c>
      <c r="AK129" s="50" t="e">
        <f>AH128</f>
        <v>#DIV/0!</v>
      </c>
      <c r="AL129" s="15"/>
      <c r="AM129" s="104"/>
      <c r="AN129" s="105" t="e">
        <f>AN112</f>
        <v>#DIV/0!</v>
      </c>
      <c r="AO129" s="15"/>
      <c r="AP129" s="15" t="e">
        <f>AN113</f>
        <v>#DIV/0!</v>
      </c>
      <c r="AQ129" s="15"/>
      <c r="AR129" s="15"/>
      <c r="AS129" s="104"/>
      <c r="AT129" s="105" t="e">
        <f>AT128*AU128</f>
        <v>#DIV/0!</v>
      </c>
      <c r="AU129" s="15"/>
      <c r="AV129" s="15" t="e">
        <f>AV127*AV128</f>
        <v>#DIV/0!</v>
      </c>
      <c r="AW129" s="15"/>
      <c r="AX129" s="104"/>
      <c r="AZ129" s="93" t="s">
        <v>140</v>
      </c>
      <c r="BA129" s="94"/>
      <c r="BB129" s="94"/>
      <c r="BC129" s="94"/>
      <c r="BD129" s="94"/>
      <c r="BE129" s="95"/>
      <c r="BG129" s="17">
        <v>126</v>
      </c>
      <c r="BH129" s="18" t="str">
        <f t="shared" si="113"/>
        <v/>
      </c>
      <c r="BI129" s="18" t="str">
        <f t="shared" si="114"/>
        <v/>
      </c>
      <c r="BJ129" s="18" t="str">
        <f t="shared" si="115"/>
        <v/>
      </c>
      <c r="BK129" s="24" t="str">
        <f t="shared" si="116"/>
        <v/>
      </c>
      <c r="BL129" s="109"/>
      <c r="CB129" s="4">
        <f t="shared" si="75"/>
        <v>0</v>
      </c>
    </row>
    <row r="130" spans="1:80" x14ac:dyDescent="0.25">
      <c r="B130" s="4"/>
      <c r="C130" s="4"/>
      <c r="D130" s="4"/>
      <c r="E130" s="4"/>
      <c r="F130" s="4"/>
      <c r="G130" s="4"/>
      <c r="H130" s="4"/>
      <c r="I130" s="4"/>
      <c r="J130" s="4"/>
      <c r="K130" s="4"/>
      <c r="L130" s="4"/>
      <c r="M130" s="4"/>
      <c r="N130" s="4"/>
      <c r="O130" s="4"/>
      <c r="P130" s="4"/>
      <c r="Q130" s="4"/>
      <c r="R130" s="4"/>
      <c r="S130" s="4"/>
      <c r="T130" s="4"/>
      <c r="U130" s="4"/>
      <c r="V130" s="4"/>
      <c r="W130" s="4"/>
      <c r="X130" s="4"/>
      <c r="Y130" s="4"/>
      <c r="AC130" s="101">
        <f>IF(F147="","",2)</f>
        <v>2</v>
      </c>
      <c r="AD130" s="50" t="str">
        <f>IF(F147="","","FLA")</f>
        <v>FLA</v>
      </c>
      <c r="AE130" s="50">
        <f>IF(F147="","",20)</f>
        <v>20</v>
      </c>
      <c r="AF130" s="50">
        <f>IF(F151="","",F151)</f>
        <v>0</v>
      </c>
      <c r="AG130" s="114">
        <f>IF(F147="","",20)</f>
        <v>20</v>
      </c>
      <c r="AH130" s="108" t="s">
        <v>149</v>
      </c>
      <c r="AI130" s="15"/>
      <c r="AJ130" s="15"/>
      <c r="AK130" s="15"/>
      <c r="AL130" s="15"/>
      <c r="AM130" s="104"/>
      <c r="AN130" s="105" t="e">
        <f>SIN(AN129)</f>
        <v>#DIV/0!</v>
      </c>
      <c r="AO130" s="15" t="e">
        <f>AO118</f>
        <v>#DIV/0!</v>
      </c>
      <c r="AP130" s="15">
        <f>F148</f>
        <v>0</v>
      </c>
      <c r="AQ130" s="15"/>
      <c r="AR130" s="15"/>
      <c r="AS130" s="104"/>
      <c r="AT130" s="105"/>
      <c r="AU130" s="113" t="e">
        <f>AT129+AV129+(5)</f>
        <v>#DIV/0!</v>
      </c>
      <c r="AV130" s="15"/>
      <c r="AW130" s="15"/>
      <c r="AX130" s="104"/>
      <c r="AZ130" s="97" t="s">
        <v>104</v>
      </c>
      <c r="BA130" s="97" t="s">
        <v>105</v>
      </c>
      <c r="BB130" s="97" t="s">
        <v>106</v>
      </c>
      <c r="BC130" s="97" t="s">
        <v>107</v>
      </c>
      <c r="BD130" s="97" t="s">
        <v>109</v>
      </c>
      <c r="BE130" s="97" t="s">
        <v>108</v>
      </c>
      <c r="BG130" s="17">
        <v>127</v>
      </c>
      <c r="BH130" s="18" t="str">
        <f t="shared" si="113"/>
        <v/>
      </c>
      <c r="BI130" s="18" t="str">
        <f t="shared" si="114"/>
        <v/>
      </c>
      <c r="BJ130" s="18" t="str">
        <f t="shared" si="115"/>
        <v/>
      </c>
      <c r="BK130" s="24" t="str">
        <f t="shared" si="116"/>
        <v/>
      </c>
      <c r="BL130" s="109"/>
      <c r="CB130" s="4">
        <f t="shared" si="75"/>
        <v>0</v>
      </c>
    </row>
    <row r="131" spans="1:80" x14ac:dyDescent="0.25">
      <c r="B131" s="4"/>
      <c r="C131" s="4"/>
      <c r="D131" s="4"/>
      <c r="E131" s="4"/>
      <c r="F131" s="4"/>
      <c r="G131" s="4"/>
      <c r="H131" s="4"/>
      <c r="I131" s="4"/>
      <c r="J131" s="4"/>
      <c r="K131" s="4"/>
      <c r="L131" s="4"/>
      <c r="M131" s="4"/>
      <c r="N131" s="4"/>
      <c r="O131" s="4"/>
      <c r="P131" s="4"/>
      <c r="Q131" s="4"/>
      <c r="R131" s="4"/>
      <c r="S131" s="4"/>
      <c r="T131" s="4"/>
      <c r="U131" s="4"/>
      <c r="V131" s="4"/>
      <c r="W131" s="4"/>
      <c r="X131" s="4"/>
      <c r="Y131" s="4"/>
      <c r="AC131" s="108" t="s">
        <v>150</v>
      </c>
      <c r="AD131" s="15"/>
      <c r="AE131" s="15"/>
      <c r="AF131" s="15"/>
      <c r="AG131" s="104"/>
      <c r="AH131" s="105">
        <v>4</v>
      </c>
      <c r="AI131" s="15" t="s">
        <v>151</v>
      </c>
      <c r="AJ131" s="15">
        <v>20</v>
      </c>
      <c r="AK131" s="15">
        <f>F151/2</f>
        <v>0</v>
      </c>
      <c r="AL131" s="15">
        <v>20</v>
      </c>
      <c r="AM131" s="104"/>
      <c r="AN131" s="105" t="e">
        <f>AN130*AO130</f>
        <v>#DIV/0!</v>
      </c>
      <c r="AO131" s="15"/>
      <c r="AP131" s="15" t="e">
        <f>AP129*AP130</f>
        <v>#DIV/0!</v>
      </c>
      <c r="AQ131" s="15"/>
      <c r="AR131" s="15"/>
      <c r="AS131" s="104"/>
      <c r="AT131" s="108" t="s">
        <v>148</v>
      </c>
      <c r="AU131" s="15"/>
      <c r="AV131" s="15"/>
      <c r="AW131" s="15"/>
      <c r="AX131" s="104"/>
      <c r="AZ131" s="91" t="e">
        <f>IF(F147="","",AN121)</f>
        <v>#DIV/0!</v>
      </c>
      <c r="BA131" s="91" t="e">
        <f>IF(AZ131="","",AO121)</f>
        <v>#DIV/0!</v>
      </c>
      <c r="BB131" s="100" t="e">
        <f>IF(AZ131="","",AQ121)</f>
        <v>#DIV/0!</v>
      </c>
      <c r="BC131" s="100" t="e">
        <f>IF(AZ131="","",F152)</f>
        <v>#DIV/0!</v>
      </c>
      <c r="BD131" s="100"/>
      <c r="BE131" s="100"/>
      <c r="BG131" s="17">
        <v>128</v>
      </c>
      <c r="BH131" s="18" t="str">
        <f t="shared" si="113"/>
        <v/>
      </c>
      <c r="BI131" s="18" t="str">
        <f t="shared" si="114"/>
        <v/>
      </c>
      <c r="BJ131" s="18" t="str">
        <f t="shared" si="115"/>
        <v/>
      </c>
      <c r="BK131" s="24" t="str">
        <f t="shared" si="116"/>
        <v/>
      </c>
      <c r="BL131" s="109"/>
    </row>
    <row r="132" spans="1:80" x14ac:dyDescent="0.25">
      <c r="B132" s="4"/>
      <c r="C132" s="4"/>
      <c r="D132" s="4"/>
      <c r="E132" s="4"/>
      <c r="F132" s="4"/>
      <c r="G132" s="4"/>
      <c r="H132" s="4"/>
      <c r="I132" s="4"/>
      <c r="J132" s="4"/>
      <c r="K132" s="4"/>
      <c r="L132" s="4"/>
      <c r="M132" s="4"/>
      <c r="N132" s="4"/>
      <c r="O132" s="4"/>
      <c r="P132" s="4"/>
      <c r="Q132" s="4"/>
      <c r="R132" s="4"/>
      <c r="S132" s="4"/>
      <c r="T132" s="4"/>
      <c r="U132" s="4"/>
      <c r="V132" s="4"/>
      <c r="W132" s="4"/>
      <c r="X132" s="4"/>
      <c r="Y132" s="4"/>
      <c r="AC132" s="105" t="e">
        <f>AC114-40</f>
        <v>#DIV/0!</v>
      </c>
      <c r="AD132" s="15">
        <f>IF(F147="","",1)</f>
        <v>1</v>
      </c>
      <c r="AE132" s="15" t="e">
        <f>(AC132/AE133)+AD132</f>
        <v>#DIV/0!</v>
      </c>
      <c r="AF132" s="15" t="e">
        <f>MID(AE132,1,1)</f>
        <v>#DIV/0!</v>
      </c>
      <c r="AG132" s="104" t="e">
        <f>IF(F147="","",AF132*1)</f>
        <v>#DIV/0!</v>
      </c>
      <c r="AH132" s="108" t="s">
        <v>150</v>
      </c>
      <c r="AI132" s="15"/>
      <c r="AJ132" s="15"/>
      <c r="AK132" s="15"/>
      <c r="AL132" s="15"/>
      <c r="AM132" s="104"/>
      <c r="AN132" s="105"/>
      <c r="AO132" s="113" t="e">
        <f>AN131+AP131+(5)</f>
        <v>#DIV/0!</v>
      </c>
      <c r="AP132" s="15"/>
      <c r="AQ132" s="15"/>
      <c r="AR132" s="15"/>
      <c r="AS132" s="104"/>
      <c r="AT132" s="105" t="e">
        <f>IF(AT117&lt;=450,AT117/2,IF(AT117&gt;=450,AT117/3))</f>
        <v>#DIV/0!</v>
      </c>
      <c r="AU132" s="15"/>
      <c r="AV132" s="15"/>
      <c r="AW132" s="15"/>
      <c r="AX132" s="104"/>
      <c r="AZ132" s="112">
        <f>IF(F147="","",AN122)</f>
        <v>1</v>
      </c>
      <c r="BA132" s="112" t="str">
        <f>IF(AZ132="","",AO122)</f>
        <v>CP</v>
      </c>
      <c r="BB132" s="107">
        <f>IF(AZ132="","",AQ122)</f>
        <v>0</v>
      </c>
      <c r="BC132" s="107">
        <f>IF(AZ132="","",F152)</f>
        <v>0</v>
      </c>
      <c r="BD132" s="107"/>
      <c r="BE132" s="107"/>
      <c r="BG132" s="17">
        <v>129</v>
      </c>
      <c r="BH132" s="18" t="str">
        <f t="shared" si="113"/>
        <v/>
      </c>
      <c r="BI132" s="18" t="str">
        <f t="shared" si="114"/>
        <v/>
      </c>
      <c r="BJ132" s="18" t="str">
        <f t="shared" si="115"/>
        <v/>
      </c>
      <c r="BK132" s="24" t="str">
        <f t="shared" si="116"/>
        <v/>
      </c>
      <c r="BL132" s="109"/>
    </row>
    <row r="133" spans="1:80" x14ac:dyDescent="0.25">
      <c r="B133" s="4"/>
      <c r="C133" s="4"/>
      <c r="D133" s="4"/>
      <c r="E133" s="4"/>
      <c r="F133" s="4"/>
      <c r="G133" s="4"/>
      <c r="H133" s="4"/>
      <c r="I133" s="4"/>
      <c r="J133" s="4"/>
      <c r="K133" s="4"/>
      <c r="L133" s="4"/>
      <c r="M133" s="4"/>
      <c r="N133" s="4"/>
      <c r="O133" s="4"/>
      <c r="P133" s="4"/>
      <c r="Q133" s="4"/>
      <c r="R133" s="4"/>
      <c r="S133" s="4"/>
      <c r="T133" s="4"/>
      <c r="U133" s="4"/>
      <c r="V133" s="4"/>
      <c r="W133" s="4"/>
      <c r="X133" s="4"/>
      <c r="Y133" s="4"/>
      <c r="AC133" s="101" t="e">
        <f>AG132</f>
        <v>#DIV/0!</v>
      </c>
      <c r="AD133" s="50" t="str">
        <f>IF(F147="","","FL")</f>
        <v>FL</v>
      </c>
      <c r="AE133" s="50">
        <f>IF(AD133="","",60)</f>
        <v>60</v>
      </c>
      <c r="AF133" s="50">
        <f>IF(F151="","",F151)</f>
        <v>0</v>
      </c>
      <c r="AG133" s="104"/>
      <c r="AH133" s="105" t="e">
        <f>(AH115-40)/60</f>
        <v>#DIV/0!</v>
      </c>
      <c r="AI133" s="15">
        <v>1</v>
      </c>
      <c r="AJ133" s="15" t="e">
        <f>AH133+AI133</f>
        <v>#DIV/0!</v>
      </c>
      <c r="AK133" s="15" t="e">
        <f>MID(AJ133,1,1)</f>
        <v>#DIV/0!</v>
      </c>
      <c r="AL133" s="15" t="e">
        <f>AK133*2</f>
        <v>#DIV/0!</v>
      </c>
      <c r="AM133" s="104"/>
      <c r="AN133" s="108" t="s">
        <v>148</v>
      </c>
      <c r="AO133" s="15"/>
      <c r="AP133" s="15"/>
      <c r="AQ133" s="15"/>
      <c r="AR133" s="15"/>
      <c r="AS133" s="104"/>
      <c r="AT133" s="105" t="e">
        <f>IF(AT117&lt;=450,6,IF(AT117&gt;=450,12))</f>
        <v>#DIV/0!</v>
      </c>
      <c r="AU133" s="15" t="s">
        <v>152</v>
      </c>
      <c r="AV133" s="15" t="e">
        <f>AU130</f>
        <v>#DIV/0!</v>
      </c>
      <c r="AW133" s="15" t="e">
        <f>AT132</f>
        <v>#DIV/0!</v>
      </c>
      <c r="AX133" s="104"/>
      <c r="AZ133" s="112">
        <f>IF(F147="","",AN125)</f>
        <v>2</v>
      </c>
      <c r="BA133" s="112" t="str">
        <f>IF(AZ133="","",AO125)</f>
        <v>CP</v>
      </c>
      <c r="BB133" s="107">
        <f>IF(AZ133="","",AQ125)</f>
        <v>0</v>
      </c>
      <c r="BC133" s="107">
        <f>IF(AZ133="","",F152)</f>
        <v>0</v>
      </c>
      <c r="BD133" s="107"/>
      <c r="BE133" s="107"/>
      <c r="BG133" s="17">
        <v>130</v>
      </c>
      <c r="BH133" s="18" t="str">
        <f t="shared" si="113"/>
        <v/>
      </c>
      <c r="BI133" s="18" t="str">
        <f t="shared" si="114"/>
        <v/>
      </c>
      <c r="BJ133" s="18" t="str">
        <f t="shared" si="115"/>
        <v/>
      </c>
      <c r="BK133" s="24" t="str">
        <f t="shared" si="116"/>
        <v/>
      </c>
      <c r="BL133" s="109"/>
    </row>
    <row r="134" spans="1:80" x14ac:dyDescent="0.25">
      <c r="B134" s="4"/>
      <c r="C134" s="4"/>
      <c r="D134" s="4"/>
      <c r="E134" s="4"/>
      <c r="F134" s="4"/>
      <c r="G134" s="4"/>
      <c r="H134" s="4"/>
      <c r="I134" s="4"/>
      <c r="J134" s="4"/>
      <c r="K134" s="4"/>
      <c r="L134" s="4"/>
      <c r="M134" s="4"/>
      <c r="N134" s="4"/>
      <c r="O134" s="4"/>
      <c r="P134" s="4"/>
      <c r="Q134" s="4"/>
      <c r="R134" s="4"/>
      <c r="S134" s="4"/>
      <c r="T134" s="4"/>
      <c r="U134" s="4"/>
      <c r="V134" s="4"/>
      <c r="W134" s="4"/>
      <c r="X134" s="4"/>
      <c r="Y134" s="4"/>
      <c r="AC134" s="108" t="s">
        <v>153</v>
      </c>
      <c r="AD134" s="15"/>
      <c r="AE134" s="15"/>
      <c r="AF134" s="15"/>
      <c r="AG134" s="15"/>
      <c r="AH134" s="50" t="e">
        <f>IF(F147="","",AL133)</f>
        <v>#DIV/0!</v>
      </c>
      <c r="AI134" s="50" t="e">
        <f>IF(AH134="","","FL")</f>
        <v>#DIV/0!</v>
      </c>
      <c r="AJ134" s="50">
        <f>IF(F147="","",60)</f>
        <v>60</v>
      </c>
      <c r="AK134" s="50">
        <f>IF(F147="","",AK131)</f>
        <v>0</v>
      </c>
      <c r="AL134" s="15"/>
      <c r="AM134" s="104"/>
      <c r="AN134" s="105" t="e">
        <f>IF(AN115&lt;=450,AN115/2,IF(AN115&gt;=450,AN115/3))</f>
        <v>#DIV/0!</v>
      </c>
      <c r="AO134" s="15"/>
      <c r="AP134" s="15"/>
      <c r="AQ134" s="15"/>
      <c r="AR134" s="15"/>
      <c r="AS134" s="104"/>
      <c r="AT134" s="108" t="s">
        <v>149</v>
      </c>
      <c r="AU134" s="15"/>
      <c r="AV134" s="15"/>
      <c r="AW134" s="15"/>
      <c r="AX134" s="104"/>
      <c r="AZ134" s="112">
        <f>IF(F147="","",AN127)</f>
        <v>2</v>
      </c>
      <c r="BA134" s="112" t="str">
        <f>IF(AZ134="","",AO127)</f>
        <v>CP</v>
      </c>
      <c r="BB134" s="107">
        <f>IF(AZ134="","",AQ127)</f>
        <v>0</v>
      </c>
      <c r="BC134" s="107">
        <f>IF(AZ134="","",F152)</f>
        <v>0</v>
      </c>
      <c r="BD134" s="107"/>
      <c r="BE134" s="107"/>
      <c r="BG134" s="17">
        <v>131</v>
      </c>
      <c r="BH134" s="49" t="str">
        <f>IF(BK134="","",(2+(IF(H302&gt;240,2,0))+(IF(F302&gt;60,2,0)))*E302)</f>
        <v/>
      </c>
      <c r="BI134" s="49" t="str">
        <f>IF(BJ134="","","FM")</f>
        <v/>
      </c>
      <c r="BJ134" s="49" t="str">
        <f t="shared" ref="BJ134:BJ140" si="117">IF(F302="","",IF(F302&gt;=61,F302/2,F302))</f>
        <v/>
      </c>
      <c r="BK134" s="115" t="str">
        <f t="shared" ref="BK134:BK140" si="118">IF(H302="","",IF(H302&lt;=240,H302,H302/2))</f>
        <v/>
      </c>
      <c r="BL134" s="116"/>
    </row>
    <row r="135" spans="1:80" x14ac:dyDescent="0.25">
      <c r="B135" s="4"/>
      <c r="C135" s="4"/>
      <c r="D135" s="4"/>
      <c r="E135" s="4"/>
      <c r="F135" s="4"/>
      <c r="G135" s="4"/>
      <c r="H135" s="4"/>
      <c r="I135" s="4"/>
      <c r="J135" s="4"/>
      <c r="K135" s="4"/>
      <c r="L135" s="4"/>
      <c r="M135" s="4"/>
      <c r="N135" s="4"/>
      <c r="O135" s="4"/>
      <c r="P135" s="3"/>
      <c r="Q135" s="3"/>
      <c r="R135" s="3"/>
      <c r="S135" s="4"/>
      <c r="T135" s="4"/>
      <c r="U135" s="4"/>
      <c r="V135" s="4"/>
      <c r="W135" s="4"/>
      <c r="X135" s="4"/>
      <c r="Y135" s="4"/>
      <c r="AC135" s="101">
        <f>IF(F147="","",IF(AC136&gt;90,4,2)*IF(F151&gt;120,2,1))</f>
        <v>2</v>
      </c>
      <c r="AD135" s="50" t="str">
        <f>IF(AC135="","","FL")</f>
        <v>FL</v>
      </c>
      <c r="AE135" s="112">
        <f>IF(F147="","",IF(AC136&gt;90,AC136/2,AC136))</f>
        <v>-20</v>
      </c>
      <c r="AF135" s="50">
        <f>IF(AE135="","",IF(F151&gt;120,F151/2,F151))</f>
        <v>0</v>
      </c>
      <c r="AG135" s="104"/>
      <c r="AH135" s="108" t="s">
        <v>153</v>
      </c>
      <c r="AI135" s="15"/>
      <c r="AJ135" s="15"/>
      <c r="AK135" s="15"/>
      <c r="AL135" s="15"/>
      <c r="AM135" s="104"/>
      <c r="AN135" s="105" t="e">
        <f>IF(AN115&lt;=450,5,IF(AN115&gt;=450,8))</f>
        <v>#DIV/0!</v>
      </c>
      <c r="AO135" s="15" t="s">
        <v>152</v>
      </c>
      <c r="AP135" s="15" t="e">
        <f>AO132</f>
        <v>#DIV/0!</v>
      </c>
      <c r="AQ135" s="15" t="e">
        <f>AN134</f>
        <v>#DIV/0!</v>
      </c>
      <c r="AR135" s="15"/>
      <c r="AS135" s="104"/>
      <c r="AT135" s="105">
        <v>4</v>
      </c>
      <c r="AU135" s="15" t="s">
        <v>151</v>
      </c>
      <c r="AV135" s="15">
        <v>20</v>
      </c>
      <c r="AW135" s="15">
        <f>(F151-F149)/2</f>
        <v>0</v>
      </c>
      <c r="AX135" s="104">
        <v>20</v>
      </c>
      <c r="AZ135" s="112" t="e">
        <f>IF(F147="","",AN140)</f>
        <v>#DIV/0!</v>
      </c>
      <c r="BA135" s="112" t="e">
        <f>IF(AZ135="","",AO140)</f>
        <v>#DIV/0!</v>
      </c>
      <c r="BB135" s="107" t="e">
        <f>IF(AZ135="","",AP140)</f>
        <v>#DIV/0!</v>
      </c>
      <c r="BC135" s="107" t="e">
        <f>IF(AZ135="","",AQ140)</f>
        <v>#DIV/0!</v>
      </c>
      <c r="BD135" s="107"/>
      <c r="BE135" s="107"/>
      <c r="BG135" s="17">
        <v>132</v>
      </c>
      <c r="BH135" s="116" t="str">
        <f t="shared" ref="BH135:BH140" si="119">IF(BK135="","",(2+(IF(H303&gt;240,2,0))+(IF(F303&gt;60,2,0)))*E303)</f>
        <v/>
      </c>
      <c r="BI135" s="116" t="str">
        <f t="shared" ref="BI135:BI140" si="120">IF(BJ135="","","FM")</f>
        <v/>
      </c>
      <c r="BJ135" s="116" t="str">
        <f t="shared" si="117"/>
        <v/>
      </c>
      <c r="BK135" s="117" t="str">
        <f t="shared" si="118"/>
        <v/>
      </c>
      <c r="BL135" s="116"/>
    </row>
    <row r="136" spans="1:80" x14ac:dyDescent="0.25">
      <c r="B136" s="4"/>
      <c r="C136" s="4"/>
      <c r="D136" s="4"/>
      <c r="E136" s="4"/>
      <c r="F136" s="4"/>
      <c r="G136" s="4"/>
      <c r="H136" s="4"/>
      <c r="I136" s="4"/>
      <c r="J136" s="4"/>
      <c r="K136" s="4"/>
      <c r="L136" s="4"/>
      <c r="M136" s="4"/>
      <c r="N136" s="4"/>
      <c r="O136" s="4"/>
      <c r="P136" s="88"/>
      <c r="Q136" s="3"/>
      <c r="R136" s="3"/>
      <c r="S136" s="4"/>
      <c r="T136" s="4"/>
      <c r="U136" s="4"/>
      <c r="V136" s="4"/>
      <c r="W136" s="4"/>
      <c r="X136" s="4"/>
      <c r="Y136" s="4"/>
      <c r="AC136" s="50">
        <f>IF(F147="","",F150-20)</f>
        <v>-20</v>
      </c>
      <c r="AD136" s="15"/>
      <c r="AE136" s="15"/>
      <c r="AF136" s="15"/>
      <c r="AG136" s="15"/>
      <c r="AH136" s="50">
        <f>IF(AH137&gt;90,6,3)*IF(AK134&gt;120,2,1)</f>
        <v>3</v>
      </c>
      <c r="AI136" s="50" t="s">
        <v>154</v>
      </c>
      <c r="AJ136" s="50">
        <f>IF(AH137&gt;90,AH137/2,AH137)</f>
        <v>-20</v>
      </c>
      <c r="AK136" s="50">
        <f>IF(AK134&gt;120,AK134/2,AK134)</f>
        <v>0</v>
      </c>
      <c r="AL136" s="15"/>
      <c r="AM136" s="104"/>
      <c r="AN136" s="108" t="s">
        <v>149</v>
      </c>
      <c r="AO136" s="15"/>
      <c r="AP136" s="15"/>
      <c r="AQ136" s="15"/>
      <c r="AR136" s="15"/>
      <c r="AS136" s="104"/>
      <c r="AT136" s="105">
        <v>2</v>
      </c>
      <c r="AU136" s="15" t="s">
        <v>151</v>
      </c>
      <c r="AV136" s="15">
        <v>20</v>
      </c>
      <c r="AW136" s="15">
        <f>F150</f>
        <v>0</v>
      </c>
      <c r="AX136" s="104">
        <v>20</v>
      </c>
      <c r="AZ136" s="112">
        <f>IF(F147="","",AN142)</f>
        <v>2</v>
      </c>
      <c r="BA136" s="112" t="str">
        <f>IF(AZ136="","",AO142)</f>
        <v>FL</v>
      </c>
      <c r="BB136" s="107">
        <f>IF(AZ136="","",AQ142)</f>
        <v>-20</v>
      </c>
      <c r="BC136" s="107">
        <f>IF(AZ136="","",AP142)</f>
        <v>0</v>
      </c>
      <c r="BD136" s="107"/>
      <c r="BE136" s="107"/>
      <c r="BG136" s="17">
        <v>133</v>
      </c>
      <c r="BH136" s="116" t="str">
        <f t="shared" si="119"/>
        <v/>
      </c>
      <c r="BI136" s="116" t="str">
        <f t="shared" si="120"/>
        <v/>
      </c>
      <c r="BJ136" s="116" t="str">
        <f t="shared" si="117"/>
        <v/>
      </c>
      <c r="BK136" s="117" t="str">
        <f t="shared" si="118"/>
        <v/>
      </c>
      <c r="BL136" s="116"/>
    </row>
    <row r="137" spans="1:80" x14ac:dyDescent="0.25">
      <c r="B137" s="4"/>
      <c r="C137" s="4"/>
      <c r="D137" s="4"/>
      <c r="E137" s="4"/>
      <c r="F137" s="4"/>
      <c r="G137" s="4"/>
      <c r="H137" s="4"/>
      <c r="I137" s="4"/>
      <c r="J137" s="4"/>
      <c r="K137" s="4"/>
      <c r="L137" s="4"/>
      <c r="M137" s="4"/>
      <c r="N137" s="4"/>
      <c r="O137" s="4"/>
      <c r="P137" s="3"/>
      <c r="Q137" s="3"/>
      <c r="R137" s="3"/>
      <c r="S137" s="4"/>
      <c r="T137" s="4"/>
      <c r="U137" s="4"/>
      <c r="V137" s="4"/>
      <c r="W137" s="4"/>
      <c r="X137" s="4"/>
      <c r="Y137" s="4"/>
      <c r="AC137" s="118">
        <f>IF(F147="","",3)</f>
        <v>3</v>
      </c>
      <c r="AD137" s="113" t="s">
        <v>139</v>
      </c>
      <c r="AE137" s="113" t="e">
        <f>IF(F147="","",AE140)</f>
        <v>#DIV/0!</v>
      </c>
      <c r="AF137" s="111"/>
      <c r="AG137" s="104"/>
      <c r="AH137" s="105">
        <f>F150-20</f>
        <v>-20</v>
      </c>
      <c r="AI137" s="15"/>
      <c r="AJ137" s="15"/>
      <c r="AK137" s="15"/>
      <c r="AL137" s="15"/>
      <c r="AM137" s="104"/>
      <c r="AN137" s="105">
        <v>4</v>
      </c>
      <c r="AO137" s="15" t="s">
        <v>151</v>
      </c>
      <c r="AP137" s="15">
        <v>20</v>
      </c>
      <c r="AQ137" s="15">
        <f>F151/2</f>
        <v>0</v>
      </c>
      <c r="AR137" s="15">
        <v>20</v>
      </c>
      <c r="AS137" s="104"/>
      <c r="AT137" s="108" t="s">
        <v>150</v>
      </c>
      <c r="AU137" s="15"/>
      <c r="AV137" s="15"/>
      <c r="AW137" s="15"/>
      <c r="AX137" s="104"/>
      <c r="AZ137" s="112">
        <f>IF(F147="","",AN137)</f>
        <v>4</v>
      </c>
      <c r="BA137" s="112" t="str">
        <f>IF(AZ137="","",AO137)</f>
        <v>FLA</v>
      </c>
      <c r="BB137" s="107">
        <f>IF(AZ137="","",AP137)</f>
        <v>20</v>
      </c>
      <c r="BC137" s="107">
        <f>IF(AZ137="","",AQ137)</f>
        <v>0</v>
      </c>
      <c r="BD137" s="107"/>
      <c r="BE137" s="107">
        <f>IF(AZ137="","",AR137)</f>
        <v>20</v>
      </c>
      <c r="BG137" s="17">
        <v>134</v>
      </c>
      <c r="BH137" s="116" t="str">
        <f t="shared" si="119"/>
        <v/>
      </c>
      <c r="BI137" s="116" t="str">
        <f t="shared" si="120"/>
        <v/>
      </c>
      <c r="BJ137" s="116" t="str">
        <f t="shared" si="117"/>
        <v/>
      </c>
      <c r="BK137" s="117" t="str">
        <f t="shared" si="118"/>
        <v/>
      </c>
      <c r="BL137" s="116"/>
    </row>
    <row r="138" spans="1:80" x14ac:dyDescent="0.25">
      <c r="B138" s="4"/>
      <c r="C138" s="4"/>
      <c r="D138" s="4"/>
      <c r="E138" s="4"/>
      <c r="F138" s="4"/>
      <c r="G138" s="4"/>
      <c r="H138" s="4"/>
      <c r="I138" s="4"/>
      <c r="J138" s="4"/>
      <c r="K138" s="4"/>
      <c r="L138" s="4"/>
      <c r="M138" s="4"/>
      <c r="N138" s="4"/>
      <c r="O138" s="4"/>
      <c r="P138" s="3"/>
      <c r="Q138" s="3"/>
      <c r="R138" s="3"/>
      <c r="S138" s="4"/>
      <c r="T138" s="4"/>
      <c r="U138" s="4"/>
      <c r="V138" s="4"/>
      <c r="W138" s="4"/>
      <c r="X138" s="4"/>
      <c r="Y138" s="4"/>
      <c r="AC138" s="101" t="s">
        <v>141</v>
      </c>
      <c r="AD138" s="50">
        <f>F149</f>
        <v>0</v>
      </c>
      <c r="AE138" s="50"/>
      <c r="AF138" s="15"/>
      <c r="AG138" s="104"/>
      <c r="AH138" s="119" t="s">
        <v>139</v>
      </c>
      <c r="AI138" s="50" t="e">
        <f>AJ141</f>
        <v>#DIV/0!</v>
      </c>
      <c r="AJ138" s="50"/>
      <c r="AK138" s="15"/>
      <c r="AL138" s="15"/>
      <c r="AM138" s="104"/>
      <c r="AN138" s="108" t="s">
        <v>150</v>
      </c>
      <c r="AO138" s="15"/>
      <c r="AP138" s="15"/>
      <c r="AQ138" s="15"/>
      <c r="AR138" s="15"/>
      <c r="AS138" s="104"/>
      <c r="AT138" s="105" t="e">
        <f>AT117-40</f>
        <v>#DIV/0!</v>
      </c>
      <c r="AU138" s="15" t="e">
        <f>(AT138/60)+1</f>
        <v>#DIV/0!</v>
      </c>
      <c r="AV138" s="15" t="e">
        <f>MID(AU138,1,1)</f>
        <v>#DIV/0!</v>
      </c>
      <c r="AW138" s="15" t="e">
        <f>AV138*2</f>
        <v>#DIV/0!</v>
      </c>
      <c r="AX138" s="104"/>
      <c r="AZ138" s="112" t="e">
        <f>IF(F147="","",AN135)</f>
        <v>#DIV/0!</v>
      </c>
      <c r="BA138" s="112" t="e">
        <f>IF(AZ138="","",AO135)</f>
        <v>#DIV/0!</v>
      </c>
      <c r="BB138" s="107" t="e">
        <f>IF(AZ138="","",AP135)</f>
        <v>#DIV/0!</v>
      </c>
      <c r="BC138" s="107" t="e">
        <f>IF(AZ138="","",AQ135)</f>
        <v>#DIV/0!</v>
      </c>
      <c r="BD138" s="107"/>
      <c r="BE138" s="107"/>
      <c r="BG138" s="17">
        <v>135</v>
      </c>
      <c r="BH138" s="116" t="str">
        <f t="shared" si="119"/>
        <v/>
      </c>
      <c r="BI138" s="116" t="str">
        <f t="shared" si="120"/>
        <v/>
      </c>
      <c r="BJ138" s="116" t="str">
        <f t="shared" si="117"/>
        <v/>
      </c>
      <c r="BK138" s="117" t="str">
        <f t="shared" si="118"/>
        <v/>
      </c>
      <c r="BL138" s="116"/>
    </row>
    <row r="139" spans="1:80" x14ac:dyDescent="0.25">
      <c r="B139" s="4"/>
      <c r="C139" s="4"/>
      <c r="D139" s="4"/>
      <c r="E139" s="4"/>
      <c r="F139" s="4"/>
      <c r="G139" s="4"/>
      <c r="H139" s="4"/>
      <c r="I139" s="4"/>
      <c r="J139" s="4"/>
      <c r="K139" s="4"/>
      <c r="L139" s="4"/>
      <c r="M139" s="4"/>
      <c r="N139" s="4"/>
      <c r="O139" s="4"/>
      <c r="P139" s="3"/>
      <c r="Q139" s="3"/>
      <c r="R139" s="3"/>
      <c r="S139" s="4"/>
      <c r="T139" s="4"/>
      <c r="U139" s="4"/>
      <c r="V139" s="4"/>
      <c r="W139" s="4"/>
      <c r="X139" s="4"/>
      <c r="Y139" s="4"/>
      <c r="AC139" s="101" t="s">
        <v>142</v>
      </c>
      <c r="AD139" s="50">
        <f>F147</f>
        <v>0</v>
      </c>
      <c r="AE139" s="50"/>
      <c r="AF139" s="15"/>
      <c r="AG139" s="104"/>
      <c r="AH139" s="101" t="s">
        <v>141</v>
      </c>
      <c r="AI139" s="50">
        <f>F149</f>
        <v>0</v>
      </c>
      <c r="AJ139" s="50"/>
      <c r="AK139" s="15"/>
      <c r="AL139" s="15"/>
      <c r="AM139" s="104"/>
      <c r="AN139" s="105" t="e">
        <f>AN115-40</f>
        <v>#DIV/0!</v>
      </c>
      <c r="AO139" s="15" t="e">
        <f>(AN139/60)+1</f>
        <v>#DIV/0!</v>
      </c>
      <c r="AP139" s="15" t="e">
        <f>MID(AO139,1,1)</f>
        <v>#DIV/0!</v>
      </c>
      <c r="AQ139" s="15" t="e">
        <f>AP139*2</f>
        <v>#DIV/0!</v>
      </c>
      <c r="AR139" s="15"/>
      <c r="AS139" s="104"/>
      <c r="AT139" s="105" t="e">
        <f>AW138</f>
        <v>#DIV/0!</v>
      </c>
      <c r="AU139" s="15" t="s">
        <v>154</v>
      </c>
      <c r="AV139" s="15">
        <v>60</v>
      </c>
      <c r="AW139" s="15">
        <f>(F151-F149)/2</f>
        <v>0</v>
      </c>
      <c r="AX139" s="104"/>
      <c r="AZ139" s="112">
        <f>IF(F147="","",AN145)</f>
        <v>2</v>
      </c>
      <c r="BA139" s="112" t="str">
        <f>IF(AZ139="","",AO145)</f>
        <v>FLA</v>
      </c>
      <c r="BB139" s="107">
        <f>IF(AZ139="","",AR145)</f>
        <v>0</v>
      </c>
      <c r="BC139" s="107">
        <f>IF(AZ139="","",AQ145)</f>
        <v>0</v>
      </c>
      <c r="BD139" s="107"/>
      <c r="BE139" s="107">
        <f>IF(AZ139="","",AP145)</f>
        <v>0</v>
      </c>
      <c r="BG139" s="17">
        <v>136</v>
      </c>
      <c r="BH139" s="116" t="str">
        <f t="shared" si="119"/>
        <v/>
      </c>
      <c r="BI139" s="116" t="str">
        <f t="shared" si="120"/>
        <v/>
      </c>
      <c r="BJ139" s="116" t="str">
        <f t="shared" si="117"/>
        <v/>
      </c>
      <c r="BK139" s="117" t="str">
        <f t="shared" si="118"/>
        <v/>
      </c>
      <c r="BL139" s="116"/>
    </row>
    <row r="140" spans="1:80" x14ac:dyDescent="0.25">
      <c r="B140" s="4"/>
      <c r="C140" s="4"/>
      <c r="D140" s="4"/>
      <c r="E140" s="4"/>
      <c r="F140" s="4"/>
      <c r="G140" s="4"/>
      <c r="H140" s="4"/>
      <c r="I140" s="4"/>
      <c r="J140" s="4"/>
      <c r="K140" s="4"/>
      <c r="L140" s="4"/>
      <c r="M140" s="4"/>
      <c r="N140" s="4"/>
      <c r="O140" s="4"/>
      <c r="P140" s="3"/>
      <c r="Q140" s="3"/>
      <c r="R140" s="3"/>
      <c r="S140" s="4"/>
      <c r="T140" s="4"/>
      <c r="U140" s="4"/>
      <c r="V140" s="4"/>
      <c r="W140" s="4"/>
      <c r="X140" s="4"/>
      <c r="Y140" s="4"/>
      <c r="AC140" s="101" t="e">
        <f>IF(F147="","",AD139/AD138)</f>
        <v>#DIV/0!</v>
      </c>
      <c r="AD140" s="50" t="e">
        <f>IF(F147="","",ATAN(AC140))</f>
        <v>#DIV/0!</v>
      </c>
      <c r="AE140" s="50" t="e">
        <f>IF(F147="","",DEGREES(AD140))</f>
        <v>#DIV/0!</v>
      </c>
      <c r="AF140" s="15"/>
      <c r="AG140" s="104"/>
      <c r="AH140" s="101" t="s">
        <v>142</v>
      </c>
      <c r="AI140" s="50">
        <f>F147/2</f>
        <v>0</v>
      </c>
      <c r="AJ140" s="50"/>
      <c r="AK140" s="15"/>
      <c r="AL140" s="15"/>
      <c r="AM140" s="15"/>
      <c r="AN140" s="50" t="e">
        <f>AQ139</f>
        <v>#DIV/0!</v>
      </c>
      <c r="AO140" s="50" t="s">
        <v>154</v>
      </c>
      <c r="AP140" s="50">
        <v>60</v>
      </c>
      <c r="AQ140" s="50">
        <f>F151/2</f>
        <v>0</v>
      </c>
      <c r="AR140" s="15"/>
      <c r="AS140" s="104"/>
      <c r="AT140" s="105" t="e">
        <f>AT138</f>
        <v>#DIV/0!</v>
      </c>
      <c r="AU140" s="15" t="e">
        <f>(AT140/60)+1</f>
        <v>#DIV/0!</v>
      </c>
      <c r="AV140" s="15" t="e">
        <f>MID(AU140,1,1)</f>
        <v>#DIV/0!</v>
      </c>
      <c r="AW140" s="15" t="e">
        <f>AV140*1</f>
        <v>#DIV/0!</v>
      </c>
      <c r="AX140" s="104"/>
      <c r="AZ140" s="112">
        <f>IF(F147="","",AN146)</f>
        <v>2</v>
      </c>
      <c r="BA140" s="112" t="str">
        <f>IF(AZ140="","",AO146)</f>
        <v>FLA</v>
      </c>
      <c r="BB140" s="107">
        <f>IF(AZ140="","",AR146)</f>
        <v>0</v>
      </c>
      <c r="BC140" s="107">
        <f>IF(AZ140="","",AQ146)</f>
        <v>0</v>
      </c>
      <c r="BD140" s="107"/>
      <c r="BE140" s="107">
        <f>IF(AZ140="","",AP146)</f>
        <v>0</v>
      </c>
      <c r="BG140" s="17">
        <v>137</v>
      </c>
      <c r="BH140" s="116" t="str">
        <f t="shared" si="119"/>
        <v/>
      </c>
      <c r="BI140" s="116" t="str">
        <f t="shared" si="120"/>
        <v/>
      </c>
      <c r="BJ140" s="116" t="str">
        <f t="shared" si="117"/>
        <v/>
      </c>
      <c r="BK140" s="117" t="str">
        <f t="shared" si="118"/>
        <v/>
      </c>
      <c r="BL140" s="116"/>
    </row>
    <row r="141" spans="1:80" ht="13.8" thickBot="1" x14ac:dyDescent="0.3">
      <c r="B141" s="4"/>
      <c r="C141" s="4"/>
      <c r="D141" s="4"/>
      <c r="E141" s="4"/>
      <c r="F141" s="4"/>
      <c r="G141" s="4"/>
      <c r="H141" s="4"/>
      <c r="I141" s="4"/>
      <c r="J141" s="4"/>
      <c r="K141" s="4"/>
      <c r="L141" s="4"/>
      <c r="M141" s="4"/>
      <c r="N141" s="4"/>
      <c r="O141" s="4"/>
      <c r="P141" s="3"/>
      <c r="Q141" s="3"/>
      <c r="R141" s="3"/>
      <c r="S141" s="4"/>
      <c r="T141" s="4"/>
      <c r="U141" s="4"/>
      <c r="V141" s="4"/>
      <c r="W141" s="4"/>
      <c r="X141" s="4"/>
      <c r="Y141" s="4"/>
      <c r="AC141" s="105"/>
      <c r="AD141" s="15"/>
      <c r="AE141" s="15"/>
      <c r="AF141" s="15"/>
      <c r="AG141" s="104"/>
      <c r="AH141" s="101" t="e">
        <f>AI140/AI139</f>
        <v>#DIV/0!</v>
      </c>
      <c r="AI141" s="50" t="e">
        <f>ATAN(AH141)</f>
        <v>#DIV/0!</v>
      </c>
      <c r="AJ141" s="50" t="e">
        <f>DEGREES(AI141)</f>
        <v>#DIV/0!</v>
      </c>
      <c r="AK141" s="15"/>
      <c r="AL141" s="15"/>
      <c r="AM141" s="104"/>
      <c r="AN141" s="108" t="s">
        <v>153</v>
      </c>
      <c r="AO141" s="15"/>
      <c r="AP141" s="15"/>
      <c r="AQ141" s="15"/>
      <c r="AR141" s="15"/>
      <c r="AS141" s="104"/>
      <c r="AT141" s="105" t="e">
        <f>AW140</f>
        <v>#DIV/0!</v>
      </c>
      <c r="AU141" s="15" t="s">
        <v>154</v>
      </c>
      <c r="AV141" s="15">
        <v>60</v>
      </c>
      <c r="AW141" s="15">
        <f>F150</f>
        <v>0</v>
      </c>
      <c r="AX141" s="104"/>
      <c r="AZ141" s="112">
        <f>IF(F147="","",AN147)</f>
        <v>2</v>
      </c>
      <c r="BA141" s="112" t="str">
        <f>IF(AZ141="","",AO147)</f>
        <v>FLA</v>
      </c>
      <c r="BB141" s="107">
        <f>IF(AZ141="","",AR147)</f>
        <v>0</v>
      </c>
      <c r="BC141" s="107">
        <f>IF(AZ141="","",AQ147)</f>
        <v>0</v>
      </c>
      <c r="BD141" s="107"/>
      <c r="BE141" s="107">
        <f>IF(AZ141="","",AP147)</f>
        <v>0</v>
      </c>
      <c r="BG141" s="17">
        <v>138</v>
      </c>
      <c r="BH141" s="49" t="str">
        <f>IF(BK141="","",(2+(IF(H302&gt;240,2,0))+(IF(G302&gt;60,2,0)))*E302)</f>
        <v/>
      </c>
      <c r="BI141" s="49" t="str">
        <f>IF(BJ141="","","FM")</f>
        <v/>
      </c>
      <c r="BJ141" s="49" t="str">
        <f t="shared" ref="BJ141:BJ147" si="121">IF(G302="","",IF(G302&gt;=61,G302/2,G302))</f>
        <v/>
      </c>
      <c r="BK141" s="115" t="str">
        <f t="shared" ref="BK141:BK147" si="122">IF(H302="","",IF(H302&lt;=240,H302,H302/2))</f>
        <v/>
      </c>
      <c r="BL141" s="116"/>
    </row>
    <row r="142" spans="1:80" x14ac:dyDescent="0.25">
      <c r="A142" s="120"/>
      <c r="B142" s="121"/>
      <c r="C142" s="13"/>
      <c r="D142" s="13"/>
      <c r="E142" s="13"/>
      <c r="F142" s="13"/>
      <c r="G142" s="13"/>
      <c r="H142" s="13"/>
      <c r="I142" s="13"/>
      <c r="J142" s="13"/>
      <c r="K142" s="13"/>
      <c r="L142" s="13"/>
      <c r="M142" s="13"/>
      <c r="N142" s="14"/>
      <c r="O142" s="4"/>
      <c r="P142" s="4"/>
      <c r="Q142" s="4"/>
      <c r="R142" s="4"/>
      <c r="S142" s="4"/>
      <c r="T142" s="4"/>
      <c r="U142" s="4"/>
      <c r="V142" s="4"/>
      <c r="W142" s="4"/>
      <c r="X142" s="4"/>
      <c r="Y142" s="4"/>
      <c r="AC142" s="105"/>
      <c r="AD142" s="15"/>
      <c r="AE142" s="15"/>
      <c r="AF142" s="15"/>
      <c r="AG142" s="104"/>
      <c r="AH142" s="105"/>
      <c r="AI142" s="15"/>
      <c r="AJ142" s="15"/>
      <c r="AK142" s="15"/>
      <c r="AL142" s="15"/>
      <c r="AM142" s="15"/>
      <c r="AN142" s="50">
        <f>IF(AP143&gt;90,4,2)*IF(AQ143&gt;120,2,1)</f>
        <v>2</v>
      </c>
      <c r="AO142" s="50" t="s">
        <v>154</v>
      </c>
      <c r="AP142" s="50">
        <f>IF(AP143&gt;90,AP143/2,AP143)</f>
        <v>0</v>
      </c>
      <c r="AQ142" s="50">
        <f>IF(AQ143&gt;120,AQ143/2,AQ143)</f>
        <v>-20</v>
      </c>
      <c r="AR142" s="15"/>
      <c r="AS142" s="104"/>
      <c r="AT142" s="108" t="s">
        <v>153</v>
      </c>
      <c r="AU142" s="15"/>
      <c r="AV142" s="15"/>
      <c r="AW142" s="15"/>
      <c r="AX142" s="104"/>
      <c r="BG142" s="17">
        <v>139</v>
      </c>
      <c r="BH142" s="116" t="str">
        <f t="shared" ref="BH142:BH147" si="123">IF(BK142="","",(2+(IF(H303&gt;240,2,0))+(IF(G303&gt;60,2,0)))*E303)</f>
        <v/>
      </c>
      <c r="BI142" s="116" t="str">
        <f t="shared" ref="BI142:BI147" si="124">IF(BJ142="","","FM")</f>
        <v/>
      </c>
      <c r="BJ142" s="116" t="str">
        <f t="shared" si="121"/>
        <v/>
      </c>
      <c r="BK142" s="117" t="str">
        <f t="shared" si="122"/>
        <v/>
      </c>
      <c r="BL142" s="116"/>
    </row>
    <row r="143" spans="1:80" x14ac:dyDescent="0.25">
      <c r="A143" s="122"/>
      <c r="B143" s="123"/>
      <c r="C143" s="124" t="s">
        <v>155</v>
      </c>
      <c r="D143" s="55"/>
      <c r="E143" s="55"/>
      <c r="F143" s="55"/>
      <c r="G143" s="125"/>
      <c r="H143" s="3"/>
      <c r="I143" s="3"/>
      <c r="J143" s="3"/>
      <c r="K143" s="3"/>
      <c r="L143" s="3"/>
      <c r="M143" s="3"/>
      <c r="N143" s="22"/>
      <c r="O143" s="4"/>
      <c r="P143" s="4"/>
      <c r="Q143" s="4"/>
      <c r="R143" s="4"/>
      <c r="S143" s="4"/>
      <c r="T143" s="4"/>
      <c r="U143" s="4"/>
      <c r="V143" s="4"/>
      <c r="W143" s="4"/>
      <c r="X143" s="4"/>
      <c r="Y143" s="4"/>
      <c r="AC143" s="105"/>
      <c r="AD143" s="15"/>
      <c r="AE143" s="15"/>
      <c r="AF143" s="15"/>
      <c r="AG143" s="104"/>
      <c r="AH143" s="105"/>
      <c r="AI143" s="15"/>
      <c r="AJ143" s="15"/>
      <c r="AK143" s="15"/>
      <c r="AL143" s="15"/>
      <c r="AM143" s="104"/>
      <c r="AP143" s="6">
        <f>F151/2</f>
        <v>0</v>
      </c>
      <c r="AQ143" s="6">
        <f>F150-20</f>
        <v>-20</v>
      </c>
      <c r="AT143" s="105">
        <f>IF(AV144&gt;90,8,AT144)*IF(AW144&gt;120,2,1)</f>
        <v>4</v>
      </c>
      <c r="AU143" s="15" t="s">
        <v>154</v>
      </c>
      <c r="AV143" s="15">
        <f>IF(AV144&gt;90,AV144/2,AV144)</f>
        <v>0</v>
      </c>
      <c r="AW143" s="15">
        <f>IF(AW144&gt;120,AW144/2,AW144)</f>
        <v>-20</v>
      </c>
      <c r="AX143" s="104"/>
      <c r="AZ143" s="88" t="s">
        <v>137</v>
      </c>
      <c r="BA143" s="4"/>
      <c r="BB143" s="4"/>
      <c r="BC143" s="4"/>
      <c r="BD143" s="4"/>
      <c r="BE143" s="4"/>
      <c r="BG143" s="17">
        <v>140</v>
      </c>
      <c r="BH143" s="116" t="str">
        <f t="shared" si="123"/>
        <v/>
      </c>
      <c r="BI143" s="116" t="str">
        <f t="shared" si="124"/>
        <v/>
      </c>
      <c r="BJ143" s="116" t="str">
        <f t="shared" si="121"/>
        <v/>
      </c>
      <c r="BK143" s="117" t="str">
        <f t="shared" si="122"/>
        <v/>
      </c>
      <c r="BL143" s="116"/>
    </row>
    <row r="144" spans="1:80" x14ac:dyDescent="0.25">
      <c r="A144" s="122"/>
      <c r="B144" s="126"/>
      <c r="C144" s="48" t="s">
        <v>156</v>
      </c>
      <c r="D144" s="3"/>
      <c r="E144" s="3"/>
      <c r="F144" s="85"/>
      <c r="G144" s="85"/>
      <c r="H144" s="3"/>
      <c r="I144" s="3"/>
      <c r="J144" s="3"/>
      <c r="K144" s="3"/>
      <c r="L144" s="3"/>
      <c r="M144" s="3"/>
      <c r="N144" s="22"/>
      <c r="O144" s="3"/>
      <c r="P144" s="4"/>
      <c r="Q144" s="4"/>
      <c r="R144" s="4"/>
      <c r="S144" s="4"/>
      <c r="T144" s="4"/>
      <c r="U144" s="4"/>
      <c r="V144" s="4"/>
      <c r="W144" s="4"/>
      <c r="X144" s="4"/>
      <c r="Y144" s="4"/>
      <c r="AC144" s="105"/>
      <c r="AD144" s="15"/>
      <c r="AE144" s="15"/>
      <c r="AF144" s="15"/>
      <c r="AG144" s="104"/>
      <c r="AH144" s="105"/>
      <c r="AI144" s="15"/>
      <c r="AJ144" s="15"/>
      <c r="AK144" s="15"/>
      <c r="AL144" s="15"/>
      <c r="AM144" s="104"/>
      <c r="AN144" s="108" t="s">
        <v>157</v>
      </c>
      <c r="AO144" s="15"/>
      <c r="AP144" s="15"/>
      <c r="AQ144" s="15"/>
      <c r="AR144" s="15"/>
      <c r="AS144" s="104"/>
      <c r="AT144" s="105">
        <v>4</v>
      </c>
      <c r="AU144" s="15"/>
      <c r="AV144" s="15">
        <f>(F151-F149)/2</f>
        <v>0</v>
      </c>
      <c r="AW144" s="15">
        <f>F150-20</f>
        <v>-20</v>
      </c>
      <c r="AX144" s="104"/>
      <c r="AZ144" s="93" t="s">
        <v>140</v>
      </c>
      <c r="BA144" s="94"/>
      <c r="BB144" s="94"/>
      <c r="BC144" s="94"/>
      <c r="BD144" s="94"/>
      <c r="BE144" s="95"/>
      <c r="BG144" s="17">
        <v>141</v>
      </c>
      <c r="BH144" s="116" t="str">
        <f t="shared" si="123"/>
        <v/>
      </c>
      <c r="BI144" s="116" t="str">
        <f t="shared" si="124"/>
        <v/>
      </c>
      <c r="BJ144" s="116" t="str">
        <f t="shared" si="121"/>
        <v/>
      </c>
      <c r="BK144" s="117" t="str">
        <f t="shared" si="122"/>
        <v/>
      </c>
      <c r="BL144" s="116"/>
    </row>
    <row r="145" spans="1:64" ht="13.8" thickBot="1" x14ac:dyDescent="0.3">
      <c r="A145" s="122"/>
      <c r="B145" s="126"/>
      <c r="C145" s="85"/>
      <c r="D145" s="85"/>
      <c r="E145" s="85"/>
      <c r="F145" s="85"/>
      <c r="G145" s="85"/>
      <c r="H145" s="3"/>
      <c r="I145" s="3"/>
      <c r="J145" s="3"/>
      <c r="K145" s="3"/>
      <c r="L145" s="3"/>
      <c r="M145" s="3"/>
      <c r="N145" s="127"/>
      <c r="O145" s="3"/>
      <c r="P145" s="4"/>
      <c r="Q145" s="4"/>
      <c r="R145" s="4"/>
      <c r="S145" s="4"/>
      <c r="T145" s="4"/>
      <c r="U145" s="4"/>
      <c r="V145" s="4"/>
      <c r="W145" s="4"/>
      <c r="X145" s="4"/>
      <c r="Y145" s="4"/>
      <c r="AC145" s="105"/>
      <c r="AD145" s="15"/>
      <c r="AE145" s="15"/>
      <c r="AF145" s="15"/>
      <c r="AG145" s="104"/>
      <c r="AH145" s="105"/>
      <c r="AI145" s="15"/>
      <c r="AJ145" s="15"/>
      <c r="AK145" s="15"/>
      <c r="AL145" s="15"/>
      <c r="AM145" s="104"/>
      <c r="AN145" s="105">
        <v>2</v>
      </c>
      <c r="AO145" s="15" t="s">
        <v>151</v>
      </c>
      <c r="AP145" s="15">
        <f>F152</f>
        <v>0</v>
      </c>
      <c r="AQ145" s="15">
        <f>F151/2</f>
        <v>0</v>
      </c>
      <c r="AR145" s="15">
        <f>AQ125</f>
        <v>0</v>
      </c>
      <c r="AS145" s="104"/>
      <c r="AT145" s="105"/>
      <c r="AU145" s="15"/>
      <c r="AV145" s="15"/>
      <c r="AW145" s="15"/>
      <c r="AX145" s="104"/>
      <c r="AZ145" s="97" t="s">
        <v>104</v>
      </c>
      <c r="BA145" s="97" t="s">
        <v>105</v>
      </c>
      <c r="BB145" s="97" t="s">
        <v>106</v>
      </c>
      <c r="BC145" s="97" t="s">
        <v>107</v>
      </c>
      <c r="BD145" s="97" t="s">
        <v>109</v>
      </c>
      <c r="BE145" s="97" t="s">
        <v>108</v>
      </c>
      <c r="BG145" s="17">
        <v>142</v>
      </c>
      <c r="BH145" s="116" t="str">
        <f t="shared" si="123"/>
        <v/>
      </c>
      <c r="BI145" s="116" t="str">
        <f t="shared" si="124"/>
        <v/>
      </c>
      <c r="BJ145" s="116" t="str">
        <f t="shared" si="121"/>
        <v/>
      </c>
      <c r="BK145" s="117" t="str">
        <f t="shared" si="122"/>
        <v/>
      </c>
      <c r="BL145" s="116"/>
    </row>
    <row r="146" spans="1:64" ht="13.8" thickBot="1" x14ac:dyDescent="0.3">
      <c r="A146" s="122"/>
      <c r="B146" s="126"/>
      <c r="C146" s="128">
        <v>1</v>
      </c>
      <c r="D146" s="128" t="s">
        <v>158</v>
      </c>
      <c r="E146" s="129"/>
      <c r="F146" s="130">
        <f>'EQUIPO BASE'!L39</f>
        <v>0</v>
      </c>
      <c r="G146" s="98" t="s">
        <v>92</v>
      </c>
      <c r="H146" s="3"/>
      <c r="I146" s="69" t="s">
        <v>159</v>
      </c>
      <c r="J146" s="3"/>
      <c r="K146" s="3"/>
      <c r="L146" s="3"/>
      <c r="M146" s="3"/>
      <c r="N146" s="22"/>
      <c r="O146" s="3"/>
      <c r="P146" s="4"/>
      <c r="Q146" s="4"/>
      <c r="R146" s="4"/>
      <c r="S146" s="4"/>
      <c r="T146" s="4"/>
      <c r="U146" s="4"/>
      <c r="V146" s="4"/>
      <c r="W146" s="4"/>
      <c r="X146" s="4"/>
      <c r="Y146" s="4"/>
      <c r="AC146" s="105"/>
      <c r="AD146" s="15"/>
      <c r="AE146" s="15"/>
      <c r="AF146" s="15"/>
      <c r="AG146" s="104"/>
      <c r="AH146" s="105"/>
      <c r="AI146" s="15"/>
      <c r="AJ146" s="15"/>
      <c r="AK146" s="15"/>
      <c r="AL146" s="15"/>
      <c r="AM146" s="104"/>
      <c r="AN146" s="105">
        <v>2</v>
      </c>
      <c r="AO146" s="15" t="s">
        <v>151</v>
      </c>
      <c r="AP146" s="15">
        <f>F152</f>
        <v>0</v>
      </c>
      <c r="AQ146" s="15">
        <f>AR145</f>
        <v>0</v>
      </c>
      <c r="AR146" s="15">
        <f>AQ127</f>
        <v>0</v>
      </c>
      <c r="AS146" s="104"/>
      <c r="AT146" s="105"/>
      <c r="AU146" s="15"/>
      <c r="AV146" s="15"/>
      <c r="AW146" s="15"/>
      <c r="AX146" s="104"/>
      <c r="AZ146" s="91" t="e">
        <f>IF(F147="","",AT124)</f>
        <v>#DIV/0!</v>
      </c>
      <c r="BA146" s="91" t="e">
        <f>IF(AZ146="","",AU124)</f>
        <v>#DIV/0!</v>
      </c>
      <c r="BB146" s="100" t="e">
        <f>IF(AZ146="","",AW124)</f>
        <v>#DIV/0!</v>
      </c>
      <c r="BC146" s="100" t="e">
        <f>IF(AZ146="","",F152)</f>
        <v>#DIV/0!</v>
      </c>
      <c r="BD146" s="100"/>
      <c r="BE146" s="100"/>
      <c r="BG146" s="17">
        <v>143</v>
      </c>
      <c r="BH146" s="116" t="str">
        <f t="shared" si="123"/>
        <v/>
      </c>
      <c r="BI146" s="116" t="str">
        <f t="shared" si="124"/>
        <v/>
      </c>
      <c r="BJ146" s="116" t="str">
        <f t="shared" si="121"/>
        <v/>
      </c>
      <c r="BK146" s="117" t="str">
        <f t="shared" si="122"/>
        <v/>
      </c>
      <c r="BL146" s="116"/>
    </row>
    <row r="147" spans="1:64" ht="13.8" thickBot="1" x14ac:dyDescent="0.3">
      <c r="A147" s="122"/>
      <c r="B147" s="126"/>
      <c r="C147" s="131">
        <v>2</v>
      </c>
      <c r="D147" s="132" t="s">
        <v>160</v>
      </c>
      <c r="E147" s="133"/>
      <c r="F147" s="134">
        <f>'EQUIPO BASE'!Q6</f>
        <v>0</v>
      </c>
      <c r="G147" s="98" t="s">
        <v>92</v>
      </c>
      <c r="H147" s="3"/>
      <c r="I147" s="69" t="s">
        <v>161</v>
      </c>
      <c r="J147" s="3"/>
      <c r="K147" s="3"/>
      <c r="L147" s="3"/>
      <c r="M147" s="3"/>
      <c r="N147" s="22"/>
      <c r="O147" s="3"/>
      <c r="P147" s="4"/>
      <c r="Q147" s="4"/>
      <c r="R147" s="4"/>
      <c r="S147" s="4"/>
      <c r="T147" s="4"/>
      <c r="U147" s="4"/>
      <c r="V147" s="4"/>
      <c r="W147" s="4"/>
      <c r="X147" s="4"/>
      <c r="Y147" s="4"/>
      <c r="AC147" s="105"/>
      <c r="AD147" s="15"/>
      <c r="AE147" s="15"/>
      <c r="AF147" s="15"/>
      <c r="AG147" s="104"/>
      <c r="AH147" s="105"/>
      <c r="AI147" s="15"/>
      <c r="AJ147" s="15"/>
      <c r="AK147" s="15"/>
      <c r="AL147" s="15"/>
      <c r="AM147" s="104"/>
      <c r="AN147" s="105">
        <v>2</v>
      </c>
      <c r="AO147" s="15" t="s">
        <v>151</v>
      </c>
      <c r="AP147" s="15">
        <f>F152</f>
        <v>0</v>
      </c>
      <c r="AQ147" s="15">
        <f>F150</f>
        <v>0</v>
      </c>
      <c r="AR147" s="15">
        <f>AR146</f>
        <v>0</v>
      </c>
      <c r="AS147" s="104"/>
      <c r="AT147" s="105"/>
      <c r="AU147" s="15"/>
      <c r="AV147" s="15"/>
      <c r="AW147" s="15"/>
      <c r="AX147" s="104"/>
      <c r="AZ147" s="112" t="e">
        <f>IF(F147="","",AT125)</f>
        <v>#DIV/0!</v>
      </c>
      <c r="BA147" s="112" t="e">
        <f>IF(AZ147="","",AU125)</f>
        <v>#DIV/0!</v>
      </c>
      <c r="BB147" s="107" t="e">
        <f>IF(AZ147="","",AW125)</f>
        <v>#DIV/0!</v>
      </c>
      <c r="BC147" s="107" t="e">
        <f>IF(AZ147="","",F152)</f>
        <v>#DIV/0!</v>
      </c>
      <c r="BD147" s="107"/>
      <c r="BE147" s="107"/>
      <c r="BG147" s="17">
        <v>144</v>
      </c>
      <c r="BH147" s="116" t="str">
        <f t="shared" si="123"/>
        <v/>
      </c>
      <c r="BI147" s="116" t="str">
        <f t="shared" si="124"/>
        <v/>
      </c>
      <c r="BJ147" s="116" t="str">
        <f t="shared" si="121"/>
        <v/>
      </c>
      <c r="BK147" s="117" t="str">
        <f t="shared" si="122"/>
        <v/>
      </c>
      <c r="BL147" s="116"/>
    </row>
    <row r="148" spans="1:64" ht="13.8" thickBot="1" x14ac:dyDescent="0.3">
      <c r="A148" s="122"/>
      <c r="B148" s="126"/>
      <c r="C148" s="135">
        <v>3</v>
      </c>
      <c r="D148" s="136" t="s">
        <v>162</v>
      </c>
      <c r="E148" s="137"/>
      <c r="F148" s="138">
        <f>'EQUIPO BASE'!Q7</f>
        <v>0</v>
      </c>
      <c r="G148" s="98" t="s">
        <v>92</v>
      </c>
      <c r="H148" s="3"/>
      <c r="I148" s="69" t="s">
        <v>163</v>
      </c>
      <c r="J148" s="3"/>
      <c r="K148" s="3"/>
      <c r="L148" s="3"/>
      <c r="M148" s="3"/>
      <c r="N148" s="22"/>
      <c r="O148" s="3"/>
      <c r="P148" s="4"/>
      <c r="Q148" s="4"/>
      <c r="R148" s="4"/>
      <c r="S148" s="4"/>
      <c r="T148" s="4"/>
      <c r="U148" s="4"/>
      <c r="V148" s="4"/>
      <c r="W148" s="4"/>
      <c r="X148" s="4"/>
      <c r="Y148" s="4"/>
      <c r="AC148" s="105"/>
      <c r="AD148" s="15"/>
      <c r="AE148" s="15"/>
      <c r="AF148" s="15"/>
      <c r="AG148" s="104"/>
      <c r="AH148" s="105"/>
      <c r="AI148" s="15"/>
      <c r="AJ148" s="15"/>
      <c r="AK148" s="15"/>
      <c r="AL148" s="15"/>
      <c r="AM148" s="104"/>
      <c r="AN148" s="119" t="s">
        <v>139</v>
      </c>
      <c r="AO148" s="50" t="e">
        <f>AP151</f>
        <v>#DIV/0!</v>
      </c>
      <c r="AP148" s="50"/>
      <c r="AQ148" s="15"/>
      <c r="AR148" s="15"/>
      <c r="AS148" s="104"/>
      <c r="AT148" s="105"/>
      <c r="AU148" s="15"/>
      <c r="AV148" s="15"/>
      <c r="AW148" s="15"/>
      <c r="AX148" s="104"/>
      <c r="AZ148" s="112" t="e">
        <f>IF(F147="","",AT139)</f>
        <v>#DIV/0!</v>
      </c>
      <c r="BA148" s="112" t="e">
        <f>IF(AZ148="","",AU139)</f>
        <v>#DIV/0!</v>
      </c>
      <c r="BB148" s="107" t="e">
        <f>IF(AZ148="","",AV139)</f>
        <v>#DIV/0!</v>
      </c>
      <c r="BC148" s="107" t="e">
        <f>IF(AZ148="","",AW139)</f>
        <v>#DIV/0!</v>
      </c>
      <c r="BD148" s="107"/>
      <c r="BE148" s="107"/>
      <c r="BG148" s="17">
        <v>145</v>
      </c>
      <c r="BH148" s="49" t="str">
        <f>IF(H302="","",IF(H302&gt;300,8,4)*E302)</f>
        <v/>
      </c>
      <c r="BI148" s="49" t="str">
        <f>IF(BK148="","","AG")</f>
        <v/>
      </c>
      <c r="BJ148" s="49" t="str">
        <f>IF(E302="","",2)</f>
        <v/>
      </c>
      <c r="BK148" s="115" t="str">
        <f>IF(E302="","",IF(H302&lt;=300,H302,H302/2))</f>
        <v/>
      </c>
      <c r="BL148" s="116"/>
    </row>
    <row r="149" spans="1:64" ht="13.8" thickBot="1" x14ac:dyDescent="0.3">
      <c r="A149" s="122"/>
      <c r="B149" s="126"/>
      <c r="C149" s="135">
        <v>4</v>
      </c>
      <c r="D149" s="136" t="s">
        <v>164</v>
      </c>
      <c r="E149" s="137"/>
      <c r="F149" s="138">
        <f>'EQUIPO BASE'!L40</f>
        <v>0</v>
      </c>
      <c r="G149" s="98" t="s">
        <v>92</v>
      </c>
      <c r="H149" s="3"/>
      <c r="I149" s="69" t="s">
        <v>165</v>
      </c>
      <c r="J149" s="3"/>
      <c r="K149" s="3"/>
      <c r="L149" s="3"/>
      <c r="M149" s="3"/>
      <c r="N149" s="22"/>
      <c r="O149" s="3"/>
      <c r="P149" s="4"/>
      <c r="Q149" s="4"/>
      <c r="R149" s="4"/>
      <c r="S149" s="4"/>
      <c r="T149" s="4"/>
      <c r="U149" s="4"/>
      <c r="V149" s="4"/>
      <c r="W149" s="4"/>
      <c r="X149" s="4"/>
      <c r="Y149" s="4"/>
      <c r="AC149" s="105"/>
      <c r="AD149" s="15"/>
      <c r="AE149" s="15"/>
      <c r="AF149" s="15"/>
      <c r="AG149" s="104"/>
      <c r="AH149" s="105"/>
      <c r="AI149" s="15"/>
      <c r="AJ149" s="15"/>
      <c r="AK149" s="15"/>
      <c r="AL149" s="15"/>
      <c r="AM149" s="104"/>
      <c r="AN149" s="101" t="s">
        <v>141</v>
      </c>
      <c r="AO149" s="50">
        <f>F149</f>
        <v>0</v>
      </c>
      <c r="AP149" s="50"/>
      <c r="AQ149" s="15"/>
      <c r="AR149" s="15"/>
      <c r="AS149" s="104"/>
      <c r="AT149" s="105"/>
      <c r="AU149" s="15"/>
      <c r="AV149" s="15"/>
      <c r="AW149" s="15"/>
      <c r="AX149" s="104"/>
      <c r="AZ149" s="112" t="e">
        <f>IF(F147="","",AT141)</f>
        <v>#DIV/0!</v>
      </c>
      <c r="BA149" s="112" t="e">
        <f>IF(AZ149="","",AU141)</f>
        <v>#DIV/0!</v>
      </c>
      <c r="BB149" s="107" t="e">
        <f>IF(AZ149="","",AV141)</f>
        <v>#DIV/0!</v>
      </c>
      <c r="BC149" s="107" t="e">
        <f>IF(AZ149="","",AW141)</f>
        <v>#DIV/0!</v>
      </c>
      <c r="BD149" s="107"/>
      <c r="BE149" s="107"/>
      <c r="BG149" s="17">
        <v>146</v>
      </c>
      <c r="BH149" s="116" t="str">
        <f t="shared" ref="BH149:BH154" si="125">IF(H303="","",IF(H303&gt;300,8,4)*E303)</f>
        <v/>
      </c>
      <c r="BI149" s="116" t="str">
        <f t="shared" ref="BI149:BI154" si="126">IF(BK149="","","AG")</f>
        <v/>
      </c>
      <c r="BJ149" s="116" t="str">
        <f t="shared" ref="BJ149:BJ154" si="127">IF(E303="","",2)</f>
        <v/>
      </c>
      <c r="BK149" s="117" t="str">
        <f t="shared" ref="BK149:BK154" si="128">IF(E303="","",IF(H303&lt;=300,H303,H303/2))</f>
        <v/>
      </c>
      <c r="BL149" s="116"/>
    </row>
    <row r="150" spans="1:64" ht="13.8" thickBot="1" x14ac:dyDescent="0.3">
      <c r="A150" s="122"/>
      <c r="B150" s="126"/>
      <c r="C150" s="135">
        <v>5</v>
      </c>
      <c r="D150" s="136" t="s">
        <v>166</v>
      </c>
      <c r="E150" s="137"/>
      <c r="F150" s="138">
        <f>'EQUIPO BASE'!L41</f>
        <v>0</v>
      </c>
      <c r="G150" s="98" t="s">
        <v>92</v>
      </c>
      <c r="H150" s="3"/>
      <c r="I150" s="3"/>
      <c r="J150" s="3"/>
      <c r="K150" s="3"/>
      <c r="L150" s="3"/>
      <c r="M150" s="3"/>
      <c r="N150" s="22"/>
      <c r="O150" s="3"/>
      <c r="P150" s="4"/>
      <c r="Q150" s="4"/>
      <c r="R150" s="4"/>
      <c r="S150" s="4"/>
      <c r="T150" s="4"/>
      <c r="U150" s="4"/>
      <c r="V150" s="4"/>
      <c r="W150" s="4"/>
      <c r="X150" s="4"/>
      <c r="Y150" s="4"/>
      <c r="AC150" s="105"/>
      <c r="AD150" s="15"/>
      <c r="AE150" s="15"/>
      <c r="AF150" s="15"/>
      <c r="AG150" s="104"/>
      <c r="AH150" s="105"/>
      <c r="AI150" s="15"/>
      <c r="AJ150" s="15"/>
      <c r="AK150" s="15"/>
      <c r="AL150" s="15"/>
      <c r="AM150" s="104"/>
      <c r="AN150" s="101" t="s">
        <v>142</v>
      </c>
      <c r="AO150" s="50">
        <f>F147/3</f>
        <v>0</v>
      </c>
      <c r="AP150" s="50"/>
      <c r="AQ150" s="15"/>
      <c r="AR150" s="15"/>
      <c r="AS150" s="104"/>
      <c r="AT150" s="105"/>
      <c r="AU150" s="15"/>
      <c r="AV150" s="15"/>
      <c r="AW150" s="15"/>
      <c r="AX150" s="104"/>
      <c r="AZ150" s="112">
        <f>IF(F147="","",AT143)</f>
        <v>4</v>
      </c>
      <c r="BA150" s="112" t="str">
        <f>IF(AZ150="","",AU143)</f>
        <v>FL</v>
      </c>
      <c r="BB150" s="107">
        <f>IF(AZ150="","",AV143)</f>
        <v>0</v>
      </c>
      <c r="BC150" s="107">
        <f>IF(AZ150="","",AW143)</f>
        <v>-20</v>
      </c>
      <c r="BD150" s="107"/>
      <c r="BE150" s="107"/>
      <c r="BG150" s="17">
        <v>147</v>
      </c>
      <c r="BH150" s="116" t="str">
        <f t="shared" si="125"/>
        <v/>
      </c>
      <c r="BI150" s="116" t="str">
        <f t="shared" si="126"/>
        <v/>
      </c>
      <c r="BJ150" s="116" t="str">
        <f t="shared" si="127"/>
        <v/>
      </c>
      <c r="BK150" s="117" t="str">
        <f t="shared" si="128"/>
        <v/>
      </c>
      <c r="BL150" s="116"/>
    </row>
    <row r="151" spans="1:64" ht="13.8" thickBot="1" x14ac:dyDescent="0.3">
      <c r="A151" s="122"/>
      <c r="B151" s="126"/>
      <c r="C151" s="135">
        <v>6</v>
      </c>
      <c r="D151" s="136" t="s">
        <v>167</v>
      </c>
      <c r="E151" s="137"/>
      <c r="F151" s="138">
        <f>'EQUIPO BASE'!L42</f>
        <v>0</v>
      </c>
      <c r="G151" s="98" t="s">
        <v>92</v>
      </c>
      <c r="H151" s="3"/>
      <c r="I151" s="3"/>
      <c r="J151" s="3"/>
      <c r="K151" s="3"/>
      <c r="L151" s="3"/>
      <c r="M151" s="3"/>
      <c r="N151" s="22"/>
      <c r="O151" s="4"/>
      <c r="P151" s="4"/>
      <c r="Q151" s="4"/>
      <c r="R151" s="4"/>
      <c r="S151" s="4"/>
      <c r="T151" s="4"/>
      <c r="U151" s="4"/>
      <c r="V151" s="4"/>
      <c r="W151" s="4"/>
      <c r="X151" s="4"/>
      <c r="Y151" s="4"/>
      <c r="AC151" s="105"/>
      <c r="AD151" s="15"/>
      <c r="AE151" s="15"/>
      <c r="AF151" s="15"/>
      <c r="AG151" s="104"/>
      <c r="AH151" s="105"/>
      <c r="AI151" s="15"/>
      <c r="AJ151" s="15"/>
      <c r="AK151" s="15"/>
      <c r="AL151" s="15"/>
      <c r="AM151" s="104"/>
      <c r="AN151" s="101" t="e">
        <f>AO150/AO149</f>
        <v>#DIV/0!</v>
      </c>
      <c r="AO151" s="50" t="e">
        <f>ATAN(AN151)</f>
        <v>#DIV/0!</v>
      </c>
      <c r="AP151" s="50" t="e">
        <f>DEGREES(AO151)</f>
        <v>#DIV/0!</v>
      </c>
      <c r="AQ151" s="15"/>
      <c r="AR151" s="15"/>
      <c r="AS151" s="104"/>
      <c r="AT151" s="105"/>
      <c r="AU151" s="15"/>
      <c r="AV151" s="15"/>
      <c r="AW151" s="15"/>
      <c r="AX151" s="104"/>
      <c r="AZ151" s="112">
        <f>IF(F147="","",AT135)</f>
        <v>4</v>
      </c>
      <c r="BA151" s="112" t="str">
        <f>IF(AZ151="","",AU135)</f>
        <v>FLA</v>
      </c>
      <c r="BB151" s="107">
        <f>IF(AZ151="","",AV135)</f>
        <v>20</v>
      </c>
      <c r="BC151" s="107">
        <f>IF(AZ151="","",AW135)</f>
        <v>0</v>
      </c>
      <c r="BD151" s="107"/>
      <c r="BE151" s="107">
        <f>IF(AZ151="","",AX135)</f>
        <v>20</v>
      </c>
      <c r="BG151" s="17">
        <v>148</v>
      </c>
      <c r="BH151" s="116" t="str">
        <f t="shared" si="125"/>
        <v/>
      </c>
      <c r="BI151" s="116" t="str">
        <f t="shared" si="126"/>
        <v/>
      </c>
      <c r="BJ151" s="116" t="str">
        <f t="shared" si="127"/>
        <v/>
      </c>
      <c r="BK151" s="117" t="str">
        <f t="shared" si="128"/>
        <v/>
      </c>
      <c r="BL151" s="116"/>
    </row>
    <row r="152" spans="1:64" ht="13.8" thickBot="1" x14ac:dyDescent="0.3">
      <c r="A152" s="122"/>
      <c r="B152" s="126"/>
      <c r="C152" s="135">
        <v>7</v>
      </c>
      <c r="D152" s="136" t="s">
        <v>168</v>
      </c>
      <c r="E152" s="137"/>
      <c r="F152" s="138">
        <f>'EQUIPO BASE'!L43</f>
        <v>0</v>
      </c>
      <c r="G152" s="3"/>
      <c r="H152" s="3"/>
      <c r="I152" s="3"/>
      <c r="J152" s="3"/>
      <c r="K152" s="3"/>
      <c r="L152" s="3"/>
      <c r="M152" s="3"/>
      <c r="N152" s="22"/>
      <c r="O152" s="4"/>
      <c r="P152" s="4"/>
      <c r="Q152" s="4"/>
      <c r="R152" s="4"/>
      <c r="S152" s="4"/>
      <c r="T152" s="4"/>
      <c r="U152" s="4"/>
      <c r="V152" s="4"/>
      <c r="W152" s="4"/>
      <c r="X152" s="4"/>
      <c r="Y152" s="4"/>
      <c r="AC152" s="139"/>
      <c r="AD152" s="140"/>
      <c r="AE152" s="140"/>
      <c r="AF152" s="140"/>
      <c r="AG152" s="141"/>
      <c r="AH152" s="139"/>
      <c r="AI152" s="140"/>
      <c r="AJ152" s="140"/>
      <c r="AK152" s="140"/>
      <c r="AL152" s="140"/>
      <c r="AM152" s="141"/>
      <c r="AN152" s="139"/>
      <c r="AO152" s="140"/>
      <c r="AP152" s="140"/>
      <c r="AQ152" s="140"/>
      <c r="AR152" s="140"/>
      <c r="AS152" s="141"/>
      <c r="AT152" s="139"/>
      <c r="AU152" s="140"/>
      <c r="AV152" s="140"/>
      <c r="AW152" s="140"/>
      <c r="AX152" s="141"/>
      <c r="AZ152" s="112">
        <f>IF(F147="","",AT136)</f>
        <v>2</v>
      </c>
      <c r="BA152" s="112" t="str">
        <f>IF(AZ152="","",AU136)</f>
        <v>FLA</v>
      </c>
      <c r="BB152" s="107">
        <f>IF(AZ152="","",AV136)</f>
        <v>20</v>
      </c>
      <c r="BC152" s="107">
        <f>IF(AZ152="","",AW136)</f>
        <v>0</v>
      </c>
      <c r="BD152" s="107"/>
      <c r="BE152" s="107">
        <f>IF(AZ152="","",AX136)</f>
        <v>20</v>
      </c>
      <c r="BG152" s="17">
        <v>149</v>
      </c>
      <c r="BH152" s="116" t="str">
        <f t="shared" si="125"/>
        <v/>
      </c>
      <c r="BI152" s="116" t="str">
        <f t="shared" si="126"/>
        <v/>
      </c>
      <c r="BJ152" s="116" t="str">
        <f t="shared" si="127"/>
        <v/>
      </c>
      <c r="BK152" s="117" t="str">
        <f t="shared" si="128"/>
        <v/>
      </c>
      <c r="BL152" s="116"/>
    </row>
    <row r="153" spans="1:64" x14ac:dyDescent="0.25">
      <c r="A153" s="122"/>
      <c r="B153" s="142"/>
      <c r="C153" s="85"/>
      <c r="D153" s="85"/>
      <c r="E153" s="85"/>
      <c r="F153" s="85"/>
      <c r="G153" s="3"/>
      <c r="H153" s="143"/>
      <c r="I153" s="143"/>
      <c r="J153" s="3"/>
      <c r="K153" s="3"/>
      <c r="L153" s="3"/>
      <c r="M153" s="3"/>
      <c r="N153" s="22"/>
      <c r="O153" s="4"/>
      <c r="P153" s="4"/>
      <c r="Q153" s="4"/>
      <c r="R153" s="4"/>
      <c r="S153" s="4"/>
      <c r="T153" s="4"/>
      <c r="U153" s="4"/>
      <c r="V153" s="4"/>
      <c r="W153" s="4"/>
      <c r="X153" s="4"/>
      <c r="Y153" s="4"/>
      <c r="AZ153" s="112" t="e">
        <f>AT133</f>
        <v>#DIV/0!</v>
      </c>
      <c r="BA153" s="112" t="e">
        <f>IF(AZ153="","",AU133)</f>
        <v>#DIV/0!</v>
      </c>
      <c r="BB153" s="107" t="e">
        <f>IF(AZ153="","",AV133)</f>
        <v>#DIV/0!</v>
      </c>
      <c r="BC153" s="107" t="e">
        <f>IF(AZ153="","",AW133)</f>
        <v>#DIV/0!</v>
      </c>
      <c r="BD153" s="107"/>
      <c r="BE153" s="107"/>
      <c r="BG153" s="17">
        <v>150</v>
      </c>
      <c r="BH153" s="116" t="str">
        <f t="shared" si="125"/>
        <v/>
      </c>
      <c r="BI153" s="116" t="str">
        <f t="shared" si="126"/>
        <v/>
      </c>
      <c r="BJ153" s="116" t="str">
        <f t="shared" si="127"/>
        <v/>
      </c>
      <c r="BK153" s="117" t="str">
        <f t="shared" si="128"/>
        <v/>
      </c>
      <c r="BL153" s="116"/>
    </row>
    <row r="154" spans="1:64" x14ac:dyDescent="0.25">
      <c r="A154" s="122"/>
      <c r="B154" s="126"/>
      <c r="C154" s="3"/>
      <c r="D154" s="3"/>
      <c r="E154" s="3"/>
      <c r="F154" s="3"/>
      <c r="G154" s="3"/>
      <c r="H154" s="143"/>
      <c r="I154" s="143"/>
      <c r="J154" s="3"/>
      <c r="K154" s="3"/>
      <c r="L154" s="3"/>
      <c r="M154" s="3"/>
      <c r="N154" s="22"/>
      <c r="O154" s="4"/>
      <c r="P154" s="4"/>
      <c r="Q154" s="4"/>
      <c r="R154" s="4"/>
      <c r="S154" s="4"/>
      <c r="T154" s="4"/>
      <c r="U154" s="4"/>
      <c r="V154" s="4"/>
      <c r="W154" s="4"/>
      <c r="X154" s="4"/>
      <c r="Y154" s="4"/>
      <c r="BG154" s="17">
        <v>151</v>
      </c>
      <c r="BH154" s="116" t="str">
        <f t="shared" si="125"/>
        <v/>
      </c>
      <c r="BI154" s="116" t="str">
        <f t="shared" si="126"/>
        <v/>
      </c>
      <c r="BJ154" s="116" t="str">
        <f t="shared" si="127"/>
        <v/>
      </c>
      <c r="BK154" s="117" t="str">
        <f t="shared" si="128"/>
        <v/>
      </c>
      <c r="BL154" s="116"/>
    </row>
    <row r="155" spans="1:64" x14ac:dyDescent="0.25">
      <c r="A155" s="21"/>
      <c r="B155" s="144"/>
      <c r="C155" s="85"/>
      <c r="D155" s="85"/>
      <c r="E155" s="85"/>
      <c r="F155" s="85"/>
      <c r="G155" s="3"/>
      <c r="H155" s="143"/>
      <c r="I155" s="143"/>
      <c r="J155" s="3"/>
      <c r="K155" s="3"/>
      <c r="L155" s="3"/>
      <c r="M155" s="3"/>
      <c r="N155" s="22"/>
      <c r="O155" s="4"/>
      <c r="P155" s="4"/>
      <c r="Q155" s="4"/>
      <c r="R155" s="4"/>
      <c r="S155" s="4"/>
      <c r="T155" s="4"/>
      <c r="U155" s="4"/>
      <c r="V155" s="4"/>
      <c r="W155" s="4"/>
      <c r="X155" s="4"/>
      <c r="Y155" s="4"/>
      <c r="BG155" s="17">
        <v>152</v>
      </c>
      <c r="BL155" s="19"/>
    </row>
    <row r="156" spans="1:64" x14ac:dyDescent="0.25">
      <c r="A156" s="21"/>
      <c r="B156" s="3"/>
      <c r="C156" s="3"/>
      <c r="D156" s="3"/>
      <c r="E156" s="3"/>
      <c r="F156" s="3"/>
      <c r="G156" s="3"/>
      <c r="H156" s="143"/>
      <c r="I156" s="143"/>
      <c r="J156" s="3"/>
      <c r="K156" s="3"/>
      <c r="L156" s="3"/>
      <c r="M156" s="3"/>
      <c r="N156" s="22"/>
      <c r="O156" s="4"/>
      <c r="P156" s="4"/>
      <c r="Q156" s="4"/>
      <c r="R156" s="4"/>
      <c r="S156" s="4"/>
      <c r="T156" s="4"/>
      <c r="U156" s="4"/>
      <c r="V156" s="4"/>
      <c r="W156" s="4"/>
      <c r="X156" s="4"/>
      <c r="Y156" s="4"/>
      <c r="BG156" s="17">
        <v>153</v>
      </c>
      <c r="BL156" s="19"/>
    </row>
    <row r="157" spans="1:64" x14ac:dyDescent="0.25">
      <c r="A157" s="21"/>
      <c r="B157" s="3"/>
      <c r="C157" s="3"/>
      <c r="D157" s="3"/>
      <c r="E157" s="3"/>
      <c r="F157" s="3"/>
      <c r="G157" s="143"/>
      <c r="H157" s="143"/>
      <c r="I157" s="143"/>
      <c r="J157" s="3"/>
      <c r="K157" s="3"/>
      <c r="L157" s="3"/>
      <c r="M157" s="3"/>
      <c r="N157" s="22"/>
      <c r="O157" s="4"/>
      <c r="P157" s="4"/>
      <c r="Q157" s="4"/>
      <c r="R157" s="4"/>
      <c r="S157" s="4"/>
      <c r="T157" s="4"/>
      <c r="U157" s="4"/>
      <c r="V157" s="4"/>
      <c r="W157" s="4"/>
      <c r="X157" s="4"/>
      <c r="Y157" s="4"/>
      <c r="BG157" s="17">
        <v>154</v>
      </c>
      <c r="BL157" s="19"/>
    </row>
    <row r="158" spans="1:64" x14ac:dyDescent="0.25">
      <c r="A158" s="21"/>
      <c r="B158" s="3"/>
      <c r="C158" s="85"/>
      <c r="D158" s="3"/>
      <c r="E158" s="3"/>
      <c r="F158" s="3"/>
      <c r="G158" s="3"/>
      <c r="H158" s="3"/>
      <c r="I158" s="3"/>
      <c r="J158" s="3"/>
      <c r="K158" s="3"/>
      <c r="L158" s="3"/>
      <c r="M158" s="3"/>
      <c r="N158" s="22"/>
      <c r="O158" s="4"/>
      <c r="P158" s="4"/>
      <c r="Q158" s="4"/>
      <c r="R158" s="4"/>
      <c r="S158" s="4"/>
      <c r="T158" s="4"/>
      <c r="U158" s="4"/>
      <c r="V158" s="4"/>
      <c r="W158" s="4"/>
      <c r="X158" s="4"/>
      <c r="Y158" s="4"/>
      <c r="BG158" s="17">
        <v>155</v>
      </c>
      <c r="BL158" s="19"/>
    </row>
    <row r="159" spans="1:64" x14ac:dyDescent="0.25">
      <c r="A159" s="21"/>
      <c r="B159" s="3"/>
      <c r="C159" s="3"/>
      <c r="D159" s="3"/>
      <c r="E159" s="3"/>
      <c r="F159" s="3"/>
      <c r="G159" s="3"/>
      <c r="H159" s="3"/>
      <c r="I159" s="3"/>
      <c r="J159" s="3"/>
      <c r="K159" s="3"/>
      <c r="L159" s="3"/>
      <c r="M159" s="3"/>
      <c r="N159" s="22"/>
      <c r="O159" s="4"/>
      <c r="P159" s="4"/>
      <c r="Q159" s="4"/>
      <c r="R159" s="4"/>
      <c r="S159" s="4"/>
      <c r="T159" s="4"/>
      <c r="U159" s="4"/>
      <c r="V159" s="4"/>
      <c r="W159" s="4"/>
      <c r="X159" s="4"/>
      <c r="Y159" s="4"/>
      <c r="BG159" s="17">
        <v>156</v>
      </c>
      <c r="BL159" s="19"/>
    </row>
    <row r="160" spans="1:64" x14ac:dyDescent="0.25">
      <c r="A160" s="89"/>
      <c r="B160" s="85"/>
      <c r="C160" s="85"/>
      <c r="D160" s="85"/>
      <c r="E160" s="85"/>
      <c r="F160" s="85"/>
      <c r="G160" s="3"/>
      <c r="H160" s="3"/>
      <c r="I160" s="3"/>
      <c r="J160" s="3"/>
      <c r="K160" s="3"/>
      <c r="L160" s="3"/>
      <c r="M160" s="3"/>
      <c r="N160" s="22"/>
      <c r="O160" s="4"/>
      <c r="P160" s="4"/>
      <c r="Q160" s="4"/>
      <c r="R160" s="4"/>
      <c r="S160" s="4"/>
      <c r="T160" s="4"/>
      <c r="U160" s="4"/>
      <c r="V160" s="4"/>
      <c r="W160" s="4"/>
      <c r="X160" s="4"/>
      <c r="Y160" s="4"/>
      <c r="BG160" s="17">
        <v>157</v>
      </c>
      <c r="BL160" s="19"/>
    </row>
    <row r="161" spans="1:64" x14ac:dyDescent="0.25">
      <c r="A161" s="21"/>
      <c r="B161" s="3"/>
      <c r="C161" s="3"/>
      <c r="D161" s="3"/>
      <c r="E161" s="3"/>
      <c r="F161" s="3"/>
      <c r="G161" s="3"/>
      <c r="H161" s="3"/>
      <c r="I161" s="3"/>
      <c r="J161" s="3"/>
      <c r="K161" s="3"/>
      <c r="L161" s="3"/>
      <c r="M161" s="3"/>
      <c r="N161" s="22"/>
      <c r="O161" s="4"/>
      <c r="P161" s="4"/>
      <c r="Q161" s="4"/>
      <c r="R161" s="4"/>
      <c r="S161" s="4"/>
      <c r="T161" s="4"/>
      <c r="U161" s="4"/>
      <c r="V161" s="4"/>
      <c r="W161" s="4"/>
      <c r="X161" s="4"/>
      <c r="Y161" s="4"/>
      <c r="BG161" s="17">
        <v>158</v>
      </c>
      <c r="BL161" s="19"/>
    </row>
    <row r="162" spans="1:64" x14ac:dyDescent="0.25">
      <c r="A162" s="21"/>
      <c r="B162" s="3"/>
      <c r="C162" s="3"/>
      <c r="D162" s="3"/>
      <c r="E162" s="3"/>
      <c r="F162" s="3"/>
      <c r="G162" s="3"/>
      <c r="H162" s="3"/>
      <c r="I162" s="3"/>
      <c r="J162" s="3"/>
      <c r="K162" s="3"/>
      <c r="L162" s="3"/>
      <c r="M162" s="3"/>
      <c r="N162" s="22"/>
      <c r="O162" s="4"/>
      <c r="P162" s="4"/>
      <c r="Q162" s="4"/>
      <c r="R162" s="4"/>
      <c r="S162" s="4"/>
      <c r="T162" s="4"/>
      <c r="U162" s="4"/>
      <c r="V162" s="4"/>
      <c r="W162" s="4"/>
      <c r="X162" s="4"/>
      <c r="Y162" s="4"/>
      <c r="BG162" s="17">
        <v>159</v>
      </c>
      <c r="BL162" s="19"/>
    </row>
    <row r="163" spans="1:64" x14ac:dyDescent="0.25">
      <c r="A163" s="21"/>
      <c r="B163" s="3"/>
      <c r="C163" s="3"/>
      <c r="D163" s="3"/>
      <c r="E163" s="3"/>
      <c r="F163" s="3"/>
      <c r="G163" s="3"/>
      <c r="H163" s="3"/>
      <c r="I163" s="3"/>
      <c r="J163" s="3"/>
      <c r="K163" s="3"/>
      <c r="L163" s="3"/>
      <c r="M163" s="3"/>
      <c r="N163" s="22"/>
      <c r="O163" s="4"/>
      <c r="P163" s="4"/>
      <c r="Q163" s="4"/>
      <c r="R163" s="4"/>
      <c r="S163" s="4"/>
      <c r="T163" s="4"/>
      <c r="U163" s="4"/>
      <c r="V163" s="4"/>
      <c r="W163" s="4"/>
      <c r="X163" s="4"/>
      <c r="Y163" s="4"/>
      <c r="BG163" s="17">
        <v>160</v>
      </c>
      <c r="BL163" s="19"/>
    </row>
    <row r="164" spans="1:64" x14ac:dyDescent="0.25">
      <c r="A164" s="21"/>
      <c r="B164" s="3"/>
      <c r="C164" s="3"/>
      <c r="D164" s="3"/>
      <c r="E164" s="3"/>
      <c r="F164" s="3"/>
      <c r="G164" s="3"/>
      <c r="H164" s="3"/>
      <c r="I164" s="3"/>
      <c r="J164" s="3"/>
      <c r="K164" s="3"/>
      <c r="L164" s="3"/>
      <c r="M164" s="3"/>
      <c r="N164" s="22"/>
      <c r="O164" s="4"/>
      <c r="P164" s="4"/>
      <c r="Q164" s="4"/>
      <c r="R164" s="4"/>
      <c r="S164" s="4"/>
      <c r="T164" s="4"/>
      <c r="U164" s="4"/>
      <c r="V164" s="4"/>
      <c r="W164" s="4"/>
      <c r="X164" s="4"/>
      <c r="Y164" s="4"/>
      <c r="BG164" s="17">
        <v>161</v>
      </c>
      <c r="BL164" s="19"/>
    </row>
    <row r="165" spans="1:64" x14ac:dyDescent="0.25">
      <c r="A165" s="21"/>
      <c r="B165" s="3"/>
      <c r="C165" s="3"/>
      <c r="D165" s="3"/>
      <c r="E165" s="3"/>
      <c r="F165" s="3"/>
      <c r="G165" s="3"/>
      <c r="H165" s="3"/>
      <c r="I165" s="3"/>
      <c r="J165" s="3"/>
      <c r="K165" s="3"/>
      <c r="L165" s="3"/>
      <c r="M165" s="3"/>
      <c r="N165" s="22"/>
      <c r="O165" s="4"/>
      <c r="P165" s="4"/>
      <c r="Q165" s="4"/>
      <c r="R165" s="4"/>
      <c r="S165" s="4"/>
      <c r="T165" s="4"/>
      <c r="U165" s="4"/>
      <c r="V165" s="4"/>
      <c r="W165" s="4"/>
      <c r="X165" s="4"/>
      <c r="Y165" s="4"/>
      <c r="BG165" s="17">
        <v>162</v>
      </c>
      <c r="BL165" s="19"/>
    </row>
    <row r="166" spans="1:64" x14ac:dyDescent="0.25">
      <c r="A166" s="21"/>
      <c r="B166" s="3"/>
      <c r="C166" s="3"/>
      <c r="D166" s="3"/>
      <c r="E166" s="3"/>
      <c r="F166" s="3"/>
      <c r="G166" s="3"/>
      <c r="H166" s="3"/>
      <c r="I166" s="3"/>
      <c r="J166" s="3"/>
      <c r="K166" s="3"/>
      <c r="L166" s="3"/>
      <c r="M166" s="3"/>
      <c r="N166" s="22"/>
      <c r="O166" s="4"/>
      <c r="P166" s="4"/>
      <c r="Q166" s="4"/>
      <c r="R166" s="4"/>
      <c r="S166" s="4"/>
      <c r="T166" s="4"/>
      <c r="U166" s="4"/>
      <c r="V166" s="4"/>
      <c r="W166" s="4"/>
      <c r="X166" s="4"/>
      <c r="Y166" s="4"/>
      <c r="BG166" s="17">
        <v>163</v>
      </c>
      <c r="BL166" s="19"/>
    </row>
    <row r="167" spans="1:64" x14ac:dyDescent="0.25">
      <c r="A167" s="21"/>
      <c r="B167" s="3"/>
      <c r="C167" s="3"/>
      <c r="D167" s="3"/>
      <c r="E167" s="3"/>
      <c r="F167" s="3"/>
      <c r="G167" s="3"/>
      <c r="H167" s="3"/>
      <c r="I167" s="3"/>
      <c r="J167" s="3"/>
      <c r="K167" s="3"/>
      <c r="L167" s="3"/>
      <c r="M167" s="3"/>
      <c r="N167" s="22"/>
      <c r="O167" s="4"/>
      <c r="P167" s="4"/>
      <c r="Q167" s="4"/>
      <c r="R167" s="4"/>
      <c r="S167" s="4"/>
      <c r="T167" s="4"/>
      <c r="U167" s="4"/>
      <c r="V167" s="4"/>
      <c r="W167" s="4"/>
      <c r="X167" s="4"/>
      <c r="Y167" s="4"/>
      <c r="BG167" s="17">
        <v>164</v>
      </c>
      <c r="BL167" s="19"/>
    </row>
    <row r="168" spans="1:64" x14ac:dyDescent="0.25">
      <c r="A168" s="21"/>
      <c r="B168" s="3"/>
      <c r="C168" s="3"/>
      <c r="D168" s="3"/>
      <c r="E168" s="3"/>
      <c r="F168" s="3"/>
      <c r="G168" s="3"/>
      <c r="H168" s="3"/>
      <c r="I168" s="3"/>
      <c r="J168" s="3"/>
      <c r="K168" s="3"/>
      <c r="L168" s="3"/>
      <c r="M168" s="3"/>
      <c r="N168" s="22"/>
      <c r="O168" s="4"/>
      <c r="P168" s="4"/>
      <c r="Q168" s="4"/>
      <c r="R168" s="4"/>
      <c r="S168" s="4"/>
      <c r="T168" s="4"/>
      <c r="U168" s="4"/>
      <c r="V168" s="4"/>
      <c r="W168" s="4"/>
      <c r="X168" s="4"/>
      <c r="Y168" s="4"/>
      <c r="BG168" s="17">
        <v>165</v>
      </c>
      <c r="BL168" s="19"/>
    </row>
    <row r="169" spans="1:64" x14ac:dyDescent="0.25">
      <c r="A169" s="21"/>
      <c r="B169" s="3"/>
      <c r="C169" s="3"/>
      <c r="D169" s="3"/>
      <c r="E169" s="3"/>
      <c r="F169" s="3"/>
      <c r="G169" s="3"/>
      <c r="H169" s="3"/>
      <c r="I169" s="3"/>
      <c r="J169" s="3"/>
      <c r="K169" s="3"/>
      <c r="L169" s="3"/>
      <c r="M169" s="3"/>
      <c r="N169" s="22"/>
      <c r="O169" s="4"/>
      <c r="P169" s="4"/>
      <c r="Q169" s="4"/>
      <c r="R169" s="4"/>
      <c r="S169" s="4"/>
      <c r="T169" s="4"/>
      <c r="U169" s="4"/>
      <c r="V169" s="4"/>
      <c r="W169" s="4"/>
      <c r="X169" s="4"/>
      <c r="Y169" s="4"/>
      <c r="BG169" s="17">
        <v>166</v>
      </c>
      <c r="BL169" s="19"/>
    </row>
    <row r="170" spans="1:64" x14ac:dyDescent="0.25">
      <c r="A170" s="21"/>
      <c r="B170" s="3"/>
      <c r="C170" s="3"/>
      <c r="D170" s="3"/>
      <c r="E170" s="3"/>
      <c r="F170" s="3"/>
      <c r="G170" s="3"/>
      <c r="H170" s="3"/>
      <c r="I170" s="3"/>
      <c r="J170" s="3"/>
      <c r="K170" s="3"/>
      <c r="L170" s="3"/>
      <c r="M170" s="3"/>
      <c r="N170" s="22"/>
      <c r="O170" s="4"/>
      <c r="P170" s="4"/>
      <c r="Q170" s="4"/>
      <c r="R170" s="4"/>
      <c r="S170" s="4"/>
      <c r="T170" s="4"/>
      <c r="U170" s="4"/>
      <c r="V170" s="4"/>
      <c r="W170" s="4"/>
      <c r="X170" s="4"/>
      <c r="Y170" s="4"/>
      <c r="BG170" s="17">
        <v>167</v>
      </c>
      <c r="BL170" s="19"/>
    </row>
    <row r="171" spans="1:64" x14ac:dyDescent="0.25">
      <c r="A171" s="21"/>
      <c r="B171" s="3"/>
      <c r="C171" s="145" t="s">
        <v>134</v>
      </c>
      <c r="D171" s="85"/>
      <c r="E171" s="85"/>
      <c r="F171" s="145" t="s">
        <v>135</v>
      </c>
      <c r="G171" s="85"/>
      <c r="H171" s="85"/>
      <c r="I171" s="145" t="s">
        <v>136</v>
      </c>
      <c r="J171" s="85"/>
      <c r="K171" s="85"/>
      <c r="L171" s="145" t="s">
        <v>137</v>
      </c>
      <c r="M171" s="85"/>
      <c r="N171" s="22"/>
      <c r="O171" s="4"/>
      <c r="P171" s="4"/>
      <c r="Q171" s="4"/>
      <c r="R171" s="4"/>
      <c r="S171" s="4"/>
      <c r="T171" s="4"/>
      <c r="U171" s="4"/>
      <c r="V171" s="4"/>
      <c r="W171" s="4"/>
      <c r="X171" s="4"/>
      <c r="Y171" s="4"/>
      <c r="BG171" s="17">
        <v>168</v>
      </c>
      <c r="BL171" s="19"/>
    </row>
    <row r="172" spans="1:64" ht="13.8" thickBot="1" x14ac:dyDescent="0.3">
      <c r="A172" s="38"/>
      <c r="B172" s="39"/>
      <c r="C172" s="39"/>
      <c r="D172" s="39"/>
      <c r="E172" s="39"/>
      <c r="F172" s="39"/>
      <c r="G172" s="39"/>
      <c r="H172" s="39"/>
      <c r="I172" s="39"/>
      <c r="J172" s="39"/>
      <c r="K172" s="39"/>
      <c r="L172" s="39"/>
      <c r="M172" s="39"/>
      <c r="N172" s="40"/>
      <c r="O172" s="4"/>
      <c r="P172" s="4"/>
      <c r="Q172" s="4"/>
      <c r="R172" s="4"/>
      <c r="S172" s="4"/>
      <c r="T172" s="4"/>
      <c r="U172" s="4"/>
      <c r="V172" s="4"/>
      <c r="W172" s="4"/>
      <c r="X172" s="4"/>
      <c r="Y172" s="4"/>
      <c r="BG172" s="17">
        <v>169</v>
      </c>
      <c r="BL172" s="19"/>
    </row>
    <row r="173" spans="1:64" x14ac:dyDescent="0.25">
      <c r="B173" s="4"/>
      <c r="C173" s="4"/>
      <c r="D173" s="4"/>
      <c r="E173" s="4"/>
      <c r="F173" s="4"/>
      <c r="G173" s="4"/>
      <c r="H173" s="4"/>
      <c r="I173" s="4"/>
      <c r="J173" s="4"/>
      <c r="K173" s="4"/>
      <c r="L173" s="4"/>
      <c r="M173" s="4"/>
      <c r="N173" s="4"/>
      <c r="O173" s="4"/>
      <c r="P173" s="4"/>
      <c r="Q173" s="4"/>
      <c r="R173" s="4"/>
      <c r="S173" s="4"/>
      <c r="T173" s="4"/>
      <c r="U173" s="4"/>
      <c r="V173" s="4"/>
      <c r="W173" s="4"/>
      <c r="X173" s="4"/>
      <c r="Y173" s="4"/>
      <c r="BG173" s="17">
        <v>170</v>
      </c>
      <c r="BL173" s="19"/>
    </row>
    <row r="174" spans="1:64" x14ac:dyDescent="0.25">
      <c r="B174" s="4"/>
      <c r="C174" s="4"/>
      <c r="D174" s="4"/>
      <c r="E174" s="4"/>
      <c r="F174" s="4"/>
      <c r="G174" s="4"/>
      <c r="H174" s="4"/>
      <c r="I174" s="4"/>
      <c r="J174" s="4"/>
      <c r="K174" s="4"/>
      <c r="L174" s="4"/>
      <c r="M174" s="4"/>
      <c r="N174" s="4"/>
      <c r="O174" s="4"/>
      <c r="P174" s="4"/>
      <c r="Q174" s="4"/>
      <c r="R174" s="4"/>
      <c r="S174" s="4"/>
      <c r="T174" s="4"/>
      <c r="U174" s="4"/>
      <c r="V174" s="4"/>
      <c r="W174" s="4"/>
      <c r="X174" s="4"/>
      <c r="Y174" s="4"/>
      <c r="BG174" s="17">
        <v>171</v>
      </c>
      <c r="BL174" s="19"/>
    </row>
    <row r="175" spans="1:64" x14ac:dyDescent="0.25">
      <c r="B175" s="4"/>
      <c r="C175" s="4"/>
      <c r="D175" s="4"/>
      <c r="E175" s="4"/>
      <c r="F175" s="4"/>
      <c r="G175" s="4"/>
      <c r="H175" s="4"/>
      <c r="I175" s="4"/>
      <c r="J175" s="4"/>
      <c r="K175" s="4"/>
      <c r="L175" s="4"/>
      <c r="M175" s="4"/>
      <c r="N175" s="4"/>
      <c r="O175" s="4"/>
      <c r="P175" s="4"/>
      <c r="Q175" s="4"/>
      <c r="R175" s="4"/>
      <c r="S175" s="4"/>
      <c r="T175" s="4"/>
      <c r="U175" s="4"/>
      <c r="V175" s="4"/>
      <c r="W175" s="4"/>
      <c r="X175" s="4"/>
      <c r="Y175" s="4"/>
      <c r="AB175" s="10"/>
      <c r="AC175" s="10"/>
      <c r="AD175" s="10"/>
      <c r="AE175" s="10"/>
      <c r="AF175" s="10"/>
      <c r="AG175" s="10"/>
      <c r="AH175" s="10"/>
    </row>
    <row r="176" spans="1:64" x14ac:dyDescent="0.25">
      <c r="B176" s="4"/>
      <c r="C176" s="4"/>
      <c r="D176" s="4"/>
      <c r="E176" s="4"/>
      <c r="F176" s="4"/>
      <c r="G176" s="4"/>
      <c r="H176" s="4"/>
      <c r="I176" s="4"/>
      <c r="J176" s="4"/>
      <c r="K176" s="4"/>
      <c r="L176" s="4"/>
      <c r="M176" s="4"/>
      <c r="N176" s="4"/>
      <c r="O176" s="4"/>
      <c r="P176" s="4"/>
      <c r="Q176" s="4"/>
      <c r="R176" s="4"/>
      <c r="S176" s="4"/>
      <c r="T176" s="4"/>
      <c r="U176" s="4"/>
      <c r="V176" s="4"/>
      <c r="W176" s="4"/>
      <c r="X176" s="4"/>
      <c r="Y176" s="4"/>
      <c r="AB176" s="10"/>
      <c r="AC176" s="10"/>
      <c r="AD176" s="10"/>
      <c r="AE176" s="10"/>
      <c r="AF176" s="10"/>
      <c r="AG176" s="10"/>
      <c r="AH176" s="10"/>
    </row>
    <row r="177" spans="2:52" x14ac:dyDescent="0.25">
      <c r="B177" s="4"/>
      <c r="C177" s="4"/>
      <c r="D177" s="4"/>
      <c r="E177" s="4"/>
      <c r="F177" s="4"/>
      <c r="G177" s="4"/>
      <c r="H177" s="4"/>
      <c r="I177" s="4"/>
      <c r="J177" s="4"/>
      <c r="K177" s="4"/>
      <c r="L177" s="4"/>
      <c r="M177" s="4"/>
      <c r="N177" s="4"/>
      <c r="O177" s="4"/>
      <c r="P177" s="4"/>
      <c r="Q177" s="4"/>
      <c r="R177" s="4"/>
      <c r="S177" s="4"/>
      <c r="T177" s="4"/>
      <c r="U177" s="4"/>
      <c r="V177" s="4"/>
      <c r="W177" s="4"/>
      <c r="X177" s="4"/>
      <c r="Y177" s="4"/>
      <c r="AB177" s="10"/>
      <c r="AC177" s="10"/>
      <c r="AD177" s="10"/>
      <c r="AE177" s="10"/>
      <c r="AF177" s="10"/>
      <c r="AG177" s="10"/>
      <c r="AH177" s="10"/>
    </row>
    <row r="178" spans="2:52" x14ac:dyDescent="0.25">
      <c r="B178" s="4"/>
      <c r="C178" s="4"/>
      <c r="D178" s="4"/>
      <c r="E178" s="4"/>
      <c r="F178" s="4"/>
      <c r="G178" s="4"/>
      <c r="H178" s="4"/>
      <c r="I178" s="4"/>
      <c r="J178" s="4"/>
      <c r="K178" s="4"/>
      <c r="L178" s="4"/>
      <c r="M178" s="4"/>
      <c r="N178" s="4"/>
      <c r="O178" s="4"/>
      <c r="P178" s="4"/>
      <c r="Q178" s="4"/>
      <c r="R178" s="4"/>
      <c r="S178" s="4"/>
      <c r="T178" s="4"/>
      <c r="U178" s="4"/>
      <c r="V178" s="4"/>
      <c r="W178" s="4"/>
      <c r="X178" s="4"/>
      <c r="Y178" s="4"/>
      <c r="AB178" s="10"/>
      <c r="AC178" s="10"/>
      <c r="AD178" s="10"/>
      <c r="AE178" s="10"/>
      <c r="AF178" s="10"/>
      <c r="AG178" s="10"/>
      <c r="AH178" s="10"/>
    </row>
    <row r="179" spans="2:52" x14ac:dyDescent="0.25">
      <c r="B179" s="4"/>
      <c r="C179" s="4"/>
      <c r="D179" s="4"/>
      <c r="E179" s="4"/>
      <c r="F179" s="4"/>
      <c r="G179" s="4"/>
      <c r="H179" s="4"/>
      <c r="I179" s="4"/>
      <c r="J179" s="4"/>
      <c r="K179" s="4"/>
      <c r="L179" s="4"/>
      <c r="M179" s="4"/>
      <c r="N179" s="4"/>
      <c r="O179" s="4"/>
      <c r="P179" s="4"/>
      <c r="Q179" s="4"/>
      <c r="R179" s="4"/>
      <c r="S179" s="4"/>
      <c r="T179" s="4"/>
      <c r="U179" s="4"/>
      <c r="V179" s="4"/>
      <c r="W179" s="4"/>
      <c r="X179" s="4"/>
      <c r="Y179" s="4"/>
      <c r="AB179" s="10"/>
      <c r="AC179" s="10"/>
      <c r="AD179" s="10"/>
      <c r="AE179" s="10"/>
      <c r="AF179" s="10"/>
      <c r="AG179" s="10"/>
      <c r="AH179" s="10"/>
    </row>
    <row r="180" spans="2:52" x14ac:dyDescent="0.25">
      <c r="B180" s="4"/>
      <c r="C180" s="4"/>
      <c r="D180" s="4"/>
      <c r="E180" s="4"/>
      <c r="F180" s="4"/>
      <c r="G180" s="4"/>
      <c r="H180" s="4"/>
      <c r="I180" s="4"/>
      <c r="J180" s="4"/>
      <c r="K180" s="4"/>
      <c r="L180" s="4"/>
      <c r="M180" s="4"/>
      <c r="N180" s="4"/>
      <c r="O180" s="4"/>
      <c r="P180" s="4"/>
      <c r="Q180" s="4"/>
      <c r="R180" s="4"/>
      <c r="S180" s="4"/>
      <c r="T180" s="4"/>
      <c r="U180" s="4"/>
      <c r="V180" s="4"/>
      <c r="W180" s="4"/>
      <c r="X180" s="4"/>
      <c r="Y180" s="4"/>
      <c r="AB180" s="10"/>
      <c r="AC180" s="10"/>
      <c r="AD180" s="10"/>
      <c r="AE180" s="10"/>
      <c r="AF180" s="15"/>
      <c r="AG180" s="15"/>
      <c r="AH180" s="10"/>
    </row>
    <row r="181" spans="2:52" x14ac:dyDescent="0.25">
      <c r="B181" s="4"/>
      <c r="C181" s="4"/>
      <c r="D181" s="4"/>
      <c r="E181" s="4"/>
      <c r="F181" s="4"/>
      <c r="G181" s="4"/>
      <c r="H181" s="4"/>
      <c r="I181" s="4"/>
      <c r="J181" s="4"/>
      <c r="K181" s="4"/>
      <c r="L181" s="4"/>
      <c r="M181" s="4"/>
      <c r="N181" s="4"/>
      <c r="O181" s="4"/>
      <c r="P181" s="4"/>
      <c r="Q181" s="4"/>
      <c r="R181" s="4"/>
      <c r="S181" s="4"/>
      <c r="T181" s="4"/>
      <c r="U181" s="4"/>
      <c r="V181" s="4"/>
      <c r="W181" s="4"/>
      <c r="X181" s="4"/>
      <c r="Y181" s="4"/>
      <c r="AB181" s="10"/>
      <c r="AC181" s="10"/>
      <c r="AD181" s="10"/>
      <c r="AE181" s="10"/>
      <c r="AF181" s="15"/>
      <c r="AG181" s="15"/>
      <c r="AH181" s="10"/>
    </row>
    <row r="182" spans="2:52" x14ac:dyDescent="0.25">
      <c r="B182" s="4"/>
      <c r="C182" s="4"/>
      <c r="D182" s="4"/>
      <c r="E182" s="4"/>
      <c r="F182" s="4"/>
      <c r="G182" s="4"/>
      <c r="H182" s="4"/>
      <c r="I182" s="4"/>
      <c r="J182" s="4"/>
      <c r="K182" s="4"/>
      <c r="L182" s="4"/>
      <c r="M182" s="4"/>
      <c r="N182" s="4"/>
      <c r="O182" s="4"/>
      <c r="P182" s="4"/>
      <c r="Q182" s="4"/>
      <c r="R182" s="4"/>
      <c r="S182" s="4"/>
      <c r="T182" s="4"/>
      <c r="U182" s="4"/>
      <c r="V182" s="4"/>
      <c r="W182" s="4"/>
      <c r="X182" s="4"/>
      <c r="Y182" s="4"/>
      <c r="AB182" s="10"/>
      <c r="AC182" s="10"/>
      <c r="AD182" s="10"/>
      <c r="AE182" s="10"/>
      <c r="AF182" s="15"/>
      <c r="AG182" s="15"/>
      <c r="AH182" s="10"/>
    </row>
    <row r="183" spans="2:52" x14ac:dyDescent="0.25">
      <c r="B183" s="4"/>
      <c r="C183" s="4"/>
      <c r="D183" s="4"/>
      <c r="E183" s="4"/>
      <c r="F183" s="4"/>
      <c r="G183" s="4"/>
      <c r="H183" s="4"/>
      <c r="I183" s="4"/>
      <c r="J183" s="4"/>
      <c r="K183" s="4"/>
      <c r="L183" s="4"/>
      <c r="M183" s="4"/>
      <c r="N183" s="4"/>
      <c r="O183" s="4"/>
      <c r="P183" s="4"/>
      <c r="Q183" s="4"/>
      <c r="R183" s="4"/>
      <c r="S183" s="4"/>
      <c r="T183" s="4"/>
      <c r="U183" s="4"/>
      <c r="V183" s="4"/>
      <c r="W183" s="4"/>
      <c r="X183" s="4"/>
      <c r="Y183" s="4"/>
      <c r="AB183" s="10"/>
      <c r="AC183" s="10"/>
      <c r="AD183" s="10"/>
      <c r="AE183" s="10"/>
      <c r="AF183" s="15"/>
      <c r="AG183" s="15"/>
      <c r="AH183" s="10"/>
    </row>
    <row r="184" spans="2:52" x14ac:dyDescent="0.25">
      <c r="B184" s="4"/>
      <c r="C184" s="4"/>
      <c r="D184" s="4"/>
      <c r="E184" s="4"/>
      <c r="F184" s="4"/>
      <c r="G184" s="4"/>
      <c r="H184" s="4"/>
      <c r="I184" s="4"/>
      <c r="J184" s="4"/>
      <c r="K184" s="4"/>
      <c r="L184" s="4"/>
      <c r="M184" s="4"/>
      <c r="N184" s="4"/>
      <c r="O184" s="4"/>
      <c r="P184" s="4"/>
      <c r="Q184" s="4"/>
      <c r="R184" s="4"/>
      <c r="S184" s="4"/>
      <c r="T184" s="4"/>
      <c r="U184" s="4"/>
      <c r="V184" s="4"/>
      <c r="W184" s="4"/>
      <c r="X184" s="4"/>
      <c r="Y184" s="4"/>
      <c r="AB184" s="10"/>
      <c r="AC184" s="10"/>
      <c r="AD184" s="10"/>
      <c r="AE184" s="10"/>
      <c r="AF184" s="15"/>
      <c r="AG184" s="15"/>
      <c r="AH184" s="10"/>
    </row>
    <row r="185" spans="2:52" x14ac:dyDescent="0.25">
      <c r="B185" s="4"/>
      <c r="C185" s="4"/>
      <c r="D185" s="4"/>
      <c r="E185" s="4"/>
      <c r="F185" s="4"/>
      <c r="G185" s="4"/>
      <c r="H185" s="4"/>
      <c r="I185" s="4"/>
      <c r="J185" s="4"/>
      <c r="K185" s="4"/>
      <c r="L185" s="4"/>
      <c r="M185" s="4"/>
      <c r="N185" s="4"/>
      <c r="O185" s="4"/>
      <c r="P185" s="4"/>
      <c r="Q185" s="4"/>
      <c r="R185" s="4"/>
      <c r="S185" s="4"/>
      <c r="T185" s="4"/>
      <c r="U185" s="4"/>
      <c r="V185" s="4"/>
      <c r="W185" s="4"/>
      <c r="X185" s="4"/>
      <c r="Y185" s="4"/>
      <c r="AB185" s="10"/>
      <c r="AC185" s="10"/>
      <c r="AD185" s="10"/>
      <c r="AE185" s="10"/>
      <c r="AF185" s="10"/>
      <c r="AG185" s="10"/>
      <c r="AH185" s="10"/>
    </row>
    <row r="186" spans="2:52" x14ac:dyDescent="0.25">
      <c r="B186" s="4"/>
      <c r="C186" s="4"/>
      <c r="D186" s="4"/>
      <c r="E186" s="4"/>
      <c r="F186" s="4"/>
      <c r="G186" s="4"/>
      <c r="H186" s="4"/>
      <c r="I186" s="4"/>
      <c r="J186" s="4"/>
      <c r="K186" s="4"/>
      <c r="L186" s="4"/>
      <c r="M186" s="4"/>
      <c r="N186" s="4"/>
      <c r="O186" s="4"/>
      <c r="P186" s="4"/>
      <c r="Q186" s="4"/>
      <c r="R186" s="4"/>
      <c r="S186" s="4"/>
      <c r="T186" s="4"/>
      <c r="U186" s="4"/>
      <c r="V186" s="4"/>
      <c r="W186" s="4"/>
      <c r="X186" s="4"/>
      <c r="Y186" s="4"/>
      <c r="AB186" s="10"/>
      <c r="AC186" s="10"/>
      <c r="AD186" s="10"/>
      <c r="AE186" s="10"/>
      <c r="AF186" s="10"/>
      <c r="AG186" s="10"/>
      <c r="AH186" s="10"/>
    </row>
    <row r="187" spans="2:52" x14ac:dyDescent="0.25">
      <c r="B187" s="4"/>
      <c r="C187" s="4"/>
      <c r="D187" s="4"/>
      <c r="E187" s="4"/>
      <c r="F187" s="4"/>
      <c r="G187" s="4"/>
      <c r="H187" s="4"/>
      <c r="I187" s="4"/>
      <c r="J187" s="4"/>
      <c r="K187" s="4"/>
      <c r="L187" s="4"/>
      <c r="M187" s="4"/>
      <c r="N187" s="4"/>
      <c r="O187" s="4"/>
      <c r="P187" s="4"/>
      <c r="Q187" s="4"/>
      <c r="R187" s="4"/>
      <c r="S187" s="4"/>
      <c r="T187" s="4"/>
      <c r="U187" s="4"/>
      <c r="V187" s="4"/>
      <c r="W187" s="4"/>
      <c r="X187" s="4"/>
      <c r="Y187" s="4"/>
      <c r="AB187" s="10"/>
      <c r="AC187" s="10"/>
      <c r="AD187" s="10"/>
      <c r="AE187" s="10"/>
      <c r="AF187" s="10"/>
      <c r="AG187" s="10"/>
      <c r="AH187" s="10"/>
    </row>
    <row r="188" spans="2:52" x14ac:dyDescent="0.25">
      <c r="B188" s="4"/>
      <c r="C188" s="4"/>
      <c r="D188" s="4"/>
      <c r="E188" s="4"/>
      <c r="F188" s="4"/>
      <c r="G188" s="4"/>
      <c r="H188" s="4"/>
      <c r="I188" s="4"/>
      <c r="J188" s="4"/>
      <c r="K188" s="4"/>
      <c r="L188" s="4"/>
      <c r="M188" s="4"/>
      <c r="N188" s="4"/>
      <c r="O188" s="4"/>
      <c r="P188" s="4"/>
      <c r="Q188" s="4"/>
      <c r="R188" s="4"/>
      <c r="S188" s="4"/>
      <c r="T188" s="4"/>
      <c r="U188" s="4"/>
      <c r="V188" s="4"/>
      <c r="W188" s="4"/>
      <c r="X188" s="4"/>
      <c r="Y188" s="4"/>
      <c r="AB188" s="10"/>
      <c r="AC188" s="10"/>
      <c r="AD188" s="10"/>
      <c r="AE188" s="10"/>
      <c r="AF188" s="15"/>
      <c r="AG188" s="15"/>
      <c r="AH188" s="10"/>
    </row>
    <row r="189" spans="2:52" x14ac:dyDescent="0.25">
      <c r="B189" s="4"/>
      <c r="C189" s="4"/>
      <c r="D189" s="4"/>
      <c r="E189" s="4"/>
      <c r="F189" s="4"/>
      <c r="G189" s="4"/>
      <c r="H189" s="4"/>
      <c r="I189" s="4"/>
      <c r="J189" s="4"/>
      <c r="K189" s="4"/>
      <c r="L189" s="4"/>
      <c r="M189" s="4"/>
      <c r="N189" s="4"/>
      <c r="O189" s="4"/>
      <c r="P189" s="4"/>
      <c r="Q189" s="4"/>
      <c r="R189" s="4"/>
      <c r="S189" s="4"/>
      <c r="T189" s="4"/>
      <c r="U189" s="4"/>
      <c r="V189" s="4"/>
      <c r="W189" s="4"/>
      <c r="X189" s="4"/>
      <c r="Y189" s="4"/>
      <c r="AB189" s="10"/>
      <c r="AC189" s="10"/>
      <c r="AD189" s="10"/>
      <c r="AE189" s="10"/>
      <c r="AF189" s="10"/>
      <c r="AG189" s="10"/>
      <c r="AH189" s="10"/>
    </row>
    <row r="190" spans="2:52" x14ac:dyDescent="0.25">
      <c r="B190" s="4"/>
      <c r="C190" s="4"/>
      <c r="D190" s="4"/>
      <c r="E190" s="4"/>
      <c r="F190" s="4"/>
      <c r="G190" s="4"/>
      <c r="H190" s="4"/>
      <c r="I190" s="4"/>
      <c r="J190" s="4"/>
      <c r="K190" s="4"/>
      <c r="L190" s="4"/>
      <c r="M190" s="4"/>
      <c r="N190" s="4"/>
      <c r="O190" s="4"/>
      <c r="P190" s="4"/>
      <c r="Q190" s="4"/>
      <c r="R190" s="4"/>
      <c r="S190" s="4"/>
      <c r="T190" s="4"/>
      <c r="U190" s="4"/>
      <c r="V190" s="4"/>
      <c r="W190" s="4"/>
      <c r="X190" s="4"/>
      <c r="Y190" s="4"/>
      <c r="AB190" s="10"/>
      <c r="AC190" s="10"/>
      <c r="AD190" s="10"/>
      <c r="AE190" s="10"/>
      <c r="AF190" s="10"/>
      <c r="AG190" s="10"/>
      <c r="AH190" s="10"/>
      <c r="AZ190" s="10"/>
    </row>
    <row r="191" spans="2:52" ht="12.75" customHeight="1" x14ac:dyDescent="0.25">
      <c r="B191" s="4"/>
      <c r="C191" s="4"/>
      <c r="D191" s="4"/>
      <c r="E191" s="4"/>
      <c r="F191" s="4"/>
      <c r="G191" s="4"/>
      <c r="H191" s="4"/>
      <c r="I191" s="4"/>
      <c r="J191" s="4"/>
      <c r="K191" s="4"/>
      <c r="L191" s="4"/>
      <c r="M191" s="4"/>
      <c r="N191" s="4"/>
      <c r="O191" s="4"/>
      <c r="P191" s="4"/>
      <c r="Q191" s="4"/>
      <c r="R191" s="4"/>
      <c r="S191" s="4"/>
      <c r="T191" s="4"/>
      <c r="U191" s="4"/>
      <c r="V191" s="4"/>
      <c r="W191" s="4"/>
      <c r="X191" s="4"/>
      <c r="Y191" s="4"/>
      <c r="AB191" s="10"/>
      <c r="AC191" s="10"/>
      <c r="AD191" s="10"/>
      <c r="AE191" s="10"/>
      <c r="AF191" s="10"/>
      <c r="AG191" s="10"/>
      <c r="AH191" s="10"/>
    </row>
    <row r="192" spans="2:52" x14ac:dyDescent="0.25">
      <c r="B192" s="4"/>
      <c r="C192" s="4"/>
      <c r="D192" s="4"/>
      <c r="E192" s="4"/>
      <c r="F192" s="4"/>
      <c r="G192" s="4"/>
      <c r="H192" s="4"/>
      <c r="I192" s="4"/>
      <c r="J192" s="4"/>
      <c r="K192" s="4"/>
      <c r="L192" s="4"/>
      <c r="M192" s="4"/>
      <c r="N192" s="4"/>
      <c r="O192" s="4"/>
      <c r="P192" s="4"/>
      <c r="Q192" s="4"/>
      <c r="R192" s="4"/>
      <c r="S192" s="4"/>
      <c r="T192" s="4"/>
      <c r="U192" s="4"/>
      <c r="V192" s="4"/>
      <c r="W192" s="4"/>
      <c r="X192" s="4"/>
      <c r="Y192" s="4"/>
      <c r="AB192" s="10"/>
      <c r="AC192" s="10"/>
      <c r="AD192" s="10"/>
      <c r="AE192" s="10"/>
      <c r="AF192" s="10"/>
      <c r="AG192" s="10"/>
      <c r="AH192" s="10"/>
    </row>
    <row r="193" spans="2:34" x14ac:dyDescent="0.25">
      <c r="B193" s="4"/>
      <c r="C193" s="4"/>
      <c r="D193" s="4"/>
      <c r="E193" s="4"/>
      <c r="F193" s="4"/>
      <c r="G193" s="4"/>
      <c r="H193" s="4"/>
      <c r="I193" s="4"/>
      <c r="J193" s="4"/>
      <c r="K193" s="4"/>
      <c r="L193" s="4"/>
      <c r="M193" s="4"/>
      <c r="N193" s="4"/>
      <c r="O193" s="4"/>
      <c r="P193" s="4"/>
      <c r="Q193" s="4"/>
      <c r="R193" s="4"/>
      <c r="S193" s="4"/>
      <c r="T193" s="4"/>
      <c r="U193" s="4"/>
      <c r="V193" s="4"/>
      <c r="W193" s="4"/>
      <c r="X193" s="4"/>
      <c r="Y193" s="4"/>
      <c r="AB193" s="10"/>
      <c r="AC193" s="10"/>
      <c r="AD193" s="10"/>
      <c r="AE193" s="10"/>
      <c r="AF193" s="10"/>
      <c r="AG193" s="10"/>
      <c r="AH193" s="10"/>
    </row>
    <row r="194" spans="2:34" x14ac:dyDescent="0.25">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2:34" x14ac:dyDescent="0.25">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2:34" x14ac:dyDescent="0.25">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2:34" x14ac:dyDescent="0.25">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2:34" x14ac:dyDescent="0.25">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2:34" x14ac:dyDescent="0.25">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2:34" ht="14.25" customHeight="1" x14ac:dyDescent="0.25">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2:34" ht="13.5" customHeight="1" x14ac:dyDescent="0.25">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2:34" x14ac:dyDescent="0.25">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2:34" x14ac:dyDescent="0.25">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2:34" x14ac:dyDescent="0.25">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2:34" x14ac:dyDescent="0.25">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2:34" x14ac:dyDescent="0.25">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2:34" x14ac:dyDescent="0.25">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2:34" x14ac:dyDescent="0.25">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34" x14ac:dyDescent="0.25">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34" x14ac:dyDescent="0.25">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34" x14ac:dyDescent="0.25">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34" x14ac:dyDescent="0.25">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34" x14ac:dyDescent="0.25">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34" x14ac:dyDescent="0.25">
      <c r="B214" s="4"/>
      <c r="C214" s="4"/>
      <c r="D214" s="4"/>
      <c r="E214" s="4"/>
      <c r="F214" s="4"/>
      <c r="G214" s="4"/>
      <c r="H214" s="4"/>
      <c r="I214" s="4"/>
      <c r="J214" s="4"/>
      <c r="K214" s="3"/>
      <c r="L214" s="3"/>
      <c r="M214" s="3"/>
      <c r="N214" s="3"/>
      <c r="O214" s="3"/>
      <c r="P214" s="4"/>
      <c r="Q214" s="4"/>
      <c r="R214" s="4"/>
      <c r="S214" s="4"/>
      <c r="T214" s="4"/>
      <c r="U214" s="4"/>
      <c r="V214" s="4"/>
      <c r="W214" s="4"/>
      <c r="X214" s="4"/>
      <c r="Y214" s="4"/>
    </row>
    <row r="215" spans="1:34" ht="13.8" thickBot="1" x14ac:dyDescent="0.3">
      <c r="B215" s="4"/>
      <c r="C215" s="4"/>
      <c r="D215" s="4"/>
      <c r="E215" s="4"/>
      <c r="F215" s="4"/>
      <c r="G215" s="4"/>
      <c r="H215" s="4"/>
      <c r="I215" s="4"/>
      <c r="J215" s="4"/>
      <c r="K215" s="3"/>
      <c r="L215" s="3"/>
      <c r="M215" s="3"/>
      <c r="N215" s="3"/>
      <c r="O215" s="3"/>
      <c r="P215" s="4"/>
      <c r="Q215" s="4"/>
      <c r="R215" s="4"/>
      <c r="S215" s="4"/>
      <c r="T215" s="4"/>
      <c r="U215" s="4"/>
      <c r="V215" s="4"/>
      <c r="W215" s="4"/>
      <c r="X215" s="4"/>
      <c r="Y215" s="4"/>
    </row>
    <row r="216" spans="1:34" x14ac:dyDescent="0.25">
      <c r="A216" s="12"/>
      <c r="B216" s="13"/>
      <c r="C216" s="13"/>
      <c r="D216" s="13"/>
      <c r="E216" s="13"/>
      <c r="F216" s="13"/>
      <c r="G216" s="13"/>
      <c r="H216" s="13"/>
      <c r="I216" s="13"/>
      <c r="J216" s="14"/>
      <c r="K216" s="3"/>
      <c r="L216" s="3"/>
      <c r="M216" s="3"/>
      <c r="N216" s="3"/>
      <c r="O216" s="3"/>
      <c r="P216" s="4"/>
      <c r="Q216" s="4"/>
      <c r="R216" s="4"/>
      <c r="S216" s="4"/>
      <c r="T216" s="4"/>
      <c r="U216" s="4"/>
      <c r="V216" s="4"/>
      <c r="W216" s="4"/>
      <c r="X216" s="4"/>
      <c r="Y216" s="4"/>
      <c r="AB216" s="10"/>
      <c r="AC216" s="10"/>
      <c r="AD216" s="10"/>
      <c r="AE216" s="10"/>
    </row>
    <row r="217" spans="1:34" x14ac:dyDescent="0.25">
      <c r="A217" s="21"/>
      <c r="B217" s="3"/>
      <c r="C217" s="3"/>
      <c r="D217" s="3"/>
      <c r="E217" s="3"/>
      <c r="F217" s="3"/>
      <c r="G217" s="3"/>
      <c r="H217" s="3"/>
      <c r="I217" s="3"/>
      <c r="J217" s="22"/>
      <c r="K217" s="3"/>
      <c r="L217" s="3"/>
      <c r="M217" s="3"/>
      <c r="N217" s="3"/>
      <c r="O217" s="3"/>
      <c r="P217" s="4"/>
      <c r="Q217" s="4"/>
      <c r="R217" s="4"/>
      <c r="S217" s="4"/>
      <c r="T217" s="4"/>
      <c r="U217" s="4"/>
      <c r="V217" s="4"/>
      <c r="W217" s="4"/>
      <c r="X217" s="4"/>
      <c r="Y217" s="4"/>
      <c r="AB217" s="146"/>
      <c r="AC217" s="10"/>
      <c r="AD217" s="10"/>
      <c r="AE217" s="10"/>
      <c r="AF217" s="10"/>
      <c r="AG217" s="10"/>
      <c r="AH217" s="10"/>
    </row>
    <row r="218" spans="1:34" x14ac:dyDescent="0.25">
      <c r="A218" s="21"/>
      <c r="B218" s="3"/>
      <c r="C218" s="147"/>
      <c r="D218" s="3"/>
      <c r="E218" s="3"/>
      <c r="F218" s="3"/>
      <c r="G218" s="3"/>
      <c r="H218" s="3"/>
      <c r="I218" s="3"/>
      <c r="J218" s="22"/>
      <c r="K218" s="3"/>
      <c r="L218" s="3"/>
      <c r="M218" s="3"/>
      <c r="N218" s="3"/>
      <c r="O218" s="3"/>
      <c r="P218" s="4"/>
      <c r="Q218" s="4"/>
      <c r="R218" s="4"/>
      <c r="S218" s="4"/>
      <c r="T218" s="4"/>
      <c r="U218" s="4"/>
      <c r="V218" s="4"/>
      <c r="W218" s="4"/>
      <c r="X218" s="4"/>
      <c r="Y218" s="4"/>
      <c r="AB218" s="148"/>
      <c r="AC218" s="149"/>
      <c r="AD218" s="149"/>
      <c r="AE218" s="10"/>
      <c r="AF218" s="10"/>
      <c r="AG218" s="10"/>
      <c r="AH218" s="10"/>
    </row>
    <row r="219" spans="1:34" x14ac:dyDescent="0.25">
      <c r="A219" s="21"/>
      <c r="B219" s="3"/>
      <c r="C219" s="3"/>
      <c r="D219" s="3"/>
      <c r="E219" s="3"/>
      <c r="F219" s="3"/>
      <c r="G219" s="3"/>
      <c r="H219" s="3"/>
      <c r="I219" s="3"/>
      <c r="J219" s="22"/>
      <c r="K219" s="3"/>
      <c r="L219" s="3"/>
      <c r="M219" s="3"/>
      <c r="N219" s="3"/>
      <c r="O219" s="3"/>
      <c r="P219" s="4"/>
      <c r="Q219" s="4"/>
      <c r="R219" s="4"/>
      <c r="S219" s="4"/>
      <c r="T219" s="4"/>
      <c r="U219" s="4"/>
      <c r="V219" s="4"/>
      <c r="W219" s="4"/>
      <c r="X219" s="4"/>
      <c r="Y219" s="4"/>
      <c r="AB219" s="150"/>
      <c r="AC219" s="149"/>
      <c r="AD219" s="149"/>
      <c r="AE219" s="10"/>
      <c r="AF219" s="10"/>
      <c r="AG219" s="10"/>
      <c r="AH219" s="10"/>
    </row>
    <row r="220" spans="1:34" x14ac:dyDescent="0.25">
      <c r="A220" s="21"/>
      <c r="B220" s="3"/>
      <c r="C220" s="3"/>
      <c r="D220" s="3"/>
      <c r="E220" s="3"/>
      <c r="F220" s="3"/>
      <c r="G220" s="3"/>
      <c r="H220" s="3"/>
      <c r="I220" s="3"/>
      <c r="J220" s="22"/>
      <c r="K220" s="3"/>
      <c r="L220" s="3"/>
      <c r="M220" s="3"/>
      <c r="N220" s="3"/>
      <c r="O220" s="3"/>
      <c r="P220" s="4"/>
      <c r="Q220" s="4"/>
      <c r="R220" s="4"/>
      <c r="S220" s="4"/>
      <c r="T220" s="4"/>
      <c r="U220" s="4"/>
      <c r="V220" s="4"/>
      <c r="W220" s="4"/>
      <c r="X220" s="4"/>
      <c r="Y220" s="4"/>
      <c r="AB220" s="151"/>
      <c r="AC220" s="149"/>
      <c r="AD220" s="149"/>
      <c r="AE220" s="10"/>
      <c r="AF220" s="10"/>
      <c r="AG220" s="10"/>
      <c r="AH220" s="10"/>
    </row>
    <row r="221" spans="1:34" x14ac:dyDescent="0.25">
      <c r="A221" s="21"/>
      <c r="B221" s="3"/>
      <c r="C221" s="124" t="s">
        <v>169</v>
      </c>
      <c r="D221" s="55"/>
      <c r="E221" s="55"/>
      <c r="F221" s="55"/>
      <c r="G221" s="125"/>
      <c r="H221" s="125"/>
      <c r="I221" s="125"/>
      <c r="J221" s="22"/>
      <c r="K221" s="3"/>
      <c r="L221" s="3"/>
      <c r="M221" s="3"/>
      <c r="N221" s="3"/>
      <c r="O221" s="3"/>
      <c r="P221" s="4"/>
      <c r="Q221" s="4"/>
      <c r="R221" s="4"/>
      <c r="S221" s="4"/>
      <c r="T221" s="4"/>
      <c r="U221" s="4"/>
      <c r="V221" s="4"/>
      <c r="W221" s="4"/>
      <c r="X221" s="4"/>
      <c r="Y221" s="4"/>
      <c r="AB221" s="151"/>
      <c r="AC221" s="149"/>
      <c r="AD221" s="149"/>
      <c r="AE221" s="10"/>
      <c r="AF221" s="10"/>
      <c r="AG221" s="10"/>
      <c r="AH221" s="10"/>
    </row>
    <row r="222" spans="1:34" x14ac:dyDescent="0.25">
      <c r="A222" s="21"/>
      <c r="B222" s="3"/>
      <c r="C222" s="3"/>
      <c r="D222" s="3"/>
      <c r="E222" s="3"/>
      <c r="F222" s="3"/>
      <c r="G222" s="3"/>
      <c r="H222" s="3"/>
      <c r="I222" s="3"/>
      <c r="J222" s="22"/>
      <c r="K222" s="3"/>
      <c r="L222" s="3"/>
      <c r="M222" s="3"/>
      <c r="N222" s="3"/>
      <c r="O222" s="3"/>
      <c r="P222" s="4"/>
      <c r="Q222" s="4"/>
      <c r="R222" s="4"/>
      <c r="S222" s="4"/>
      <c r="T222" s="4"/>
      <c r="U222" s="4"/>
      <c r="V222" s="4"/>
      <c r="W222" s="4"/>
      <c r="X222" s="4"/>
      <c r="Y222" s="4"/>
      <c r="AB222" s="151"/>
      <c r="AC222" s="10"/>
      <c r="AD222" s="10"/>
      <c r="AE222" s="10"/>
      <c r="AF222" s="10"/>
      <c r="AG222" s="10"/>
      <c r="AH222" s="10"/>
    </row>
    <row r="223" spans="1:34" x14ac:dyDescent="0.25">
      <c r="A223" s="21"/>
      <c r="B223" s="3"/>
      <c r="C223" s="3"/>
      <c r="D223" s="3"/>
      <c r="E223" s="3"/>
      <c r="F223" s="3"/>
      <c r="G223" s="3"/>
      <c r="H223" s="3"/>
      <c r="I223" s="3"/>
      <c r="J223" s="22"/>
      <c r="K223" s="3"/>
      <c r="L223" s="3"/>
      <c r="M223" s="3"/>
      <c r="N223" s="3"/>
      <c r="O223" s="3"/>
      <c r="P223" s="4"/>
      <c r="Q223" s="4"/>
      <c r="R223" s="4"/>
      <c r="S223" s="4"/>
      <c r="T223" s="4"/>
      <c r="U223" s="4"/>
      <c r="V223" s="4"/>
      <c r="W223" s="4"/>
      <c r="X223" s="4"/>
      <c r="Y223" s="4"/>
      <c r="AB223" s="151"/>
      <c r="AC223" s="10"/>
      <c r="AD223" s="10"/>
      <c r="AE223" s="10"/>
      <c r="AF223" s="10"/>
      <c r="AG223" s="10"/>
      <c r="AH223" s="10"/>
    </row>
    <row r="224" spans="1:34" x14ac:dyDescent="0.25">
      <c r="A224" s="21"/>
      <c r="B224" s="3"/>
      <c r="C224" s="147"/>
      <c r="D224" s="83"/>
      <c r="E224" s="3"/>
      <c r="F224" s="3"/>
      <c r="G224" s="3"/>
      <c r="H224" s="3"/>
      <c r="I224" s="3"/>
      <c r="J224" s="22"/>
      <c r="K224" s="3"/>
      <c r="L224" s="3"/>
      <c r="M224" s="3"/>
      <c r="N224" s="3"/>
      <c r="O224" s="3"/>
      <c r="P224" s="4"/>
      <c r="Q224" s="4"/>
      <c r="R224" s="4"/>
      <c r="S224" s="4"/>
      <c r="T224" s="4"/>
      <c r="U224" s="4"/>
      <c r="V224" s="4"/>
      <c r="W224" s="4"/>
      <c r="X224" s="4"/>
      <c r="Y224" s="4"/>
      <c r="AB224" s="151"/>
      <c r="AC224" s="10"/>
      <c r="AD224" s="10"/>
      <c r="AE224" s="10"/>
      <c r="AF224" s="10"/>
      <c r="AG224" s="10"/>
      <c r="AH224" s="10"/>
    </row>
    <row r="225" spans="1:58" x14ac:dyDescent="0.25">
      <c r="A225" s="21"/>
      <c r="B225" s="3"/>
      <c r="C225" s="48" t="s">
        <v>156</v>
      </c>
      <c r="D225" s="152"/>
      <c r="E225" s="3"/>
      <c r="F225" s="3"/>
      <c r="G225" s="3"/>
      <c r="H225" s="3"/>
      <c r="I225" s="3"/>
      <c r="J225" s="22"/>
      <c r="K225" s="3"/>
      <c r="L225" s="3"/>
      <c r="M225" s="3"/>
      <c r="N225" s="3"/>
      <c r="O225" s="3"/>
      <c r="P225" s="4"/>
      <c r="Q225" s="4"/>
      <c r="R225" s="4"/>
      <c r="S225" s="4"/>
      <c r="T225" s="4"/>
      <c r="U225" s="4"/>
      <c r="V225" s="4"/>
      <c r="W225" s="4"/>
      <c r="X225" s="4"/>
      <c r="Y225" s="4"/>
      <c r="AB225" s="153"/>
      <c r="AD225" s="10"/>
      <c r="AE225" s="10"/>
      <c r="AF225" s="10"/>
      <c r="AG225" s="10"/>
      <c r="AH225" s="10"/>
    </row>
    <row r="226" spans="1:58" ht="13.8" thickBot="1" x14ac:dyDescent="0.3">
      <c r="A226" s="21"/>
      <c r="B226" s="3"/>
      <c r="C226" s="3"/>
      <c r="D226" s="3"/>
      <c r="E226" s="3"/>
      <c r="F226" s="3"/>
      <c r="G226" s="3"/>
      <c r="H226" s="3"/>
      <c r="I226" s="3"/>
      <c r="J226" s="22"/>
      <c r="K226" s="3"/>
      <c r="L226" s="3"/>
      <c r="M226" s="3"/>
      <c r="N226" s="3"/>
      <c r="O226" s="3"/>
      <c r="P226" s="4"/>
      <c r="Q226" s="4"/>
      <c r="R226" s="4"/>
      <c r="S226" s="4"/>
      <c r="T226" s="4"/>
      <c r="U226" s="4"/>
      <c r="V226" s="4"/>
      <c r="W226" s="4"/>
      <c r="X226" s="4"/>
      <c r="Y226" s="4"/>
      <c r="AB226" s="153"/>
      <c r="AD226" s="10"/>
      <c r="AE226" s="10"/>
      <c r="AF226" s="10"/>
      <c r="AG226" s="10"/>
      <c r="AH226" s="10"/>
    </row>
    <row r="227" spans="1:58" ht="13.8" thickBot="1" x14ac:dyDescent="0.3">
      <c r="A227" s="21"/>
      <c r="B227" s="3"/>
      <c r="C227" s="154" t="s">
        <v>118</v>
      </c>
      <c r="D227" s="155" t="s">
        <v>119</v>
      </c>
      <c r="E227" s="156" t="s">
        <v>170</v>
      </c>
      <c r="F227" s="156" t="s">
        <v>171</v>
      </c>
      <c r="G227" s="156" t="s">
        <v>172</v>
      </c>
      <c r="H227" s="156" t="s">
        <v>173</v>
      </c>
      <c r="I227" s="156" t="s">
        <v>174</v>
      </c>
      <c r="J227" s="22"/>
      <c r="K227" s="3"/>
      <c r="L227" s="3"/>
      <c r="M227" s="3"/>
      <c r="N227" s="3"/>
      <c r="O227" s="3"/>
      <c r="P227" s="4"/>
      <c r="Q227" s="4"/>
      <c r="R227" s="4"/>
      <c r="S227" s="4"/>
      <c r="T227" s="4"/>
      <c r="U227" s="4"/>
      <c r="V227" s="4"/>
      <c r="W227" s="4"/>
      <c r="X227" s="4"/>
      <c r="Y227" s="4"/>
      <c r="AD227" s="10"/>
      <c r="AE227" s="10"/>
      <c r="AF227" s="10"/>
      <c r="AG227" s="10"/>
      <c r="AH227" s="10"/>
    </row>
    <row r="228" spans="1:58" x14ac:dyDescent="0.25">
      <c r="A228" s="21"/>
      <c r="B228" s="3"/>
      <c r="C228" s="157">
        <v>1</v>
      </c>
      <c r="D228" s="158"/>
      <c r="E228" s="159"/>
      <c r="F228" s="159"/>
      <c r="G228" s="159"/>
      <c r="H228" s="159"/>
      <c r="I228" s="159"/>
      <c r="J228" s="22"/>
      <c r="K228" s="3"/>
      <c r="L228" s="3"/>
      <c r="M228" s="3"/>
      <c r="N228" s="3"/>
      <c r="O228" s="3"/>
      <c r="P228" s="4"/>
      <c r="Q228" s="4"/>
      <c r="R228" s="4"/>
      <c r="S228" s="4"/>
      <c r="T228" s="4"/>
      <c r="U228" s="4"/>
      <c r="V228" s="4"/>
      <c r="W228" s="4"/>
      <c r="X228" s="4"/>
      <c r="Y228" s="4"/>
      <c r="AD228" s="10"/>
      <c r="AE228" s="10"/>
      <c r="AF228" s="10"/>
      <c r="AG228" s="10"/>
      <c r="AH228" s="10"/>
    </row>
    <row r="229" spans="1:58" x14ac:dyDescent="0.25">
      <c r="A229" s="21"/>
      <c r="B229" s="3"/>
      <c r="C229" s="50">
        <v>2</v>
      </c>
      <c r="D229" s="160"/>
      <c r="E229" s="160"/>
      <c r="F229" s="160"/>
      <c r="G229" s="161"/>
      <c r="H229" s="160"/>
      <c r="I229" s="160"/>
      <c r="J229" s="22"/>
      <c r="K229" s="3"/>
      <c r="L229" s="3"/>
      <c r="M229" s="3"/>
      <c r="N229" s="3"/>
      <c r="O229" s="3"/>
      <c r="P229" s="4"/>
      <c r="Q229" s="4"/>
      <c r="R229" s="4"/>
      <c r="S229" s="4"/>
      <c r="T229" s="4"/>
      <c r="U229" s="4"/>
      <c r="V229" s="4"/>
      <c r="W229" s="4"/>
      <c r="X229" s="4"/>
      <c r="Y229" s="4"/>
      <c r="AD229" s="10"/>
      <c r="AE229" s="10"/>
      <c r="AF229" s="15"/>
      <c r="AG229" s="15"/>
      <c r="AH229" s="10"/>
    </row>
    <row r="230" spans="1:58" x14ac:dyDescent="0.25">
      <c r="A230" s="21"/>
      <c r="B230" s="3"/>
      <c r="C230" s="50">
        <v>3</v>
      </c>
      <c r="D230" s="160"/>
      <c r="E230" s="160"/>
      <c r="F230" s="160"/>
      <c r="G230" s="161"/>
      <c r="H230" s="160"/>
      <c r="I230" s="160"/>
      <c r="J230" s="22"/>
      <c r="K230" s="3"/>
      <c r="L230" s="3"/>
      <c r="M230" s="3"/>
      <c r="N230" s="3"/>
      <c r="O230" s="3"/>
      <c r="P230" s="4"/>
      <c r="Q230" s="4"/>
      <c r="R230" s="4"/>
      <c r="S230" s="4"/>
      <c r="T230" s="4"/>
      <c r="U230" s="4"/>
      <c r="V230" s="4"/>
      <c r="W230" s="4"/>
      <c r="X230" s="4"/>
      <c r="Y230" s="4"/>
      <c r="AD230" s="10"/>
      <c r="AE230" s="10"/>
      <c r="AF230" s="10"/>
      <c r="AG230" s="10"/>
      <c r="AH230" s="10"/>
    </row>
    <row r="231" spans="1:58" x14ac:dyDescent="0.25">
      <c r="A231" s="21"/>
      <c r="B231" s="3"/>
      <c r="C231" s="50">
        <v>4</v>
      </c>
      <c r="D231" s="160"/>
      <c r="E231" s="160"/>
      <c r="F231" s="160"/>
      <c r="G231" s="161"/>
      <c r="H231" s="160"/>
      <c r="I231" s="160"/>
      <c r="J231" s="22"/>
      <c r="K231" s="3"/>
      <c r="L231" s="3"/>
      <c r="M231" s="3"/>
      <c r="N231" s="3"/>
      <c r="O231" s="3"/>
      <c r="P231" s="4"/>
      <c r="Q231" s="4"/>
      <c r="R231" s="4"/>
      <c r="S231" s="4"/>
      <c r="T231" s="4"/>
      <c r="U231" s="4"/>
      <c r="V231" s="4"/>
      <c r="W231" s="10"/>
      <c r="X231" s="10"/>
      <c r="Y231" s="10"/>
      <c r="Z231" s="10"/>
      <c r="AB231" s="10"/>
      <c r="AC231" s="10"/>
      <c r="AD231" s="10"/>
      <c r="AE231" s="10"/>
      <c r="AF231" s="10"/>
      <c r="AG231" s="10"/>
      <c r="AH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row>
    <row r="232" spans="1:58" x14ac:dyDescent="0.25">
      <c r="A232" s="21"/>
      <c r="B232" s="3"/>
      <c r="C232" s="50">
        <v>5</v>
      </c>
      <c r="D232" s="160"/>
      <c r="E232" s="160"/>
      <c r="F232" s="160"/>
      <c r="G232" s="161"/>
      <c r="H232" s="160"/>
      <c r="I232" s="160"/>
      <c r="J232" s="22"/>
      <c r="K232" s="3"/>
      <c r="L232" s="3"/>
      <c r="M232" s="3"/>
      <c r="N232" s="3"/>
      <c r="O232" s="3"/>
      <c r="P232" s="4"/>
      <c r="Q232" s="4"/>
      <c r="R232" s="4"/>
      <c r="S232" s="4"/>
      <c r="T232" s="4"/>
      <c r="U232" s="4"/>
      <c r="V232" s="4"/>
      <c r="W232" s="4"/>
      <c r="X232" s="4"/>
      <c r="Y232" s="4"/>
      <c r="AD232" s="10"/>
      <c r="AE232" s="10"/>
      <c r="AF232" s="10"/>
      <c r="AG232" s="10"/>
      <c r="AH232" s="10"/>
    </row>
    <row r="233" spans="1:58" x14ac:dyDescent="0.25">
      <c r="A233" s="21"/>
      <c r="B233" s="3"/>
      <c r="C233" s="3"/>
      <c r="D233" s="3"/>
      <c r="E233" s="3"/>
      <c r="F233" s="3"/>
      <c r="G233" s="3"/>
      <c r="H233" s="3"/>
      <c r="I233" s="3"/>
      <c r="J233" s="22"/>
      <c r="K233" s="3"/>
      <c r="L233" s="3"/>
      <c r="M233" s="3"/>
      <c r="N233" s="3"/>
      <c r="O233" s="3"/>
      <c r="P233" s="4"/>
      <c r="Q233" s="4"/>
      <c r="R233" s="4"/>
      <c r="S233" s="4"/>
      <c r="T233" s="4"/>
      <c r="U233" s="4"/>
      <c r="V233" s="4"/>
      <c r="W233" s="4"/>
      <c r="X233" s="4"/>
      <c r="Y233" s="4"/>
      <c r="AD233" s="10"/>
      <c r="AE233" s="10"/>
      <c r="AF233" s="10"/>
      <c r="AG233" s="10"/>
      <c r="AH233" s="10"/>
    </row>
    <row r="234" spans="1:58" x14ac:dyDescent="0.25">
      <c r="A234" s="21"/>
      <c r="B234" s="3"/>
      <c r="C234" s="3"/>
      <c r="D234" s="3"/>
      <c r="E234" s="3"/>
      <c r="F234" s="3"/>
      <c r="G234" s="3"/>
      <c r="H234" s="3"/>
      <c r="I234" s="3"/>
      <c r="J234" s="22"/>
      <c r="K234" s="3"/>
      <c r="L234" s="3"/>
      <c r="M234" s="3"/>
      <c r="N234" s="3"/>
      <c r="O234" s="3"/>
      <c r="P234" s="4"/>
      <c r="Q234" s="4"/>
      <c r="R234" s="4"/>
      <c r="S234" s="4"/>
      <c r="T234" s="4"/>
      <c r="U234" s="4"/>
      <c r="V234" s="4"/>
      <c r="W234" s="4"/>
      <c r="X234" s="4"/>
      <c r="Y234" s="4"/>
      <c r="AD234" s="10"/>
      <c r="AE234" s="10"/>
      <c r="AF234" s="10"/>
      <c r="AG234" s="10"/>
      <c r="AH234" s="10"/>
    </row>
    <row r="235" spans="1:58" x14ac:dyDescent="0.25">
      <c r="A235" s="21"/>
      <c r="B235" s="3"/>
      <c r="C235" s="3"/>
      <c r="D235" s="3"/>
      <c r="E235" s="3"/>
      <c r="F235" s="3"/>
      <c r="G235" s="58"/>
      <c r="H235" s="3"/>
      <c r="I235" s="3"/>
      <c r="J235" s="22"/>
      <c r="K235" s="3"/>
      <c r="L235" s="3"/>
      <c r="M235" s="3"/>
      <c r="N235" s="3"/>
      <c r="O235" s="3"/>
      <c r="P235" s="4"/>
      <c r="Q235" s="4"/>
      <c r="R235" s="4"/>
      <c r="S235" s="4"/>
      <c r="T235" s="4"/>
      <c r="U235" s="4"/>
      <c r="V235" s="4"/>
      <c r="W235" s="4"/>
      <c r="X235" s="4"/>
      <c r="Y235" s="4"/>
      <c r="AD235" s="10"/>
      <c r="AE235" s="10"/>
      <c r="AF235" s="10"/>
      <c r="AG235" s="10"/>
      <c r="AH235" s="10"/>
    </row>
    <row r="236" spans="1:58" x14ac:dyDescent="0.25">
      <c r="A236" s="21"/>
      <c r="B236" s="3"/>
      <c r="C236" s="3"/>
      <c r="D236" s="3"/>
      <c r="E236" s="3"/>
      <c r="F236" s="3"/>
      <c r="G236" s="58"/>
      <c r="H236" s="3"/>
      <c r="I236" s="3"/>
      <c r="J236" s="22"/>
      <c r="K236" s="3"/>
      <c r="L236" s="3"/>
      <c r="M236" s="3"/>
      <c r="N236" s="3"/>
      <c r="O236" s="3"/>
      <c r="P236" s="4"/>
      <c r="Q236" s="4"/>
      <c r="R236" s="4"/>
      <c r="S236" s="4"/>
      <c r="T236" s="4"/>
      <c r="U236" s="4"/>
      <c r="V236" s="4"/>
      <c r="W236" s="4"/>
      <c r="X236" s="4"/>
      <c r="Y236" s="4"/>
      <c r="AD236" s="10"/>
      <c r="AE236" s="10"/>
      <c r="AF236" s="10"/>
      <c r="AG236" s="10"/>
      <c r="AH236" s="10"/>
    </row>
    <row r="237" spans="1:58" x14ac:dyDescent="0.25">
      <c r="A237" s="21"/>
      <c r="B237" s="3"/>
      <c r="C237" s="3"/>
      <c r="D237" s="3"/>
      <c r="E237" s="3"/>
      <c r="F237" s="3"/>
      <c r="G237" s="71"/>
      <c r="H237" s="3"/>
      <c r="I237" s="3"/>
      <c r="J237" s="22"/>
      <c r="K237" s="3"/>
      <c r="L237" s="3"/>
      <c r="M237" s="3"/>
      <c r="N237" s="3"/>
      <c r="O237" s="3"/>
      <c r="P237" s="4"/>
      <c r="Q237" s="4"/>
      <c r="R237" s="4"/>
      <c r="S237" s="4"/>
      <c r="T237" s="4"/>
      <c r="U237" s="4"/>
      <c r="V237" s="4"/>
      <c r="W237" s="4"/>
      <c r="X237" s="4"/>
      <c r="Y237" s="4"/>
      <c r="AD237" s="10"/>
      <c r="AE237" s="10"/>
      <c r="AF237" s="10"/>
      <c r="AG237" s="10"/>
      <c r="AH237" s="10"/>
    </row>
    <row r="238" spans="1:58" x14ac:dyDescent="0.25">
      <c r="A238" s="21"/>
      <c r="B238" s="3"/>
      <c r="C238" s="3"/>
      <c r="D238" s="3"/>
      <c r="E238" s="3"/>
      <c r="F238" s="58"/>
      <c r="G238" s="58"/>
      <c r="H238" s="3"/>
      <c r="I238" s="3"/>
      <c r="J238" s="22"/>
      <c r="K238" s="3"/>
      <c r="L238" s="3"/>
      <c r="M238" s="3"/>
      <c r="N238" s="3"/>
      <c r="O238" s="3"/>
      <c r="P238" s="4"/>
      <c r="Q238" s="4"/>
      <c r="R238" s="4"/>
      <c r="S238" s="4"/>
      <c r="T238" s="4"/>
      <c r="U238" s="4"/>
      <c r="V238" s="4"/>
      <c r="W238" s="4"/>
      <c r="X238" s="4"/>
      <c r="Y238" s="4"/>
    </row>
    <row r="239" spans="1:58" x14ac:dyDescent="0.25">
      <c r="A239" s="21"/>
      <c r="B239" s="3"/>
      <c r="C239" s="3"/>
      <c r="D239" s="3"/>
      <c r="E239" s="3"/>
      <c r="F239" s="3"/>
      <c r="G239" s="3"/>
      <c r="H239" s="3"/>
      <c r="I239" s="3"/>
      <c r="J239" s="22"/>
      <c r="K239" s="3"/>
      <c r="L239" s="3"/>
      <c r="M239" s="3"/>
      <c r="N239" s="3"/>
      <c r="O239" s="3"/>
      <c r="P239" s="4"/>
      <c r="Q239" s="4"/>
      <c r="R239" s="4"/>
      <c r="S239" s="4"/>
      <c r="T239" s="4"/>
      <c r="U239" s="4"/>
      <c r="V239" s="4"/>
      <c r="W239" s="4"/>
      <c r="X239" s="4"/>
      <c r="Y239" s="4"/>
      <c r="AB239" s="10"/>
      <c r="AC239" s="10"/>
      <c r="AD239" s="10"/>
      <c r="AE239" s="10"/>
      <c r="AF239" s="15"/>
      <c r="AG239" s="15"/>
      <c r="AH239" s="10"/>
      <c r="AL239" s="10"/>
      <c r="AM239" s="10"/>
    </row>
    <row r="240" spans="1:58" x14ac:dyDescent="0.25">
      <c r="A240" s="21"/>
      <c r="B240" s="3"/>
      <c r="C240" s="3"/>
      <c r="D240" s="3"/>
      <c r="E240" s="3"/>
      <c r="F240" s="3"/>
      <c r="G240" s="3"/>
      <c r="H240" s="3"/>
      <c r="I240" s="3"/>
      <c r="J240" s="22"/>
      <c r="K240" s="3"/>
      <c r="L240" s="3"/>
      <c r="M240" s="3"/>
      <c r="N240" s="3"/>
      <c r="O240" s="3"/>
      <c r="P240" s="4"/>
      <c r="Q240" s="4"/>
      <c r="R240" s="4"/>
      <c r="S240" s="4"/>
      <c r="T240" s="4"/>
      <c r="U240" s="4"/>
      <c r="V240" s="4"/>
      <c r="W240" s="4"/>
      <c r="X240" s="4"/>
      <c r="Y240" s="4"/>
      <c r="AB240" s="10"/>
      <c r="AC240" s="10"/>
      <c r="AD240" s="10"/>
      <c r="AE240" s="10"/>
      <c r="AF240" s="15"/>
      <c r="AG240" s="15"/>
      <c r="AH240" s="10"/>
      <c r="AL240" s="10"/>
      <c r="AM240" s="10"/>
      <c r="AN240" s="10"/>
    </row>
    <row r="241" spans="1:40" x14ac:dyDescent="0.25">
      <c r="A241" s="21"/>
      <c r="B241" s="3"/>
      <c r="C241" s="3"/>
      <c r="D241" s="3"/>
      <c r="E241" s="3"/>
      <c r="F241" s="3"/>
      <c r="G241" s="3"/>
      <c r="H241" s="3"/>
      <c r="I241" s="3"/>
      <c r="J241" s="22"/>
      <c r="K241" s="3"/>
      <c r="L241" s="3"/>
      <c r="M241" s="3"/>
      <c r="N241" s="3"/>
      <c r="O241" s="3"/>
      <c r="P241" s="4"/>
      <c r="Q241" s="4"/>
      <c r="R241" s="4"/>
      <c r="S241" s="4"/>
      <c r="T241" s="4"/>
      <c r="U241" s="4"/>
      <c r="V241" s="4"/>
      <c r="W241" s="4"/>
      <c r="X241" s="4"/>
      <c r="Y241" s="4"/>
      <c r="AB241" s="10"/>
      <c r="AC241" s="10"/>
      <c r="AD241" s="10"/>
      <c r="AE241" s="10"/>
      <c r="AF241" s="10"/>
      <c r="AG241" s="10"/>
      <c r="AH241" s="10"/>
      <c r="AL241" s="10"/>
      <c r="AM241" s="10"/>
      <c r="AN241" s="10"/>
    </row>
    <row r="242" spans="1:40" x14ac:dyDescent="0.25">
      <c r="A242" s="21"/>
      <c r="B242" s="3"/>
      <c r="C242" s="3"/>
      <c r="D242" s="3"/>
      <c r="E242" s="3"/>
      <c r="F242" s="3"/>
      <c r="G242" s="3"/>
      <c r="H242" s="3"/>
      <c r="I242" s="3"/>
      <c r="J242" s="22"/>
      <c r="K242" s="3"/>
      <c r="L242" s="3"/>
      <c r="M242" s="3"/>
      <c r="N242" s="3"/>
      <c r="O242" s="3"/>
      <c r="P242" s="4"/>
      <c r="Q242" s="4"/>
      <c r="R242" s="4"/>
      <c r="S242" s="4"/>
      <c r="T242" s="4"/>
      <c r="U242" s="4"/>
      <c r="V242" s="4"/>
      <c r="W242" s="4"/>
      <c r="X242" s="4"/>
      <c r="Y242" s="4"/>
      <c r="AB242" s="10"/>
      <c r="AC242" s="10"/>
      <c r="AD242" s="10"/>
      <c r="AE242" s="10"/>
      <c r="AF242" s="10"/>
      <c r="AG242" s="10"/>
      <c r="AH242" s="10"/>
      <c r="AL242" s="10"/>
      <c r="AM242" s="10"/>
      <c r="AN242" s="10"/>
    </row>
    <row r="243" spans="1:40" x14ac:dyDescent="0.25">
      <c r="A243" s="21"/>
      <c r="B243" s="3"/>
      <c r="C243" s="3"/>
      <c r="D243" s="3"/>
      <c r="E243" s="3"/>
      <c r="F243" s="3"/>
      <c r="G243" s="3"/>
      <c r="H243" s="3"/>
      <c r="I243" s="3"/>
      <c r="J243" s="22"/>
      <c r="K243" s="3"/>
      <c r="L243" s="3"/>
      <c r="M243" s="3"/>
      <c r="N243" s="3"/>
      <c r="O243" s="3"/>
      <c r="P243" s="4"/>
      <c r="Q243" s="4"/>
      <c r="R243" s="4"/>
      <c r="S243" s="4"/>
      <c r="T243" s="4"/>
      <c r="U243" s="4"/>
      <c r="V243" s="4"/>
      <c r="W243" s="4"/>
      <c r="X243" s="4"/>
      <c r="Y243" s="4"/>
      <c r="AB243" s="10"/>
      <c r="AC243" s="10"/>
      <c r="AD243" s="10"/>
      <c r="AE243" s="10"/>
      <c r="AF243" s="10"/>
      <c r="AG243" s="10"/>
      <c r="AH243" s="10"/>
      <c r="AL243" s="10"/>
      <c r="AM243" s="10"/>
      <c r="AN243" s="10"/>
    </row>
    <row r="244" spans="1:40" x14ac:dyDescent="0.25">
      <c r="A244" s="21"/>
      <c r="B244" s="3"/>
      <c r="C244" s="3"/>
      <c r="D244" s="3"/>
      <c r="E244" s="3"/>
      <c r="F244" s="3"/>
      <c r="G244" s="3"/>
      <c r="H244" s="3"/>
      <c r="I244" s="3"/>
      <c r="J244" s="22"/>
      <c r="K244" s="3"/>
      <c r="L244" s="3"/>
      <c r="M244" s="3"/>
      <c r="N244" s="3"/>
      <c r="O244" s="3"/>
      <c r="P244" s="4"/>
      <c r="Q244" s="4"/>
      <c r="R244" s="4"/>
      <c r="S244" s="4"/>
      <c r="T244" s="4"/>
      <c r="U244" s="4"/>
      <c r="V244" s="4"/>
      <c r="W244" s="4"/>
      <c r="X244" s="4"/>
      <c r="Y244" s="4"/>
      <c r="AB244" s="10"/>
      <c r="AC244" s="10"/>
      <c r="AD244" s="10"/>
      <c r="AE244" s="10"/>
      <c r="AF244" s="10"/>
      <c r="AG244" s="10"/>
      <c r="AH244" s="10"/>
      <c r="AL244" s="10"/>
      <c r="AM244" s="10"/>
      <c r="AN244" s="10"/>
    </row>
    <row r="245" spans="1:40" ht="13.8" thickBot="1" x14ac:dyDescent="0.3">
      <c r="A245" s="38"/>
      <c r="B245" s="39"/>
      <c r="C245" s="39"/>
      <c r="D245" s="39"/>
      <c r="E245" s="39"/>
      <c r="F245" s="39"/>
      <c r="G245" s="39"/>
      <c r="H245" s="39"/>
      <c r="I245" s="39"/>
      <c r="J245" s="40"/>
      <c r="K245" s="3"/>
      <c r="L245" s="3"/>
      <c r="M245" s="3"/>
      <c r="N245" s="3"/>
      <c r="O245" s="3"/>
      <c r="P245" s="4"/>
      <c r="Q245" s="4"/>
      <c r="R245" s="4"/>
      <c r="S245" s="4"/>
      <c r="T245" s="4"/>
      <c r="U245" s="4"/>
      <c r="V245" s="4"/>
      <c r="W245" s="4"/>
      <c r="X245" s="4"/>
      <c r="Y245" s="4"/>
      <c r="AB245" s="10"/>
      <c r="AC245" s="10"/>
      <c r="AD245" s="10"/>
      <c r="AE245" s="10"/>
      <c r="AF245" s="10"/>
      <c r="AG245" s="10"/>
      <c r="AH245" s="10"/>
      <c r="AL245" s="10"/>
      <c r="AM245" s="10"/>
      <c r="AN245" s="10"/>
    </row>
    <row r="246" spans="1:40" x14ac:dyDescent="0.25">
      <c r="B246" s="4"/>
      <c r="C246" s="3"/>
      <c r="D246" s="3"/>
      <c r="E246" s="3"/>
      <c r="F246" s="3"/>
      <c r="G246" s="3"/>
      <c r="H246" s="3"/>
      <c r="I246" s="3"/>
      <c r="J246" s="3"/>
      <c r="K246" s="3"/>
      <c r="L246" s="3"/>
      <c r="M246" s="3"/>
      <c r="N246" s="3"/>
      <c r="O246" s="3"/>
      <c r="P246" s="4"/>
      <c r="Q246" s="4"/>
      <c r="R246" s="4"/>
      <c r="S246" s="4"/>
      <c r="T246" s="4"/>
      <c r="U246" s="4"/>
      <c r="V246" s="4"/>
      <c r="W246" s="4"/>
      <c r="X246" s="4"/>
      <c r="Y246" s="4"/>
      <c r="AG246" s="10"/>
    </row>
    <row r="247" spans="1:40" x14ac:dyDescent="0.25">
      <c r="B247" s="4"/>
      <c r="C247" s="4"/>
      <c r="D247" s="4"/>
      <c r="E247" s="4"/>
      <c r="F247" s="4"/>
      <c r="G247" s="4"/>
      <c r="H247" s="4"/>
      <c r="I247" s="4"/>
      <c r="J247" s="4"/>
      <c r="K247" s="3"/>
      <c r="L247" s="3"/>
      <c r="M247" s="3"/>
      <c r="N247" s="3"/>
      <c r="O247" s="3"/>
      <c r="P247" s="4"/>
      <c r="Q247" s="4"/>
      <c r="R247" s="4"/>
      <c r="S247" s="4"/>
      <c r="T247" s="4"/>
      <c r="U247" s="4"/>
      <c r="V247" s="4"/>
      <c r="W247" s="4"/>
      <c r="X247" s="4"/>
      <c r="Y247" s="4"/>
      <c r="AB247" s="10"/>
      <c r="AC247" s="10"/>
      <c r="AD247" s="10"/>
      <c r="AE247" s="10"/>
      <c r="AF247" s="10"/>
      <c r="AG247" s="10"/>
      <c r="AH247" s="10"/>
    </row>
    <row r="248" spans="1:40" x14ac:dyDescent="0.25">
      <c r="B248" s="4"/>
      <c r="C248" s="4"/>
      <c r="D248" s="4"/>
      <c r="E248" s="4"/>
      <c r="F248" s="4"/>
      <c r="G248" s="4"/>
      <c r="H248" s="4"/>
      <c r="I248" s="4"/>
      <c r="J248" s="4"/>
      <c r="K248" s="3"/>
      <c r="L248" s="3"/>
      <c r="M248" s="3"/>
      <c r="N248" s="3"/>
      <c r="O248" s="3"/>
      <c r="P248" s="4"/>
      <c r="Q248" s="4"/>
      <c r="R248" s="4"/>
      <c r="S248" s="4"/>
      <c r="T248" s="4"/>
      <c r="U248" s="4"/>
      <c r="V248" s="4"/>
      <c r="W248" s="4"/>
      <c r="X248" s="4"/>
      <c r="Y248" s="4"/>
    </row>
    <row r="249" spans="1:40" x14ac:dyDescent="0.25">
      <c r="B249" s="4"/>
      <c r="C249" s="4"/>
      <c r="D249" s="4"/>
      <c r="E249" s="4"/>
      <c r="F249" s="4"/>
      <c r="G249" s="4"/>
      <c r="H249" s="4"/>
      <c r="I249" s="4"/>
      <c r="J249" s="4"/>
      <c r="K249" s="3"/>
      <c r="L249" s="3"/>
      <c r="M249" s="3"/>
      <c r="N249" s="3"/>
      <c r="O249" s="3"/>
      <c r="P249" s="4"/>
      <c r="Q249" s="4"/>
      <c r="R249" s="4"/>
      <c r="S249" s="4"/>
      <c r="T249" s="4"/>
      <c r="U249" s="4"/>
      <c r="V249" s="4"/>
      <c r="W249" s="4"/>
      <c r="X249" s="4"/>
      <c r="Y249" s="4"/>
    </row>
    <row r="250" spans="1:40" x14ac:dyDescent="0.25">
      <c r="B250" s="4"/>
      <c r="C250" s="4"/>
      <c r="D250" s="4"/>
      <c r="E250" s="4"/>
      <c r="F250" s="4"/>
      <c r="G250" s="4"/>
      <c r="H250" s="4"/>
      <c r="I250" s="4"/>
      <c r="J250" s="4"/>
      <c r="K250" s="4"/>
      <c r="L250" s="4"/>
      <c r="M250" s="4"/>
      <c r="N250" s="4"/>
      <c r="O250" s="4"/>
      <c r="P250" s="4"/>
      <c r="Q250" s="4"/>
      <c r="R250" s="4"/>
      <c r="S250" s="4"/>
      <c r="T250" s="4"/>
      <c r="U250" s="4"/>
      <c r="V250" s="4"/>
      <c r="W250" s="4"/>
      <c r="X250" s="4"/>
      <c r="Y250" s="4"/>
    </row>
    <row r="251" spans="1:40" x14ac:dyDescent="0.25">
      <c r="B251" s="4"/>
      <c r="C251" s="4"/>
      <c r="D251" s="4"/>
      <c r="E251" s="4"/>
      <c r="F251" s="4"/>
      <c r="G251" s="4"/>
      <c r="H251" s="4"/>
      <c r="I251" s="4"/>
      <c r="J251" s="4"/>
      <c r="K251" s="4"/>
      <c r="L251" s="4"/>
      <c r="M251" s="4"/>
      <c r="N251" s="4"/>
      <c r="O251" s="4"/>
      <c r="P251" s="4"/>
      <c r="Q251" s="4"/>
      <c r="R251" s="4"/>
      <c r="S251" s="4"/>
      <c r="T251" s="4"/>
      <c r="U251" s="4"/>
      <c r="V251" s="4"/>
      <c r="W251" s="4"/>
      <c r="X251" s="4"/>
      <c r="Y251" s="4"/>
    </row>
    <row r="252" spans="1:40" x14ac:dyDescent="0.25">
      <c r="B252" s="4"/>
      <c r="C252" s="4"/>
      <c r="D252" s="4"/>
      <c r="E252" s="4"/>
      <c r="F252" s="4"/>
      <c r="G252" s="4"/>
      <c r="H252" s="4"/>
      <c r="I252" s="4"/>
      <c r="J252" s="4"/>
      <c r="K252" s="4"/>
      <c r="L252" s="4"/>
      <c r="M252" s="4"/>
      <c r="N252" s="4"/>
      <c r="O252" s="4"/>
      <c r="P252" s="4"/>
      <c r="Q252" s="4"/>
      <c r="R252" s="4"/>
      <c r="S252" s="4"/>
      <c r="T252" s="4"/>
      <c r="U252" s="4"/>
      <c r="V252" s="4"/>
      <c r="W252" s="4"/>
      <c r="X252" s="4"/>
      <c r="Y252" s="4"/>
    </row>
    <row r="253" spans="1:40" x14ac:dyDescent="0.25">
      <c r="B253" s="4"/>
      <c r="C253" s="4"/>
      <c r="D253" s="4"/>
      <c r="E253" s="4"/>
      <c r="F253" s="4"/>
      <c r="G253" s="4"/>
      <c r="H253" s="4"/>
      <c r="I253" s="4"/>
      <c r="J253" s="4"/>
      <c r="K253" s="4"/>
      <c r="L253" s="4"/>
      <c r="M253" s="4"/>
      <c r="N253" s="4"/>
      <c r="O253" s="4"/>
      <c r="P253" s="4"/>
      <c r="Q253" s="4"/>
      <c r="R253" s="4"/>
      <c r="S253" s="4"/>
      <c r="T253" s="4"/>
      <c r="U253" s="4"/>
      <c r="V253" s="4"/>
      <c r="W253" s="4"/>
      <c r="X253" s="4"/>
      <c r="Y253" s="4"/>
    </row>
    <row r="254" spans="1:40" x14ac:dyDescent="0.25">
      <c r="B254" s="4"/>
      <c r="C254" s="4"/>
      <c r="D254" s="4"/>
      <c r="E254" s="4"/>
      <c r="F254" s="4"/>
      <c r="G254" s="4"/>
      <c r="H254" s="4"/>
      <c r="I254" s="4"/>
      <c r="J254" s="4"/>
      <c r="K254" s="4"/>
      <c r="L254" s="4"/>
      <c r="M254" s="4"/>
      <c r="N254" s="4"/>
      <c r="O254" s="4"/>
      <c r="P254" s="4"/>
      <c r="Q254" s="4"/>
      <c r="R254" s="4"/>
      <c r="S254" s="4"/>
      <c r="T254" s="4"/>
      <c r="U254" s="4"/>
      <c r="V254" s="4"/>
      <c r="W254" s="4"/>
      <c r="X254" s="4"/>
      <c r="Y254" s="4"/>
    </row>
    <row r="255" spans="1:40" x14ac:dyDescent="0.25">
      <c r="B255" s="4"/>
      <c r="C255" s="4"/>
      <c r="D255" s="4"/>
      <c r="E255" s="4"/>
      <c r="F255" s="4"/>
      <c r="G255" s="4"/>
      <c r="H255" s="4"/>
      <c r="I255" s="4"/>
      <c r="J255" s="4"/>
      <c r="K255" s="4"/>
      <c r="L255" s="4"/>
      <c r="M255" s="4"/>
      <c r="N255" s="4"/>
      <c r="O255" s="4"/>
      <c r="P255" s="4"/>
      <c r="Q255" s="4"/>
      <c r="R255" s="4"/>
      <c r="S255" s="4"/>
      <c r="T255" s="4"/>
      <c r="U255" s="4"/>
      <c r="V255" s="4"/>
      <c r="W255" s="4"/>
      <c r="X255" s="4"/>
      <c r="Y255" s="4"/>
    </row>
    <row r="256" spans="1:40" x14ac:dyDescent="0.25">
      <c r="B256" s="4"/>
      <c r="C256" s="4"/>
      <c r="D256" s="4"/>
      <c r="E256" s="4"/>
      <c r="F256" s="4"/>
      <c r="G256" s="4"/>
      <c r="H256" s="4"/>
      <c r="I256" s="4"/>
      <c r="J256" s="4"/>
      <c r="K256" s="4"/>
      <c r="L256" s="4"/>
      <c r="M256" s="4"/>
      <c r="N256" s="4"/>
      <c r="O256" s="4"/>
      <c r="P256" s="4"/>
      <c r="Q256" s="4"/>
      <c r="R256" s="4"/>
      <c r="S256" s="4"/>
      <c r="T256" s="4"/>
      <c r="U256" s="4"/>
      <c r="V256" s="4"/>
      <c r="W256" s="4"/>
      <c r="X256" s="4"/>
      <c r="Y256" s="4"/>
    </row>
    <row r="257" spans="2:51" x14ac:dyDescent="0.25">
      <c r="B257" s="4"/>
      <c r="C257" s="4"/>
      <c r="D257" s="4"/>
      <c r="E257" s="4"/>
      <c r="F257" s="4"/>
      <c r="G257" s="4"/>
      <c r="H257" s="4"/>
      <c r="I257" s="4"/>
      <c r="J257" s="4"/>
      <c r="K257" s="4"/>
      <c r="L257" s="4"/>
      <c r="M257" s="4"/>
      <c r="N257" s="4"/>
      <c r="O257" s="4"/>
      <c r="P257" s="4"/>
      <c r="Q257" s="4"/>
      <c r="R257" s="4"/>
      <c r="S257" s="4"/>
      <c r="T257" s="4"/>
      <c r="U257" s="4"/>
      <c r="V257" s="4"/>
      <c r="W257" s="4"/>
      <c r="X257" s="4"/>
      <c r="Y257" s="4"/>
    </row>
    <row r="258" spans="2:51" x14ac:dyDescent="0.25">
      <c r="B258" s="4"/>
      <c r="C258" s="4"/>
      <c r="D258" s="4"/>
      <c r="E258" s="4"/>
      <c r="F258" s="4"/>
      <c r="G258" s="4"/>
      <c r="H258" s="4"/>
      <c r="I258" s="4"/>
      <c r="J258" s="4"/>
      <c r="K258" s="4"/>
      <c r="L258" s="4"/>
      <c r="M258" s="4"/>
      <c r="N258" s="4"/>
      <c r="O258" s="4"/>
      <c r="P258" s="4"/>
      <c r="Q258" s="4"/>
      <c r="R258" s="4"/>
      <c r="S258" s="4"/>
      <c r="T258" s="4"/>
      <c r="U258" s="4"/>
      <c r="V258" s="4"/>
      <c r="W258" s="4"/>
      <c r="X258" s="4"/>
      <c r="Y258" s="4"/>
    </row>
    <row r="259" spans="2:51" x14ac:dyDescent="0.25">
      <c r="B259" s="4"/>
      <c r="C259" s="4"/>
      <c r="D259" s="4"/>
      <c r="E259" s="4"/>
      <c r="F259" s="4"/>
      <c r="G259" s="4"/>
      <c r="H259" s="4"/>
      <c r="I259" s="4"/>
      <c r="J259" s="4"/>
      <c r="K259" s="4"/>
      <c r="L259" s="4"/>
      <c r="M259" s="4"/>
      <c r="N259" s="4"/>
      <c r="O259" s="4"/>
      <c r="P259" s="4"/>
      <c r="Q259" s="4"/>
      <c r="R259" s="4"/>
      <c r="S259" s="4"/>
      <c r="T259" s="4"/>
      <c r="U259" s="4"/>
      <c r="V259" s="4"/>
      <c r="W259" s="4"/>
      <c r="X259" s="4"/>
      <c r="Y259" s="4"/>
    </row>
    <row r="260" spans="2:51" x14ac:dyDescent="0.25">
      <c r="B260" s="4"/>
      <c r="C260" s="4"/>
      <c r="D260" s="4"/>
      <c r="E260" s="4"/>
      <c r="F260" s="4"/>
      <c r="G260" s="4"/>
      <c r="H260" s="4"/>
      <c r="I260" s="4"/>
      <c r="J260" s="4"/>
      <c r="K260" s="4"/>
      <c r="L260" s="4"/>
      <c r="M260" s="4"/>
      <c r="N260" s="4"/>
      <c r="O260" s="4"/>
      <c r="P260" s="4"/>
      <c r="Q260" s="4"/>
      <c r="R260" s="4"/>
      <c r="S260" s="4"/>
      <c r="T260" s="4"/>
      <c r="U260" s="4"/>
      <c r="V260" s="4"/>
      <c r="W260" s="4"/>
      <c r="X260" s="4"/>
      <c r="Y260" s="4"/>
    </row>
    <row r="261" spans="2:51" x14ac:dyDescent="0.25">
      <c r="B261" s="4"/>
      <c r="C261" s="4"/>
      <c r="D261" s="4"/>
      <c r="E261" s="4"/>
      <c r="F261" s="4"/>
      <c r="G261" s="4"/>
      <c r="H261" s="4"/>
      <c r="I261" s="4"/>
      <c r="J261" s="4"/>
      <c r="K261" s="4"/>
      <c r="L261" s="4"/>
      <c r="M261" s="4"/>
      <c r="N261" s="4"/>
      <c r="O261" s="4"/>
      <c r="P261" s="4"/>
      <c r="Q261" s="4"/>
      <c r="R261" s="4"/>
      <c r="S261" s="4"/>
      <c r="T261" s="4"/>
      <c r="U261" s="4"/>
      <c r="V261" s="4"/>
      <c r="W261" s="4"/>
      <c r="X261" s="4"/>
      <c r="Y261" s="4"/>
    </row>
    <row r="262" spans="2:51" x14ac:dyDescent="0.25">
      <c r="B262" s="4"/>
      <c r="C262" s="4"/>
      <c r="D262" s="4"/>
      <c r="E262" s="4"/>
      <c r="F262" s="4"/>
      <c r="G262" s="4"/>
      <c r="H262" s="4"/>
      <c r="I262" s="4"/>
      <c r="J262" s="4"/>
      <c r="K262" s="4"/>
      <c r="L262" s="4"/>
      <c r="M262" s="4"/>
      <c r="N262" s="4"/>
      <c r="O262" s="4"/>
      <c r="P262" s="4"/>
      <c r="Q262" s="4"/>
      <c r="R262" s="4"/>
      <c r="S262" s="4"/>
      <c r="T262" s="4"/>
      <c r="U262" s="4"/>
      <c r="V262" s="4"/>
      <c r="W262" s="4"/>
      <c r="X262" s="4"/>
      <c r="Y262" s="4"/>
    </row>
    <row r="263" spans="2:51" x14ac:dyDescent="0.25">
      <c r="B263" s="4"/>
      <c r="C263" s="4"/>
      <c r="D263" s="4"/>
      <c r="E263" s="4"/>
      <c r="F263" s="4"/>
      <c r="G263" s="4"/>
      <c r="H263" s="4"/>
      <c r="I263" s="4"/>
      <c r="J263" s="4"/>
      <c r="K263" s="4"/>
      <c r="L263" s="4"/>
      <c r="M263" s="4"/>
      <c r="N263" s="4"/>
      <c r="O263" s="4"/>
      <c r="P263" s="4"/>
      <c r="Q263" s="4"/>
      <c r="R263" s="4"/>
      <c r="S263" s="4"/>
      <c r="T263" s="4"/>
      <c r="U263" s="4"/>
      <c r="V263" s="4"/>
      <c r="W263" s="4"/>
      <c r="X263" s="4"/>
      <c r="Y263" s="4"/>
      <c r="AB263" s="112"/>
      <c r="AC263" s="112"/>
      <c r="AD263" s="112"/>
      <c r="AE263" s="112"/>
      <c r="AF263" s="112"/>
      <c r="AG263" s="112"/>
      <c r="AH263" s="112"/>
      <c r="AI263" s="50"/>
      <c r="AJ263" s="50"/>
      <c r="AK263" s="50"/>
      <c r="AL263" s="112"/>
      <c r="AM263" s="112"/>
      <c r="AN263" s="112"/>
      <c r="AO263" s="112"/>
      <c r="AP263" s="112"/>
      <c r="AQ263" s="112"/>
      <c r="AR263" s="112"/>
      <c r="AS263" s="112"/>
      <c r="AT263" s="112"/>
      <c r="AU263" s="112"/>
    </row>
    <row r="264" spans="2:51" x14ac:dyDescent="0.25">
      <c r="B264" s="4"/>
      <c r="C264" s="4"/>
      <c r="D264" s="4"/>
      <c r="E264" s="4"/>
      <c r="F264" s="4"/>
      <c r="G264" s="4"/>
      <c r="H264" s="4"/>
      <c r="I264" s="4"/>
      <c r="J264" s="4"/>
      <c r="K264" s="4"/>
      <c r="L264" s="4"/>
      <c r="M264" s="4"/>
      <c r="N264" s="4"/>
      <c r="O264" s="4"/>
      <c r="P264" s="11"/>
      <c r="Q264" s="11"/>
      <c r="R264" s="11"/>
      <c r="S264" s="11"/>
      <c r="T264" s="11"/>
      <c r="U264" s="11"/>
      <c r="V264" s="11"/>
      <c r="W264" s="11"/>
      <c r="X264" s="11"/>
      <c r="Y264" s="11"/>
      <c r="AB264" s="112"/>
      <c r="AC264" s="112"/>
      <c r="AD264" s="112"/>
      <c r="AE264" s="112"/>
      <c r="AF264" s="112"/>
      <c r="AG264" s="112"/>
      <c r="AH264" s="112"/>
      <c r="AI264" s="50"/>
      <c r="AJ264" s="50"/>
      <c r="AK264" s="50"/>
      <c r="AL264" s="112"/>
      <c r="AM264" s="112"/>
      <c r="AN264" s="112"/>
      <c r="AO264" s="112"/>
      <c r="AP264" s="162" t="s">
        <v>175</v>
      </c>
      <c r="AQ264" s="112"/>
      <c r="AR264" s="112"/>
      <c r="AS264" s="112"/>
      <c r="AT264" s="112"/>
      <c r="AU264" s="112"/>
    </row>
    <row r="265" spans="2:51" x14ac:dyDescent="0.25">
      <c r="B265" s="4"/>
      <c r="C265" s="4"/>
      <c r="D265" s="4"/>
      <c r="E265" s="4"/>
      <c r="F265" s="4"/>
      <c r="G265" s="4"/>
      <c r="H265" s="4"/>
      <c r="I265" s="4"/>
      <c r="J265" s="4"/>
      <c r="K265" s="4"/>
      <c r="L265" s="4"/>
      <c r="M265" s="4"/>
      <c r="N265" s="4"/>
      <c r="O265" s="4"/>
      <c r="P265" s="4"/>
      <c r="Q265" s="4"/>
      <c r="R265" s="4"/>
      <c r="S265" s="4"/>
      <c r="T265" s="4"/>
      <c r="U265" s="4"/>
      <c r="V265" s="4"/>
      <c r="W265" s="4"/>
      <c r="X265" s="4"/>
      <c r="Y265" s="4"/>
      <c r="AB265" s="163"/>
      <c r="AC265" s="164" t="s">
        <v>176</v>
      </c>
      <c r="AD265" s="164">
        <v>23</v>
      </c>
      <c r="AE265" s="164">
        <v>25</v>
      </c>
      <c r="AF265" s="164">
        <v>27</v>
      </c>
      <c r="AG265" s="164">
        <v>30</v>
      </c>
      <c r="AH265" s="164">
        <v>38</v>
      </c>
      <c r="AI265" s="164">
        <v>40</v>
      </c>
      <c r="AJ265" s="164">
        <v>42</v>
      </c>
      <c r="AK265" s="164">
        <v>45</v>
      </c>
      <c r="AL265" s="164">
        <v>50</v>
      </c>
      <c r="AM265" s="164">
        <v>55</v>
      </c>
      <c r="AN265" s="164" t="s">
        <v>177</v>
      </c>
      <c r="AO265" s="165" t="s">
        <v>178</v>
      </c>
      <c r="AP265" s="112"/>
      <c r="AQ265" s="112"/>
      <c r="AR265" s="112"/>
      <c r="AS265" s="112"/>
      <c r="AT265" s="165"/>
      <c r="AU265" s="165"/>
      <c r="AV265" s="166"/>
      <c r="AW265" s="166"/>
      <c r="AX265" s="166"/>
      <c r="AY265" s="167" t="s">
        <v>179</v>
      </c>
    </row>
    <row r="266" spans="2:51" x14ac:dyDescent="0.25">
      <c r="B266" s="4"/>
      <c r="C266" s="4"/>
      <c r="D266" s="4"/>
      <c r="E266" s="4"/>
      <c r="F266" s="4"/>
      <c r="G266" s="4"/>
      <c r="H266" s="4"/>
      <c r="I266" s="4"/>
      <c r="J266" s="4"/>
      <c r="K266" s="4"/>
      <c r="L266" s="4"/>
      <c r="M266" s="4"/>
      <c r="N266" s="4"/>
      <c r="O266" s="4"/>
      <c r="P266" s="4"/>
      <c r="Q266" s="4"/>
      <c r="R266" s="4"/>
      <c r="S266" s="4"/>
      <c r="T266" s="4"/>
      <c r="U266" s="4"/>
      <c r="V266" s="4"/>
      <c r="W266" s="4"/>
      <c r="X266" s="4"/>
      <c r="Y266" s="4"/>
      <c r="AB266" s="163">
        <v>1</v>
      </c>
      <c r="AC266" s="168">
        <f t="shared" ref="AC266:AC285" si="129">IF(G361=1,0,IF(G361=2,1,IF(G361=3,2,IF(G361=4,4))))+IF(H361=1,0,IF(H361=2,1,IF(H361=3,2,IF(H361=4,4))))</f>
        <v>0</v>
      </c>
      <c r="AD266" s="168">
        <f t="shared" ref="AD266:AD285" si="130">IF(AND(F361=8,G361=2),2,0)+IF(AND(F361=8,H361=2),2,0)</f>
        <v>0</v>
      </c>
      <c r="AE266" s="168">
        <f t="shared" ref="AE266:AE285" si="131">IF(AND(F361=10,G361=2),2,0)+IF(AND(F361=10,H361=2),2,0)</f>
        <v>0</v>
      </c>
      <c r="AF266" s="168">
        <f t="shared" ref="AF266:AF285" si="132">IF(AND(F361=12,G361=2),2,0)+IF(AND(F361=12,H361=2),2,0)</f>
        <v>0</v>
      </c>
      <c r="AG266" s="168">
        <f t="shared" ref="AG266:AG285" si="133">IF(AND(F361=15,G361=2),2,0)+IF(AND(F361=15,H361=2),2,0)</f>
        <v>0</v>
      </c>
      <c r="AH266" s="168">
        <f t="shared" ref="AH266:AH285" si="134">IF(AND(F361=8,G361=3),1,0)+IF(AND(F361=8,H361=3),1,0)</f>
        <v>0</v>
      </c>
      <c r="AI266" s="169">
        <f t="shared" ref="AI266:AI285" si="135">IF(AND(F361=20,G361=2),2,0)+IF(AND(F361=20,H361=2),2,0)+IF(AND(F361=10,G361=3),1,0)+IF(AND(F361=10,H361=3),1,0)</f>
        <v>0</v>
      </c>
      <c r="AJ266" s="169">
        <f t="shared" ref="AJ266:AJ285" si="136">IF(AND(F361=12,G361=3),1,0)+IF(AND(F361=12,H361=3),1,0)</f>
        <v>0</v>
      </c>
      <c r="AK266" s="169">
        <f t="shared" ref="AK266:AK285" si="137">IF(AND(F361=25,G361=2),2,0)+IF(AND(F361=25,H361=2),2,0)+IF(AND(F361=15,G361=3),1,0)+IF(AND(F361=15,H361=3),1,0)</f>
        <v>0</v>
      </c>
      <c r="AL266" s="168">
        <f t="shared" ref="AL266:AL285" si="138">IF(AND(F361=20,G361=3),1,0)+IF(AND(F361=20,H361=3),1,0)</f>
        <v>0</v>
      </c>
      <c r="AM266" s="168">
        <f t="shared" ref="AM266:AM285" si="139">IF(AND(F361=25,G361=3),1,0+IF(AND(F361=25,H361=3),1,0))</f>
        <v>0</v>
      </c>
      <c r="AN266" s="168">
        <f t="shared" ref="AN266:AN285" si="140">IF(G361=2,1,0)+IF(H361=2,1,0)</f>
        <v>0</v>
      </c>
      <c r="AO266" s="168" t="str">
        <f t="shared" ref="AO266:AO285" si="141">IF(I361="SI",18.4,IF(I361="",""))</f>
        <v/>
      </c>
      <c r="AP266" s="112"/>
      <c r="AQ266" s="112"/>
      <c r="AR266" s="112"/>
      <c r="AS266" s="112"/>
      <c r="AT266" s="112">
        <f t="shared" ref="AT266:AT285" si="142">IF(G361=1,0,IF(G361=2,15+F361/2,IF(G361=3,15+F361/2,IF(G361=4,15+F361/2,IF(G361="TH",0,F361/2)))))+IF(H361=1,0,IF(H361=2,15+F361/2,IF(H361=3,15+F361/2,IF(H361=4,15+F361/2,IF(H361="TH",0,F361/2)))))</f>
        <v>0</v>
      </c>
      <c r="AU266" s="112" t="str">
        <f>IF(AY266="","",((AY266*100)-AT266)/G358)</f>
        <v/>
      </c>
      <c r="AV266" s="6" t="str">
        <f t="shared" ref="AV266:AV285" si="143">IF(AY266="","",MID(AU266,1,2)*1)</f>
        <v/>
      </c>
      <c r="AW266" s="6" t="str">
        <f>IF(AY266="","",(AU266-AV266)*G358)</f>
        <v/>
      </c>
      <c r="AX266" s="10"/>
      <c r="AY266" s="170" t="str">
        <f t="shared" ref="AY266:AY285" si="144">IF(E361="","",E361/100)</f>
        <v/>
      </c>
    </row>
    <row r="267" spans="2:51" x14ac:dyDescent="0.25">
      <c r="B267" s="4"/>
      <c r="C267" s="4"/>
      <c r="D267" s="4"/>
      <c r="E267" s="4"/>
      <c r="F267" s="4"/>
      <c r="G267" s="4"/>
      <c r="H267" s="4"/>
      <c r="I267" s="4"/>
      <c r="J267" s="4"/>
      <c r="K267" s="4"/>
      <c r="L267" s="4"/>
      <c r="M267" s="4"/>
      <c r="N267" s="4"/>
      <c r="O267" s="4"/>
      <c r="P267" s="4"/>
      <c r="Q267" s="4"/>
      <c r="R267" s="4"/>
      <c r="S267" s="4"/>
      <c r="T267" s="4"/>
      <c r="U267" s="4"/>
      <c r="V267" s="4"/>
      <c r="W267" s="4"/>
      <c r="X267" s="4"/>
      <c r="Y267" s="4"/>
      <c r="AB267" s="163">
        <v>2</v>
      </c>
      <c r="AC267" s="168">
        <f t="shared" si="129"/>
        <v>0</v>
      </c>
      <c r="AD267" s="168">
        <f t="shared" si="130"/>
        <v>0</v>
      </c>
      <c r="AE267" s="168">
        <f t="shared" si="131"/>
        <v>0</v>
      </c>
      <c r="AF267" s="168">
        <f t="shared" si="132"/>
        <v>0</v>
      </c>
      <c r="AG267" s="168">
        <f t="shared" si="133"/>
        <v>0</v>
      </c>
      <c r="AH267" s="168">
        <f t="shared" si="134"/>
        <v>0</v>
      </c>
      <c r="AI267" s="169">
        <f t="shared" si="135"/>
        <v>0</v>
      </c>
      <c r="AJ267" s="169">
        <f t="shared" si="136"/>
        <v>0</v>
      </c>
      <c r="AK267" s="169">
        <f t="shared" si="137"/>
        <v>0</v>
      </c>
      <c r="AL267" s="168">
        <f t="shared" si="138"/>
        <v>0</v>
      </c>
      <c r="AM267" s="168">
        <f t="shared" si="139"/>
        <v>0</v>
      </c>
      <c r="AN267" s="168">
        <f t="shared" si="140"/>
        <v>0</v>
      </c>
      <c r="AO267" s="168" t="str">
        <f t="shared" si="141"/>
        <v/>
      </c>
      <c r="AP267" s="112"/>
      <c r="AQ267" s="112"/>
      <c r="AR267" s="112"/>
      <c r="AS267" s="112"/>
      <c r="AT267" s="112">
        <f t="shared" si="142"/>
        <v>0</v>
      </c>
      <c r="AU267" s="112" t="str">
        <f>IF(AY267="","",((AY267*100)-AT267)/G358)</f>
        <v/>
      </c>
      <c r="AV267" s="6" t="str">
        <f t="shared" si="143"/>
        <v/>
      </c>
      <c r="AW267" s="6" t="str">
        <f>IF(AY267="","",(AU267-AV267)*G358)</f>
        <v/>
      </c>
      <c r="AX267" s="10"/>
      <c r="AY267" s="170" t="str">
        <f t="shared" si="144"/>
        <v/>
      </c>
    </row>
    <row r="268" spans="2:51" x14ac:dyDescent="0.25">
      <c r="B268" s="4"/>
      <c r="C268" s="4"/>
      <c r="D268" s="4"/>
      <c r="E268" s="4"/>
      <c r="F268" s="4"/>
      <c r="G268" s="4"/>
      <c r="H268" s="4"/>
      <c r="I268" s="4"/>
      <c r="J268" s="4"/>
      <c r="K268" s="4"/>
      <c r="L268" s="4"/>
      <c r="M268" s="4"/>
      <c r="N268" s="4"/>
      <c r="O268" s="4"/>
      <c r="P268" s="4"/>
      <c r="Q268" s="4"/>
      <c r="R268" s="4"/>
      <c r="S268" s="4"/>
      <c r="T268" s="4"/>
      <c r="U268" s="4"/>
      <c r="V268" s="4"/>
      <c r="W268" s="4"/>
      <c r="X268" s="4"/>
      <c r="Y268" s="4"/>
      <c r="AB268" s="163">
        <v>3</v>
      </c>
      <c r="AC268" s="168">
        <f t="shared" si="129"/>
        <v>0</v>
      </c>
      <c r="AD268" s="168">
        <f t="shared" si="130"/>
        <v>0</v>
      </c>
      <c r="AE268" s="168">
        <f t="shared" si="131"/>
        <v>0</v>
      </c>
      <c r="AF268" s="168">
        <f t="shared" si="132"/>
        <v>0</v>
      </c>
      <c r="AG268" s="168">
        <f t="shared" si="133"/>
        <v>0</v>
      </c>
      <c r="AH268" s="168">
        <f t="shared" si="134"/>
        <v>0</v>
      </c>
      <c r="AI268" s="169">
        <f t="shared" si="135"/>
        <v>0</v>
      </c>
      <c r="AJ268" s="169">
        <f t="shared" si="136"/>
        <v>0</v>
      </c>
      <c r="AK268" s="169">
        <f t="shared" si="137"/>
        <v>0</v>
      </c>
      <c r="AL268" s="168">
        <f t="shared" si="138"/>
        <v>0</v>
      </c>
      <c r="AM268" s="168">
        <f t="shared" si="139"/>
        <v>0</v>
      </c>
      <c r="AN268" s="168">
        <f t="shared" si="140"/>
        <v>0</v>
      </c>
      <c r="AO268" s="168" t="str">
        <f t="shared" si="141"/>
        <v/>
      </c>
      <c r="AP268" s="112"/>
      <c r="AQ268" s="112"/>
      <c r="AR268" s="112"/>
      <c r="AS268" s="112"/>
      <c r="AT268" s="112">
        <f t="shared" si="142"/>
        <v>0</v>
      </c>
      <c r="AU268" s="112" t="str">
        <f>IF(AY268="","",((AY268*100)-AT268)/G358)</f>
        <v/>
      </c>
      <c r="AV268" s="6" t="str">
        <f t="shared" si="143"/>
        <v/>
      </c>
      <c r="AW268" s="6" t="str">
        <f>IF(AY268="","",(AU268-AV268)*G358)</f>
        <v/>
      </c>
      <c r="AX268" s="10"/>
      <c r="AY268" s="170" t="str">
        <f t="shared" si="144"/>
        <v/>
      </c>
    </row>
    <row r="269" spans="2:51" x14ac:dyDescent="0.25">
      <c r="B269" s="4"/>
      <c r="C269" s="4"/>
      <c r="D269" s="4"/>
      <c r="E269" s="4"/>
      <c r="F269" s="4"/>
      <c r="G269" s="4"/>
      <c r="H269" s="4"/>
      <c r="I269" s="4"/>
      <c r="J269" s="4"/>
      <c r="K269" s="4"/>
      <c r="L269" s="4"/>
      <c r="M269" s="4"/>
      <c r="N269" s="4"/>
      <c r="O269" s="4"/>
      <c r="P269" s="4"/>
      <c r="Q269" s="4"/>
      <c r="R269" s="4"/>
      <c r="S269" s="4"/>
      <c r="T269" s="4"/>
      <c r="U269" s="4"/>
      <c r="V269" s="4"/>
      <c r="W269" s="4"/>
      <c r="X269" s="4"/>
      <c r="Y269" s="4"/>
      <c r="AB269" s="163">
        <v>4</v>
      </c>
      <c r="AC269" s="168">
        <f t="shared" si="129"/>
        <v>0</v>
      </c>
      <c r="AD269" s="168">
        <f t="shared" si="130"/>
        <v>0</v>
      </c>
      <c r="AE269" s="168">
        <f t="shared" si="131"/>
        <v>0</v>
      </c>
      <c r="AF269" s="168">
        <f t="shared" si="132"/>
        <v>0</v>
      </c>
      <c r="AG269" s="168">
        <f t="shared" si="133"/>
        <v>0</v>
      </c>
      <c r="AH269" s="168">
        <f t="shared" si="134"/>
        <v>0</v>
      </c>
      <c r="AI269" s="169">
        <f t="shared" si="135"/>
        <v>0</v>
      </c>
      <c r="AJ269" s="169">
        <f t="shared" si="136"/>
        <v>0</v>
      </c>
      <c r="AK269" s="169">
        <f t="shared" si="137"/>
        <v>0</v>
      </c>
      <c r="AL269" s="168">
        <f t="shared" si="138"/>
        <v>0</v>
      </c>
      <c r="AM269" s="168">
        <f t="shared" si="139"/>
        <v>0</v>
      </c>
      <c r="AN269" s="168">
        <f t="shared" si="140"/>
        <v>0</v>
      </c>
      <c r="AO269" s="168" t="str">
        <f t="shared" si="141"/>
        <v/>
      </c>
      <c r="AP269" s="112"/>
      <c r="AQ269" s="112"/>
      <c r="AR269" s="112"/>
      <c r="AS269" s="112"/>
      <c r="AT269" s="112">
        <f t="shared" si="142"/>
        <v>0</v>
      </c>
      <c r="AU269" s="112" t="str">
        <f>IF(AY269="","",((AY269*100)-AT269)/G358)</f>
        <v/>
      </c>
      <c r="AV269" s="6" t="str">
        <f t="shared" si="143"/>
        <v/>
      </c>
      <c r="AW269" s="6" t="str">
        <f>IF(AY269="","",(AU269-AV269)*G358)</f>
        <v/>
      </c>
      <c r="AX269" s="10"/>
      <c r="AY269" s="170" t="str">
        <f t="shared" si="144"/>
        <v/>
      </c>
    </row>
    <row r="270" spans="2:51" x14ac:dyDescent="0.25">
      <c r="B270" s="4"/>
      <c r="C270" s="4"/>
      <c r="D270" s="4"/>
      <c r="E270" s="4"/>
      <c r="F270" s="4"/>
      <c r="G270" s="4"/>
      <c r="H270" s="4"/>
      <c r="I270" s="4"/>
      <c r="J270" s="4"/>
      <c r="K270" s="4"/>
      <c r="L270" s="4"/>
      <c r="M270" s="4"/>
      <c r="N270" s="4"/>
      <c r="O270" s="4"/>
      <c r="P270" s="4"/>
      <c r="Q270" s="4"/>
      <c r="R270" s="4"/>
      <c r="S270" s="4"/>
      <c r="T270" s="4"/>
      <c r="U270" s="4"/>
      <c r="V270" s="4"/>
      <c r="W270" s="4"/>
      <c r="X270" s="4"/>
      <c r="Y270" s="4"/>
      <c r="AB270" s="163">
        <v>5</v>
      </c>
      <c r="AC270" s="168">
        <f t="shared" si="129"/>
        <v>0</v>
      </c>
      <c r="AD270" s="168">
        <f t="shared" si="130"/>
        <v>0</v>
      </c>
      <c r="AE270" s="168">
        <f t="shared" si="131"/>
        <v>0</v>
      </c>
      <c r="AF270" s="168">
        <f t="shared" si="132"/>
        <v>0</v>
      </c>
      <c r="AG270" s="168">
        <f t="shared" si="133"/>
        <v>0</v>
      </c>
      <c r="AH270" s="168">
        <f t="shared" si="134"/>
        <v>0</v>
      </c>
      <c r="AI270" s="169">
        <f t="shared" si="135"/>
        <v>0</v>
      </c>
      <c r="AJ270" s="169">
        <f t="shared" si="136"/>
        <v>0</v>
      </c>
      <c r="AK270" s="169">
        <f t="shared" si="137"/>
        <v>0</v>
      </c>
      <c r="AL270" s="168">
        <f t="shared" si="138"/>
        <v>0</v>
      </c>
      <c r="AM270" s="168">
        <f t="shared" si="139"/>
        <v>0</v>
      </c>
      <c r="AN270" s="168">
        <f t="shared" si="140"/>
        <v>0</v>
      </c>
      <c r="AO270" s="168" t="str">
        <f t="shared" si="141"/>
        <v/>
      </c>
      <c r="AP270" s="112"/>
      <c r="AQ270" s="112"/>
      <c r="AR270" s="112"/>
      <c r="AS270" s="112"/>
      <c r="AT270" s="112">
        <f t="shared" si="142"/>
        <v>0</v>
      </c>
      <c r="AU270" s="112" t="str">
        <f>IF(AY270="","",((AY270*100)-AT270)/G358)</f>
        <v/>
      </c>
      <c r="AV270" s="6" t="str">
        <f t="shared" si="143"/>
        <v/>
      </c>
      <c r="AW270" s="6" t="str">
        <f>IF(AY270="","",(AU270-AV270)*G358)</f>
        <v/>
      </c>
      <c r="AX270" s="10"/>
      <c r="AY270" s="170" t="str">
        <f t="shared" si="144"/>
        <v/>
      </c>
    </row>
    <row r="271" spans="2:51" x14ac:dyDescent="0.25">
      <c r="B271" s="4"/>
      <c r="C271" s="4"/>
      <c r="D271" s="4"/>
      <c r="E271" s="4"/>
      <c r="F271" s="4"/>
      <c r="G271" s="4"/>
      <c r="H271" s="4"/>
      <c r="I271" s="4"/>
      <c r="J271" s="4"/>
      <c r="K271" s="4"/>
      <c r="L271" s="4"/>
      <c r="M271" s="4"/>
      <c r="N271" s="4"/>
      <c r="O271" s="4"/>
      <c r="P271" s="4"/>
      <c r="Q271" s="4"/>
      <c r="R271" s="4"/>
      <c r="S271" s="4"/>
      <c r="T271" s="4"/>
      <c r="U271" s="4"/>
      <c r="V271" s="4"/>
      <c r="W271" s="4"/>
      <c r="X271" s="4"/>
      <c r="Y271" s="4"/>
      <c r="AB271" s="163">
        <v>6</v>
      </c>
      <c r="AC271" s="168">
        <f t="shared" si="129"/>
        <v>0</v>
      </c>
      <c r="AD271" s="168">
        <f t="shared" si="130"/>
        <v>0</v>
      </c>
      <c r="AE271" s="168">
        <f t="shared" si="131"/>
        <v>0</v>
      </c>
      <c r="AF271" s="168">
        <f t="shared" si="132"/>
        <v>0</v>
      </c>
      <c r="AG271" s="168">
        <f t="shared" si="133"/>
        <v>0</v>
      </c>
      <c r="AH271" s="168">
        <f t="shared" si="134"/>
        <v>0</v>
      </c>
      <c r="AI271" s="169">
        <f t="shared" si="135"/>
        <v>0</v>
      </c>
      <c r="AJ271" s="169">
        <f t="shared" si="136"/>
        <v>0</v>
      </c>
      <c r="AK271" s="169">
        <f t="shared" si="137"/>
        <v>0</v>
      </c>
      <c r="AL271" s="168">
        <f t="shared" si="138"/>
        <v>0</v>
      </c>
      <c r="AM271" s="168">
        <f t="shared" si="139"/>
        <v>0</v>
      </c>
      <c r="AN271" s="168">
        <f t="shared" si="140"/>
        <v>0</v>
      </c>
      <c r="AO271" s="168" t="str">
        <f t="shared" si="141"/>
        <v/>
      </c>
      <c r="AP271" s="112"/>
      <c r="AQ271" s="112"/>
      <c r="AR271" s="112"/>
      <c r="AS271" s="112"/>
      <c r="AT271" s="112">
        <f t="shared" si="142"/>
        <v>0</v>
      </c>
      <c r="AU271" s="112" t="str">
        <f>IF(AY271="","",((AY271*100)-AT271)/G358)</f>
        <v/>
      </c>
      <c r="AV271" s="6" t="str">
        <f t="shared" si="143"/>
        <v/>
      </c>
      <c r="AW271" s="6" t="str">
        <f>IF(AY271="","",(AU271-AV271)*G358)</f>
        <v/>
      </c>
      <c r="AX271" s="10"/>
      <c r="AY271" s="170" t="str">
        <f t="shared" si="144"/>
        <v/>
      </c>
    </row>
    <row r="272" spans="2:51" x14ac:dyDescent="0.25">
      <c r="B272" s="4"/>
      <c r="C272" s="4"/>
      <c r="D272" s="4"/>
      <c r="E272" s="4"/>
      <c r="F272" s="4"/>
      <c r="G272" s="4"/>
      <c r="H272" s="4"/>
      <c r="I272" s="4"/>
      <c r="J272" s="4"/>
      <c r="K272" s="4"/>
      <c r="L272" s="4"/>
      <c r="M272" s="4"/>
      <c r="N272" s="4"/>
      <c r="O272" s="4"/>
      <c r="P272" s="4"/>
      <c r="Q272" s="4"/>
      <c r="R272" s="4"/>
      <c r="S272" s="4"/>
      <c r="T272" s="4"/>
      <c r="U272" s="4"/>
      <c r="V272" s="4"/>
      <c r="W272" s="4"/>
      <c r="X272" s="4"/>
      <c r="Y272" s="4"/>
      <c r="AB272" s="163">
        <v>7</v>
      </c>
      <c r="AC272" s="168">
        <f t="shared" si="129"/>
        <v>0</v>
      </c>
      <c r="AD272" s="168">
        <f t="shared" si="130"/>
        <v>0</v>
      </c>
      <c r="AE272" s="168">
        <f t="shared" si="131"/>
        <v>0</v>
      </c>
      <c r="AF272" s="168">
        <f t="shared" si="132"/>
        <v>0</v>
      </c>
      <c r="AG272" s="168">
        <f t="shared" si="133"/>
        <v>0</v>
      </c>
      <c r="AH272" s="168">
        <f t="shared" si="134"/>
        <v>0</v>
      </c>
      <c r="AI272" s="169">
        <f t="shared" si="135"/>
        <v>0</v>
      </c>
      <c r="AJ272" s="169">
        <f t="shared" si="136"/>
        <v>0</v>
      </c>
      <c r="AK272" s="169">
        <f t="shared" si="137"/>
        <v>0</v>
      </c>
      <c r="AL272" s="168">
        <f t="shared" si="138"/>
        <v>0</v>
      </c>
      <c r="AM272" s="168">
        <f t="shared" si="139"/>
        <v>0</v>
      </c>
      <c r="AN272" s="168">
        <f t="shared" si="140"/>
        <v>0</v>
      </c>
      <c r="AO272" s="168" t="str">
        <f t="shared" si="141"/>
        <v/>
      </c>
      <c r="AP272" s="112"/>
      <c r="AQ272" s="112"/>
      <c r="AR272" s="112"/>
      <c r="AS272" s="112"/>
      <c r="AT272" s="112">
        <f t="shared" si="142"/>
        <v>0</v>
      </c>
      <c r="AU272" s="112" t="str">
        <f>IF(AY272="","",((AY272*100)-AT272)/G358)</f>
        <v/>
      </c>
      <c r="AV272" s="6" t="str">
        <f t="shared" si="143"/>
        <v/>
      </c>
      <c r="AW272" s="6" t="str">
        <f>IF(AY272="","",(AU272-AV272)*G358)</f>
        <v/>
      </c>
      <c r="AX272" s="10"/>
      <c r="AY272" s="170" t="str">
        <f t="shared" si="144"/>
        <v/>
      </c>
    </row>
    <row r="273" spans="2:58" x14ac:dyDescent="0.25">
      <c r="B273" s="4"/>
      <c r="C273" s="4"/>
      <c r="D273" s="4"/>
      <c r="E273" s="4"/>
      <c r="F273" s="4"/>
      <c r="G273" s="4"/>
      <c r="H273" s="4"/>
      <c r="I273" s="4"/>
      <c r="J273" s="4"/>
      <c r="K273" s="4"/>
      <c r="L273" s="4"/>
      <c r="M273" s="4"/>
      <c r="N273" s="4"/>
      <c r="O273" s="4"/>
      <c r="P273" s="4"/>
      <c r="Q273" s="4"/>
      <c r="R273" s="4"/>
      <c r="S273" s="4"/>
      <c r="T273" s="4"/>
      <c r="U273" s="4"/>
      <c r="V273" s="4"/>
      <c r="W273" s="4"/>
      <c r="X273" s="4"/>
      <c r="Y273" s="4"/>
      <c r="AB273" s="163">
        <v>8</v>
      </c>
      <c r="AC273" s="168">
        <f t="shared" si="129"/>
        <v>0</v>
      </c>
      <c r="AD273" s="168">
        <f t="shared" si="130"/>
        <v>0</v>
      </c>
      <c r="AE273" s="168">
        <f t="shared" si="131"/>
        <v>0</v>
      </c>
      <c r="AF273" s="168">
        <f t="shared" si="132"/>
        <v>0</v>
      </c>
      <c r="AG273" s="168">
        <f t="shared" si="133"/>
        <v>0</v>
      </c>
      <c r="AH273" s="168">
        <f t="shared" si="134"/>
        <v>0</v>
      </c>
      <c r="AI273" s="169">
        <f t="shared" si="135"/>
        <v>0</v>
      </c>
      <c r="AJ273" s="169">
        <f t="shared" si="136"/>
        <v>0</v>
      </c>
      <c r="AK273" s="169">
        <f t="shared" si="137"/>
        <v>0</v>
      </c>
      <c r="AL273" s="168">
        <f t="shared" si="138"/>
        <v>0</v>
      </c>
      <c r="AM273" s="168">
        <f t="shared" si="139"/>
        <v>0</v>
      </c>
      <c r="AN273" s="168">
        <f t="shared" si="140"/>
        <v>0</v>
      </c>
      <c r="AO273" s="168" t="str">
        <f t="shared" si="141"/>
        <v/>
      </c>
      <c r="AP273" s="112"/>
      <c r="AQ273" s="112"/>
      <c r="AR273" s="112"/>
      <c r="AS273" s="112"/>
      <c r="AT273" s="112">
        <f t="shared" si="142"/>
        <v>0</v>
      </c>
      <c r="AU273" s="112" t="str">
        <f>IF(AY273="","",((AY273*100)-AT273)/G358)</f>
        <v/>
      </c>
      <c r="AV273" s="6" t="str">
        <f t="shared" si="143"/>
        <v/>
      </c>
      <c r="AW273" s="6" t="str">
        <f>IF(AY273="","",(AU273-AV273)*G358)</f>
        <v/>
      </c>
      <c r="AX273" s="10"/>
      <c r="AY273" s="170" t="str">
        <f t="shared" si="144"/>
        <v/>
      </c>
    </row>
    <row r="274" spans="2:58" x14ac:dyDescent="0.25">
      <c r="B274" s="4"/>
      <c r="C274" s="4"/>
      <c r="D274" s="4"/>
      <c r="E274" s="4"/>
      <c r="F274" s="4"/>
      <c r="G274" s="4"/>
      <c r="H274" s="4"/>
      <c r="I274" s="4"/>
      <c r="J274" s="4"/>
      <c r="K274" s="4"/>
      <c r="L274" s="4"/>
      <c r="M274" s="4"/>
      <c r="N274" s="4"/>
      <c r="O274" s="4"/>
      <c r="P274" s="4"/>
      <c r="Q274" s="4"/>
      <c r="R274" s="4"/>
      <c r="S274" s="4"/>
      <c r="T274" s="4"/>
      <c r="U274" s="4"/>
      <c r="V274" s="4"/>
      <c r="W274" s="4"/>
      <c r="X274" s="4"/>
      <c r="Y274" s="4"/>
      <c r="AB274" s="65">
        <v>9</v>
      </c>
      <c r="AC274" s="169">
        <f t="shared" si="129"/>
        <v>0</v>
      </c>
      <c r="AD274" s="169">
        <f t="shared" si="130"/>
        <v>0</v>
      </c>
      <c r="AE274" s="169">
        <f t="shared" si="131"/>
        <v>0</v>
      </c>
      <c r="AF274" s="169">
        <f t="shared" si="132"/>
        <v>0</v>
      </c>
      <c r="AG274" s="169">
        <f t="shared" si="133"/>
        <v>0</v>
      </c>
      <c r="AH274" s="169">
        <f t="shared" si="134"/>
        <v>0</v>
      </c>
      <c r="AI274" s="169">
        <f t="shared" si="135"/>
        <v>0</v>
      </c>
      <c r="AJ274" s="169">
        <f t="shared" si="136"/>
        <v>0</v>
      </c>
      <c r="AK274" s="169">
        <f t="shared" si="137"/>
        <v>0</v>
      </c>
      <c r="AL274" s="169">
        <f t="shared" si="138"/>
        <v>0</v>
      </c>
      <c r="AM274" s="169">
        <f t="shared" si="139"/>
        <v>0</v>
      </c>
      <c r="AN274" s="169">
        <f t="shared" si="140"/>
        <v>0</v>
      </c>
      <c r="AO274" s="168" t="str">
        <f t="shared" si="141"/>
        <v/>
      </c>
      <c r="AP274" s="112"/>
      <c r="AQ274" s="112"/>
      <c r="AR274" s="112"/>
      <c r="AS274" s="112"/>
      <c r="AT274" s="112">
        <f t="shared" si="142"/>
        <v>0</v>
      </c>
      <c r="AU274" s="112" t="str">
        <f>IF(AY274="","",((AY274*100)-AT274)/G358)</f>
        <v/>
      </c>
      <c r="AV274" s="6" t="str">
        <f t="shared" si="143"/>
        <v/>
      </c>
      <c r="AW274" s="6" t="str">
        <f>IF(AY274="","",(AU274-AV274)*G358)</f>
        <v/>
      </c>
      <c r="AX274" s="10"/>
      <c r="AY274" s="170" t="str">
        <f t="shared" si="144"/>
        <v/>
      </c>
    </row>
    <row r="275" spans="2:58" x14ac:dyDescent="0.25">
      <c r="B275" s="4"/>
      <c r="C275" s="4"/>
      <c r="D275" s="4"/>
      <c r="E275" s="4"/>
      <c r="F275" s="4"/>
      <c r="G275" s="4"/>
      <c r="H275" s="4"/>
      <c r="I275" s="4"/>
      <c r="J275" s="4"/>
      <c r="K275" s="4"/>
      <c r="L275" s="4"/>
      <c r="M275" s="4"/>
      <c r="N275" s="4"/>
      <c r="O275" s="4"/>
      <c r="P275" s="4"/>
      <c r="Q275" s="4"/>
      <c r="R275" s="4"/>
      <c r="S275" s="4"/>
      <c r="T275" s="4"/>
      <c r="U275" s="4"/>
      <c r="V275" s="4"/>
      <c r="W275" s="4"/>
      <c r="X275" s="4"/>
      <c r="Y275" s="4"/>
      <c r="AB275" s="65">
        <v>10</v>
      </c>
      <c r="AC275" s="169">
        <f t="shared" si="129"/>
        <v>0</v>
      </c>
      <c r="AD275" s="169">
        <f t="shared" si="130"/>
        <v>0</v>
      </c>
      <c r="AE275" s="169">
        <f t="shared" si="131"/>
        <v>0</v>
      </c>
      <c r="AF275" s="169">
        <f t="shared" si="132"/>
        <v>0</v>
      </c>
      <c r="AG275" s="169">
        <f t="shared" si="133"/>
        <v>0</v>
      </c>
      <c r="AH275" s="169">
        <f t="shared" si="134"/>
        <v>0</v>
      </c>
      <c r="AI275" s="169">
        <f t="shared" si="135"/>
        <v>0</v>
      </c>
      <c r="AJ275" s="169">
        <f t="shared" si="136"/>
        <v>0</v>
      </c>
      <c r="AK275" s="169">
        <f t="shared" si="137"/>
        <v>0</v>
      </c>
      <c r="AL275" s="169">
        <f t="shared" si="138"/>
        <v>0</v>
      </c>
      <c r="AM275" s="169">
        <f t="shared" si="139"/>
        <v>0</v>
      </c>
      <c r="AN275" s="169">
        <f t="shared" si="140"/>
        <v>0</v>
      </c>
      <c r="AO275" s="168" t="str">
        <f t="shared" si="141"/>
        <v/>
      </c>
      <c r="AP275" s="112"/>
      <c r="AQ275" s="112"/>
      <c r="AR275" s="112"/>
      <c r="AS275" s="112"/>
      <c r="AT275" s="112">
        <f t="shared" si="142"/>
        <v>0</v>
      </c>
      <c r="AU275" s="112" t="str">
        <f>IF(AY275="","",((AY275*100)-AT275)/G358)</f>
        <v/>
      </c>
      <c r="AV275" s="6" t="str">
        <f t="shared" si="143"/>
        <v/>
      </c>
      <c r="AW275" s="6" t="str">
        <f>IF(AY275="","",(AU275-AV275)*G358)</f>
        <v/>
      </c>
      <c r="AX275" s="10"/>
      <c r="AY275" s="170" t="str">
        <f t="shared" si="144"/>
        <v/>
      </c>
    </row>
    <row r="276" spans="2:58" x14ac:dyDescent="0.25">
      <c r="B276" s="4"/>
      <c r="C276" s="4"/>
      <c r="D276" s="4"/>
      <c r="E276" s="4"/>
      <c r="F276" s="4"/>
      <c r="G276" s="4"/>
      <c r="H276" s="4"/>
      <c r="I276" s="4"/>
      <c r="J276" s="4"/>
      <c r="K276" s="4"/>
      <c r="L276" s="4"/>
      <c r="M276" s="4"/>
      <c r="N276" s="4"/>
      <c r="O276" s="4"/>
      <c r="P276" s="4"/>
      <c r="Q276" s="4"/>
      <c r="R276" s="4"/>
      <c r="S276" s="4"/>
      <c r="T276" s="4"/>
      <c r="U276" s="4"/>
      <c r="V276" s="4"/>
      <c r="W276" s="4"/>
      <c r="X276" s="4"/>
      <c r="Y276" s="4"/>
      <c r="AB276" s="65">
        <v>11</v>
      </c>
      <c r="AC276" s="169">
        <f t="shared" si="129"/>
        <v>0</v>
      </c>
      <c r="AD276" s="169">
        <f t="shared" si="130"/>
        <v>0</v>
      </c>
      <c r="AE276" s="169">
        <f t="shared" si="131"/>
        <v>0</v>
      </c>
      <c r="AF276" s="169">
        <f t="shared" si="132"/>
        <v>0</v>
      </c>
      <c r="AG276" s="169">
        <f t="shared" si="133"/>
        <v>0</v>
      </c>
      <c r="AH276" s="169">
        <f t="shared" si="134"/>
        <v>0</v>
      </c>
      <c r="AI276" s="169">
        <f t="shared" si="135"/>
        <v>0</v>
      </c>
      <c r="AJ276" s="169">
        <f t="shared" si="136"/>
        <v>0</v>
      </c>
      <c r="AK276" s="169">
        <f t="shared" si="137"/>
        <v>0</v>
      </c>
      <c r="AL276" s="169">
        <f t="shared" si="138"/>
        <v>0</v>
      </c>
      <c r="AM276" s="169">
        <f t="shared" si="139"/>
        <v>0</v>
      </c>
      <c r="AN276" s="169">
        <f t="shared" si="140"/>
        <v>0</v>
      </c>
      <c r="AO276" s="168" t="str">
        <f t="shared" si="141"/>
        <v/>
      </c>
      <c r="AP276" s="112"/>
      <c r="AQ276" s="112"/>
      <c r="AR276" s="112"/>
      <c r="AS276" s="112"/>
      <c r="AT276" s="112">
        <f t="shared" si="142"/>
        <v>0</v>
      </c>
      <c r="AU276" s="112" t="str">
        <f>IF(AY276="","",((AY276*100)-AT276)/G358)</f>
        <v/>
      </c>
      <c r="AV276" s="6" t="str">
        <f t="shared" si="143"/>
        <v/>
      </c>
      <c r="AW276" s="6" t="str">
        <f>IF(AY276="","",(AU276-AV276)*G358)</f>
        <v/>
      </c>
      <c r="AX276" s="10"/>
      <c r="AY276" s="170" t="str">
        <f t="shared" si="144"/>
        <v/>
      </c>
    </row>
    <row r="277" spans="2:58" x14ac:dyDescent="0.25">
      <c r="B277" s="4"/>
      <c r="C277" s="4"/>
      <c r="D277" s="4"/>
      <c r="E277" s="4"/>
      <c r="F277" s="4"/>
      <c r="G277" s="4"/>
      <c r="H277" s="4"/>
      <c r="I277" s="4"/>
      <c r="J277" s="4"/>
      <c r="K277" s="4"/>
      <c r="L277" s="4"/>
      <c r="M277" s="4"/>
      <c r="N277" s="4"/>
      <c r="O277" s="4"/>
      <c r="P277" s="4"/>
      <c r="Q277" s="4"/>
      <c r="R277" s="4"/>
      <c r="S277" s="4"/>
      <c r="T277" s="4"/>
      <c r="U277" s="4"/>
      <c r="V277" s="4"/>
      <c r="W277" s="4"/>
      <c r="X277" s="4"/>
      <c r="Y277" s="4"/>
      <c r="AB277" s="163">
        <v>12</v>
      </c>
      <c r="AC277" s="168">
        <f t="shared" si="129"/>
        <v>0</v>
      </c>
      <c r="AD277" s="168">
        <f t="shared" si="130"/>
        <v>0</v>
      </c>
      <c r="AE277" s="168">
        <f t="shared" si="131"/>
        <v>0</v>
      </c>
      <c r="AF277" s="168">
        <f t="shared" si="132"/>
        <v>0</v>
      </c>
      <c r="AG277" s="168">
        <f t="shared" si="133"/>
        <v>0</v>
      </c>
      <c r="AH277" s="168">
        <f t="shared" si="134"/>
        <v>0</v>
      </c>
      <c r="AI277" s="169">
        <f t="shared" si="135"/>
        <v>0</v>
      </c>
      <c r="AJ277" s="169">
        <f t="shared" si="136"/>
        <v>0</v>
      </c>
      <c r="AK277" s="169">
        <f t="shared" si="137"/>
        <v>0</v>
      </c>
      <c r="AL277" s="168">
        <f t="shared" si="138"/>
        <v>0</v>
      </c>
      <c r="AM277" s="168">
        <f t="shared" si="139"/>
        <v>0</v>
      </c>
      <c r="AN277" s="168">
        <f t="shared" si="140"/>
        <v>0</v>
      </c>
      <c r="AO277" s="168" t="str">
        <f t="shared" si="141"/>
        <v/>
      </c>
      <c r="AP277" s="112"/>
      <c r="AQ277" s="112"/>
      <c r="AR277" s="112"/>
      <c r="AS277" s="112"/>
      <c r="AT277" s="112">
        <f t="shared" si="142"/>
        <v>0</v>
      </c>
      <c r="AU277" s="112" t="str">
        <f>IF(AY277="","",((AY277*100)-AT277)/G358)</f>
        <v/>
      </c>
      <c r="AV277" s="6" t="str">
        <f t="shared" si="143"/>
        <v/>
      </c>
      <c r="AW277" s="6" t="str">
        <f>IF(AY277="","",(AU277-AV277)*G358)</f>
        <v/>
      </c>
      <c r="AX277" s="10"/>
      <c r="AY277" s="170" t="str">
        <f t="shared" si="144"/>
        <v/>
      </c>
    </row>
    <row r="278" spans="2:58" x14ac:dyDescent="0.25">
      <c r="B278" s="4"/>
      <c r="C278" s="4"/>
      <c r="D278" s="4"/>
      <c r="E278" s="4"/>
      <c r="F278" s="4"/>
      <c r="G278" s="4"/>
      <c r="H278" s="4"/>
      <c r="I278" s="4"/>
      <c r="J278" s="4"/>
      <c r="K278" s="4"/>
      <c r="L278" s="4"/>
      <c r="M278" s="4"/>
      <c r="N278" s="4"/>
      <c r="O278" s="4"/>
      <c r="P278" s="4"/>
      <c r="Q278" s="4"/>
      <c r="R278" s="4"/>
      <c r="S278" s="4"/>
      <c r="T278" s="4"/>
      <c r="U278" s="4"/>
      <c r="V278" s="4"/>
      <c r="W278" s="4"/>
      <c r="X278" s="4"/>
      <c r="Y278" s="4"/>
      <c r="AB278" s="163">
        <v>13</v>
      </c>
      <c r="AC278" s="168">
        <f t="shared" si="129"/>
        <v>0</v>
      </c>
      <c r="AD278" s="168">
        <f t="shared" si="130"/>
        <v>0</v>
      </c>
      <c r="AE278" s="168">
        <f t="shared" si="131"/>
        <v>0</v>
      </c>
      <c r="AF278" s="168">
        <f t="shared" si="132"/>
        <v>0</v>
      </c>
      <c r="AG278" s="168">
        <f t="shared" si="133"/>
        <v>0</v>
      </c>
      <c r="AH278" s="168">
        <f t="shared" si="134"/>
        <v>0</v>
      </c>
      <c r="AI278" s="169">
        <f t="shared" si="135"/>
        <v>0</v>
      </c>
      <c r="AJ278" s="169">
        <f t="shared" si="136"/>
        <v>0</v>
      </c>
      <c r="AK278" s="169">
        <f t="shared" si="137"/>
        <v>0</v>
      </c>
      <c r="AL278" s="168">
        <f t="shared" si="138"/>
        <v>0</v>
      </c>
      <c r="AM278" s="168">
        <f t="shared" si="139"/>
        <v>0</v>
      </c>
      <c r="AN278" s="168">
        <f t="shared" si="140"/>
        <v>0</v>
      </c>
      <c r="AO278" s="168" t="str">
        <f t="shared" si="141"/>
        <v/>
      </c>
      <c r="AP278" s="112"/>
      <c r="AQ278" s="112"/>
      <c r="AR278" s="112"/>
      <c r="AS278" s="112"/>
      <c r="AT278" s="112">
        <f t="shared" si="142"/>
        <v>0</v>
      </c>
      <c r="AU278" s="112" t="str">
        <f>IF(AY278="","",((AY278*100)-AT278)/G358)</f>
        <v/>
      </c>
      <c r="AV278" s="6" t="str">
        <f t="shared" si="143"/>
        <v/>
      </c>
      <c r="AW278" s="6" t="str">
        <f>IF(AY278="","",(AU278-AV278)*G358)</f>
        <v/>
      </c>
      <c r="AX278" s="10"/>
      <c r="AY278" s="170" t="str">
        <f t="shared" si="144"/>
        <v/>
      </c>
    </row>
    <row r="279" spans="2:58" x14ac:dyDescent="0.25">
      <c r="B279" s="4"/>
      <c r="C279" s="4"/>
      <c r="D279" s="4"/>
      <c r="E279" s="4"/>
      <c r="F279" s="4"/>
      <c r="G279" s="4"/>
      <c r="H279" s="4"/>
      <c r="I279" s="4"/>
      <c r="J279" s="4"/>
      <c r="K279" s="4"/>
      <c r="L279" s="4"/>
      <c r="M279" s="4"/>
      <c r="N279" s="4"/>
      <c r="O279" s="4"/>
      <c r="P279" s="4"/>
      <c r="Q279" s="4"/>
      <c r="R279" s="4"/>
      <c r="S279" s="4"/>
      <c r="T279" s="4"/>
      <c r="U279" s="4"/>
      <c r="V279" s="4"/>
      <c r="W279" s="4"/>
      <c r="X279" s="4"/>
      <c r="Y279" s="4"/>
      <c r="AB279" s="163">
        <v>14</v>
      </c>
      <c r="AC279" s="168">
        <f t="shared" si="129"/>
        <v>0</v>
      </c>
      <c r="AD279" s="168">
        <f t="shared" si="130"/>
        <v>0</v>
      </c>
      <c r="AE279" s="168">
        <f t="shared" si="131"/>
        <v>0</v>
      </c>
      <c r="AF279" s="168">
        <f t="shared" si="132"/>
        <v>0</v>
      </c>
      <c r="AG279" s="168">
        <f t="shared" si="133"/>
        <v>0</v>
      </c>
      <c r="AH279" s="168">
        <f t="shared" si="134"/>
        <v>0</v>
      </c>
      <c r="AI279" s="169">
        <f t="shared" si="135"/>
        <v>0</v>
      </c>
      <c r="AJ279" s="169">
        <f t="shared" si="136"/>
        <v>0</v>
      </c>
      <c r="AK279" s="169">
        <f t="shared" si="137"/>
        <v>0</v>
      </c>
      <c r="AL279" s="168">
        <f t="shared" si="138"/>
        <v>0</v>
      </c>
      <c r="AM279" s="168">
        <f t="shared" si="139"/>
        <v>0</v>
      </c>
      <c r="AN279" s="168">
        <f t="shared" si="140"/>
        <v>0</v>
      </c>
      <c r="AO279" s="168" t="str">
        <f t="shared" si="141"/>
        <v/>
      </c>
      <c r="AP279" s="112"/>
      <c r="AQ279" s="112"/>
      <c r="AR279" s="112"/>
      <c r="AS279" s="112"/>
      <c r="AT279" s="112">
        <f t="shared" si="142"/>
        <v>0</v>
      </c>
      <c r="AU279" s="112" t="str">
        <f>IF(AY279="","",((AY279*100)-AT279)/G358)</f>
        <v/>
      </c>
      <c r="AV279" s="6" t="str">
        <f t="shared" si="143"/>
        <v/>
      </c>
      <c r="AW279" s="6" t="str">
        <f>IF(AY279="","",(AU279-AV279)*G358)</f>
        <v/>
      </c>
      <c r="AX279" s="10"/>
      <c r="AY279" s="170" t="str">
        <f t="shared" si="144"/>
        <v/>
      </c>
    </row>
    <row r="280" spans="2:58" x14ac:dyDescent="0.25">
      <c r="B280" s="4"/>
      <c r="C280" s="4"/>
      <c r="D280" s="4"/>
      <c r="E280" s="4"/>
      <c r="F280" s="4"/>
      <c r="G280" s="4"/>
      <c r="H280" s="4"/>
      <c r="I280" s="4"/>
      <c r="J280" s="4"/>
      <c r="K280" s="4"/>
      <c r="L280" s="4"/>
      <c r="M280" s="4"/>
      <c r="N280" s="4"/>
      <c r="O280" s="4"/>
      <c r="P280" s="4"/>
      <c r="Q280" s="4"/>
      <c r="R280" s="4"/>
      <c r="S280" s="4"/>
      <c r="T280" s="4"/>
      <c r="U280" s="4"/>
      <c r="V280" s="4"/>
      <c r="W280" s="4"/>
      <c r="X280" s="4"/>
      <c r="Y280" s="4"/>
      <c r="AB280" s="163">
        <v>15</v>
      </c>
      <c r="AC280" s="168">
        <f t="shared" si="129"/>
        <v>0</v>
      </c>
      <c r="AD280" s="168">
        <f t="shared" si="130"/>
        <v>0</v>
      </c>
      <c r="AE280" s="168">
        <f t="shared" si="131"/>
        <v>0</v>
      </c>
      <c r="AF280" s="168">
        <f t="shared" si="132"/>
        <v>0</v>
      </c>
      <c r="AG280" s="168">
        <f t="shared" si="133"/>
        <v>0</v>
      </c>
      <c r="AH280" s="168">
        <f t="shared" si="134"/>
        <v>0</v>
      </c>
      <c r="AI280" s="169">
        <f t="shared" si="135"/>
        <v>0</v>
      </c>
      <c r="AJ280" s="169">
        <f t="shared" si="136"/>
        <v>0</v>
      </c>
      <c r="AK280" s="169">
        <f t="shared" si="137"/>
        <v>0</v>
      </c>
      <c r="AL280" s="168">
        <f t="shared" si="138"/>
        <v>0</v>
      </c>
      <c r="AM280" s="168">
        <f t="shared" si="139"/>
        <v>0</v>
      </c>
      <c r="AN280" s="168">
        <f t="shared" si="140"/>
        <v>0</v>
      </c>
      <c r="AO280" s="168" t="str">
        <f t="shared" si="141"/>
        <v/>
      </c>
      <c r="AP280" s="112"/>
      <c r="AQ280" s="112"/>
      <c r="AR280" s="112"/>
      <c r="AS280" s="112"/>
      <c r="AT280" s="112">
        <f t="shared" si="142"/>
        <v>0</v>
      </c>
      <c r="AU280" s="112" t="str">
        <f>IF(AY280="","",((AY280*100)-AT280)/G358)</f>
        <v/>
      </c>
      <c r="AV280" s="6" t="str">
        <f t="shared" si="143"/>
        <v/>
      </c>
      <c r="AW280" s="6" t="str">
        <f>IF(AY280="","",(AU280-AV280)*G358)</f>
        <v/>
      </c>
      <c r="AX280" s="10"/>
      <c r="AY280" s="170" t="str">
        <f t="shared" si="144"/>
        <v/>
      </c>
    </row>
    <row r="281" spans="2:58" x14ac:dyDescent="0.25">
      <c r="B281" s="4"/>
      <c r="C281" s="4"/>
      <c r="D281" s="4"/>
      <c r="E281" s="4"/>
      <c r="F281" s="4"/>
      <c r="G281" s="4"/>
      <c r="H281" s="4"/>
      <c r="I281" s="4"/>
      <c r="J281" s="4"/>
      <c r="K281" s="4"/>
      <c r="L281" s="4"/>
      <c r="M281" s="4"/>
      <c r="N281" s="4"/>
      <c r="O281" s="4"/>
      <c r="P281" s="4"/>
      <c r="Q281" s="4"/>
      <c r="R281" s="4"/>
      <c r="S281" s="4"/>
      <c r="T281" s="4"/>
      <c r="U281" s="4"/>
      <c r="V281" s="4"/>
      <c r="W281" s="4"/>
      <c r="X281" s="4"/>
      <c r="Y281" s="4"/>
      <c r="AB281" s="163">
        <v>16</v>
      </c>
      <c r="AC281" s="168">
        <f t="shared" si="129"/>
        <v>0</v>
      </c>
      <c r="AD281" s="168">
        <f t="shared" si="130"/>
        <v>0</v>
      </c>
      <c r="AE281" s="168">
        <f t="shared" si="131"/>
        <v>0</v>
      </c>
      <c r="AF281" s="168">
        <f t="shared" si="132"/>
        <v>0</v>
      </c>
      <c r="AG281" s="168">
        <f t="shared" si="133"/>
        <v>0</v>
      </c>
      <c r="AH281" s="168">
        <f t="shared" si="134"/>
        <v>0</v>
      </c>
      <c r="AI281" s="169">
        <f t="shared" si="135"/>
        <v>0</v>
      </c>
      <c r="AJ281" s="169">
        <f t="shared" si="136"/>
        <v>0</v>
      </c>
      <c r="AK281" s="169">
        <f t="shared" si="137"/>
        <v>0</v>
      </c>
      <c r="AL281" s="168">
        <f t="shared" si="138"/>
        <v>0</v>
      </c>
      <c r="AM281" s="168">
        <f t="shared" si="139"/>
        <v>0</v>
      </c>
      <c r="AN281" s="168">
        <f t="shared" si="140"/>
        <v>0</v>
      </c>
      <c r="AO281" s="168" t="str">
        <f t="shared" si="141"/>
        <v/>
      </c>
      <c r="AP281" s="112"/>
      <c r="AQ281" s="112"/>
      <c r="AR281" s="112"/>
      <c r="AS281" s="112"/>
      <c r="AT281" s="112">
        <f t="shared" si="142"/>
        <v>0</v>
      </c>
      <c r="AU281" s="112" t="str">
        <f>IF(AY281="","",((AY281*100)-AT281)/G358)</f>
        <v/>
      </c>
      <c r="AV281" s="6" t="str">
        <f t="shared" si="143"/>
        <v/>
      </c>
      <c r="AW281" s="6" t="str">
        <f>IF(AY281="","",(AU281-AV281)*G358)</f>
        <v/>
      </c>
      <c r="AX281" s="10"/>
      <c r="AY281" s="170" t="str">
        <f t="shared" si="144"/>
        <v/>
      </c>
    </row>
    <row r="282" spans="2:58" x14ac:dyDescent="0.25">
      <c r="B282" s="4"/>
      <c r="C282" s="4"/>
      <c r="D282" s="4"/>
      <c r="E282" s="4"/>
      <c r="F282" s="4"/>
      <c r="G282" s="4"/>
      <c r="H282" s="4"/>
      <c r="I282" s="4"/>
      <c r="J282" s="4"/>
      <c r="K282" s="4"/>
      <c r="L282" s="4"/>
      <c r="M282" s="4"/>
      <c r="N282" s="4"/>
      <c r="O282" s="4"/>
      <c r="P282" s="4"/>
      <c r="Q282" s="4"/>
      <c r="R282" s="4"/>
      <c r="S282" s="4"/>
      <c r="T282" s="4"/>
      <c r="U282" s="4"/>
      <c r="V282" s="4"/>
      <c r="W282" s="4"/>
      <c r="X282" s="4"/>
      <c r="Y282" s="4"/>
      <c r="AB282" s="163">
        <v>17</v>
      </c>
      <c r="AC282" s="168">
        <f t="shared" si="129"/>
        <v>0</v>
      </c>
      <c r="AD282" s="168">
        <f t="shared" si="130"/>
        <v>0</v>
      </c>
      <c r="AE282" s="168">
        <f t="shared" si="131"/>
        <v>0</v>
      </c>
      <c r="AF282" s="168">
        <f t="shared" si="132"/>
        <v>0</v>
      </c>
      <c r="AG282" s="168">
        <f t="shared" si="133"/>
        <v>0</v>
      </c>
      <c r="AH282" s="168">
        <f t="shared" si="134"/>
        <v>0</v>
      </c>
      <c r="AI282" s="169">
        <f t="shared" si="135"/>
        <v>0</v>
      </c>
      <c r="AJ282" s="169">
        <f t="shared" si="136"/>
        <v>0</v>
      </c>
      <c r="AK282" s="169">
        <f t="shared" si="137"/>
        <v>0</v>
      </c>
      <c r="AL282" s="168">
        <f t="shared" si="138"/>
        <v>0</v>
      </c>
      <c r="AM282" s="168">
        <f t="shared" si="139"/>
        <v>0</v>
      </c>
      <c r="AN282" s="168">
        <f t="shared" si="140"/>
        <v>0</v>
      </c>
      <c r="AO282" s="168" t="str">
        <f t="shared" si="141"/>
        <v/>
      </c>
      <c r="AP282" s="112"/>
      <c r="AQ282" s="112"/>
      <c r="AR282" s="112"/>
      <c r="AS282" s="112"/>
      <c r="AT282" s="112">
        <f t="shared" si="142"/>
        <v>0</v>
      </c>
      <c r="AU282" s="112" t="str">
        <f>IF(AY282="","",((AY282*100)-AT282)/G358)</f>
        <v/>
      </c>
      <c r="AV282" s="6" t="str">
        <f t="shared" si="143"/>
        <v/>
      </c>
      <c r="AW282" s="6" t="str">
        <f>IF(AY282="","",(AU282-AV282)*G358)</f>
        <v/>
      </c>
      <c r="AX282" s="10"/>
      <c r="AY282" s="170" t="str">
        <f t="shared" si="144"/>
        <v/>
      </c>
    </row>
    <row r="283" spans="2:58" x14ac:dyDescent="0.25">
      <c r="B283" s="4"/>
      <c r="C283" s="4"/>
      <c r="D283" s="4"/>
      <c r="E283" s="4"/>
      <c r="F283" s="4"/>
      <c r="G283" s="4"/>
      <c r="H283" s="4"/>
      <c r="I283" s="4"/>
      <c r="J283" s="4"/>
      <c r="K283" s="4"/>
      <c r="L283" s="4"/>
      <c r="M283" s="4"/>
      <c r="N283" s="4"/>
      <c r="O283" s="4"/>
      <c r="P283" s="4"/>
      <c r="Q283" s="4"/>
      <c r="R283" s="4"/>
      <c r="S283" s="4"/>
      <c r="T283" s="4"/>
      <c r="U283" s="4"/>
      <c r="V283" s="4"/>
      <c r="W283" s="4"/>
      <c r="X283" s="4"/>
      <c r="Y283" s="4"/>
      <c r="AB283" s="163">
        <v>18</v>
      </c>
      <c r="AC283" s="168">
        <f t="shared" si="129"/>
        <v>0</v>
      </c>
      <c r="AD283" s="168">
        <f t="shared" si="130"/>
        <v>0</v>
      </c>
      <c r="AE283" s="168">
        <f t="shared" si="131"/>
        <v>0</v>
      </c>
      <c r="AF283" s="168">
        <f t="shared" si="132"/>
        <v>0</v>
      </c>
      <c r="AG283" s="168">
        <f t="shared" si="133"/>
        <v>0</v>
      </c>
      <c r="AH283" s="168">
        <f t="shared" si="134"/>
        <v>0</v>
      </c>
      <c r="AI283" s="169">
        <f t="shared" si="135"/>
        <v>0</v>
      </c>
      <c r="AJ283" s="169">
        <f t="shared" si="136"/>
        <v>0</v>
      </c>
      <c r="AK283" s="169">
        <f t="shared" si="137"/>
        <v>0</v>
      </c>
      <c r="AL283" s="168">
        <f t="shared" si="138"/>
        <v>0</v>
      </c>
      <c r="AM283" s="168">
        <f t="shared" si="139"/>
        <v>0</v>
      </c>
      <c r="AN283" s="168">
        <f t="shared" si="140"/>
        <v>0</v>
      </c>
      <c r="AO283" s="168" t="str">
        <f t="shared" si="141"/>
        <v/>
      </c>
      <c r="AP283" s="112"/>
      <c r="AQ283" s="112"/>
      <c r="AR283" s="112"/>
      <c r="AS283" s="112"/>
      <c r="AT283" s="112">
        <f t="shared" si="142"/>
        <v>0</v>
      </c>
      <c r="AU283" s="112" t="str">
        <f>IF(AY283="","",((AY283*100)-AT283)/G358)</f>
        <v/>
      </c>
      <c r="AV283" s="6" t="str">
        <f t="shared" si="143"/>
        <v/>
      </c>
      <c r="AW283" s="6" t="str">
        <f>IF(AY283="","",(AU283-AV283)*G358)</f>
        <v/>
      </c>
      <c r="AX283" s="10"/>
      <c r="AY283" s="170" t="str">
        <f t="shared" si="144"/>
        <v/>
      </c>
    </row>
    <row r="284" spans="2:58" x14ac:dyDescent="0.25">
      <c r="B284" s="4"/>
      <c r="C284" s="4"/>
      <c r="D284" s="4"/>
      <c r="E284" s="4"/>
      <c r="F284" s="4"/>
      <c r="G284" s="4"/>
      <c r="H284" s="4"/>
      <c r="I284" s="4"/>
      <c r="J284" s="4"/>
      <c r="K284" s="4"/>
      <c r="L284" s="4"/>
      <c r="M284" s="4"/>
      <c r="N284" s="4"/>
      <c r="O284" s="4"/>
      <c r="P284" s="4"/>
      <c r="Q284" s="4"/>
      <c r="R284" s="4"/>
      <c r="S284" s="4"/>
      <c r="T284" s="4"/>
      <c r="U284" s="4"/>
      <c r="V284" s="4"/>
      <c r="W284" s="4"/>
      <c r="X284" s="4"/>
      <c r="Y284" s="4"/>
      <c r="AB284" s="163">
        <v>19</v>
      </c>
      <c r="AC284" s="168">
        <f t="shared" si="129"/>
        <v>0</v>
      </c>
      <c r="AD284" s="168">
        <f t="shared" si="130"/>
        <v>0</v>
      </c>
      <c r="AE284" s="168">
        <f t="shared" si="131"/>
        <v>0</v>
      </c>
      <c r="AF284" s="168">
        <f t="shared" si="132"/>
        <v>0</v>
      </c>
      <c r="AG284" s="168">
        <f t="shared" si="133"/>
        <v>0</v>
      </c>
      <c r="AH284" s="168">
        <f t="shared" si="134"/>
        <v>0</v>
      </c>
      <c r="AI284" s="169">
        <f t="shared" si="135"/>
        <v>0</v>
      </c>
      <c r="AJ284" s="169">
        <f t="shared" si="136"/>
        <v>0</v>
      </c>
      <c r="AK284" s="169">
        <f t="shared" si="137"/>
        <v>0</v>
      </c>
      <c r="AL284" s="168">
        <f t="shared" si="138"/>
        <v>0</v>
      </c>
      <c r="AM284" s="168">
        <f t="shared" si="139"/>
        <v>0</v>
      </c>
      <c r="AN284" s="168">
        <f t="shared" si="140"/>
        <v>0</v>
      </c>
      <c r="AO284" s="168" t="str">
        <f t="shared" si="141"/>
        <v/>
      </c>
      <c r="AP284" s="112"/>
      <c r="AQ284" s="112"/>
      <c r="AR284" s="112"/>
      <c r="AS284" s="112"/>
      <c r="AT284" s="112">
        <f t="shared" si="142"/>
        <v>0</v>
      </c>
      <c r="AU284" s="112" t="str">
        <f>IF(AY284="","",((AY284*100)-AT284)/G358)</f>
        <v/>
      </c>
      <c r="AV284" s="6" t="str">
        <f t="shared" si="143"/>
        <v/>
      </c>
      <c r="AW284" s="6" t="str">
        <f>IF(AY284="","",(AU284-AV284)*G358)</f>
        <v/>
      </c>
      <c r="AX284" s="10"/>
      <c r="AY284" s="170" t="str">
        <f t="shared" si="144"/>
        <v/>
      </c>
    </row>
    <row r="285" spans="2:58" x14ac:dyDescent="0.25">
      <c r="B285" s="4"/>
      <c r="C285" s="4"/>
      <c r="D285" s="4"/>
      <c r="E285" s="4"/>
      <c r="F285" s="4"/>
      <c r="G285" s="4"/>
      <c r="H285" s="4"/>
      <c r="I285" s="4"/>
      <c r="J285" s="4"/>
      <c r="K285" s="4"/>
      <c r="L285" s="4"/>
      <c r="M285" s="4"/>
      <c r="N285" s="4"/>
      <c r="O285" s="4"/>
      <c r="P285" s="4"/>
      <c r="Q285" s="4"/>
      <c r="R285" s="4"/>
      <c r="S285" s="4"/>
      <c r="T285" s="4"/>
      <c r="U285" s="4"/>
      <c r="V285" s="4"/>
      <c r="W285" s="4"/>
      <c r="X285" s="4"/>
      <c r="Y285" s="4"/>
      <c r="AB285" s="163">
        <v>20</v>
      </c>
      <c r="AC285" s="168">
        <f t="shared" si="129"/>
        <v>0</v>
      </c>
      <c r="AD285" s="168">
        <f t="shared" si="130"/>
        <v>0</v>
      </c>
      <c r="AE285" s="168">
        <f t="shared" si="131"/>
        <v>0</v>
      </c>
      <c r="AF285" s="168">
        <f t="shared" si="132"/>
        <v>0</v>
      </c>
      <c r="AG285" s="168">
        <f t="shared" si="133"/>
        <v>0</v>
      </c>
      <c r="AH285" s="168">
        <f t="shared" si="134"/>
        <v>0</v>
      </c>
      <c r="AI285" s="169">
        <f t="shared" si="135"/>
        <v>0</v>
      </c>
      <c r="AJ285" s="169">
        <f t="shared" si="136"/>
        <v>0</v>
      </c>
      <c r="AK285" s="169">
        <f t="shared" si="137"/>
        <v>0</v>
      </c>
      <c r="AL285" s="168">
        <f t="shared" si="138"/>
        <v>0</v>
      </c>
      <c r="AM285" s="168">
        <f t="shared" si="139"/>
        <v>0</v>
      </c>
      <c r="AN285" s="168">
        <f t="shared" si="140"/>
        <v>0</v>
      </c>
      <c r="AO285" s="168" t="str">
        <f t="shared" si="141"/>
        <v/>
      </c>
      <c r="AP285" s="112"/>
      <c r="AQ285" s="112"/>
      <c r="AR285" s="112"/>
      <c r="AS285" s="112"/>
      <c r="AT285" s="112">
        <f t="shared" si="142"/>
        <v>0</v>
      </c>
      <c r="AU285" s="112" t="str">
        <f>IF(AY285="","",((AY285*100)-AT285)/G358)</f>
        <v/>
      </c>
      <c r="AV285" s="6" t="str">
        <f t="shared" si="143"/>
        <v/>
      </c>
      <c r="AW285" s="6" t="str">
        <f>IF(AY285="","",(AU285-AV285)*G358)</f>
        <v/>
      </c>
      <c r="AX285" s="10"/>
      <c r="AY285" s="170" t="str">
        <f t="shared" si="144"/>
        <v/>
      </c>
    </row>
    <row r="286" spans="2:58" x14ac:dyDescent="0.25">
      <c r="B286" s="4"/>
      <c r="C286" s="4"/>
      <c r="D286" s="4"/>
      <c r="E286" s="4"/>
      <c r="F286" s="4"/>
      <c r="G286" s="4"/>
      <c r="H286" s="4"/>
      <c r="I286" s="4"/>
      <c r="J286" s="4"/>
      <c r="K286" s="4"/>
      <c r="L286" s="4"/>
      <c r="M286" s="4"/>
      <c r="N286" s="4"/>
      <c r="O286" s="4"/>
      <c r="P286" s="4"/>
      <c r="Q286" s="4"/>
      <c r="R286" s="4"/>
      <c r="S286" s="4"/>
      <c r="T286" s="4"/>
      <c r="U286" s="4"/>
      <c r="V286" s="4"/>
      <c r="W286" s="4"/>
      <c r="X286" s="4"/>
      <c r="Y286" s="4"/>
      <c r="AB286" s="91"/>
      <c r="AC286" s="171">
        <f t="shared" ref="AC286:AN286" si="145">SUM(AC266:AC285)</f>
        <v>0</v>
      </c>
      <c r="AD286" s="171">
        <f t="shared" si="145"/>
        <v>0</v>
      </c>
      <c r="AE286" s="171">
        <f t="shared" si="145"/>
        <v>0</v>
      </c>
      <c r="AF286" s="171">
        <f t="shared" si="145"/>
        <v>0</v>
      </c>
      <c r="AG286" s="171">
        <f t="shared" si="145"/>
        <v>0</v>
      </c>
      <c r="AH286" s="171">
        <f t="shared" si="145"/>
        <v>0</v>
      </c>
      <c r="AI286" s="171">
        <f t="shared" si="145"/>
        <v>0</v>
      </c>
      <c r="AJ286" s="171">
        <f t="shared" si="145"/>
        <v>0</v>
      </c>
      <c r="AK286" s="171">
        <f t="shared" si="145"/>
        <v>0</v>
      </c>
      <c r="AL286" s="171">
        <f t="shared" si="145"/>
        <v>0</v>
      </c>
      <c r="AM286" s="171">
        <f t="shared" si="145"/>
        <v>0</v>
      </c>
      <c r="AN286" s="171">
        <f t="shared" si="145"/>
        <v>0</v>
      </c>
      <c r="AO286" s="91"/>
      <c r="AP286" s="91"/>
      <c r="AQ286" s="91"/>
      <c r="AR286" s="91"/>
      <c r="AS286" s="91"/>
      <c r="AT286" s="91"/>
      <c r="AU286" s="91"/>
      <c r="AV286" s="4"/>
      <c r="AW286" s="4"/>
      <c r="AX286" s="4"/>
      <c r="AY286" s="58">
        <f>SUM(AY266:AY285)</f>
        <v>0</v>
      </c>
      <c r="AZ286" s="4"/>
      <c r="BA286" s="4"/>
      <c r="BB286" s="4"/>
      <c r="BC286" s="4"/>
      <c r="BD286" s="4"/>
      <c r="BE286" s="4"/>
      <c r="BF286" s="4"/>
    </row>
    <row r="287" spans="2:58" x14ac:dyDescent="0.25">
      <c r="B287" s="4"/>
      <c r="C287" s="4"/>
      <c r="D287" s="4"/>
      <c r="E287" s="4"/>
      <c r="F287" s="4"/>
      <c r="G287" s="4"/>
      <c r="H287" s="4"/>
      <c r="I287" s="3"/>
      <c r="J287" s="3"/>
      <c r="K287" s="3"/>
      <c r="L287" s="3"/>
      <c r="M287" s="3"/>
      <c r="N287" s="3"/>
      <c r="O287" s="3"/>
      <c r="P287" s="3"/>
      <c r="Q287" s="4"/>
      <c r="R287" s="4"/>
      <c r="S287" s="4"/>
      <c r="T287" s="4"/>
      <c r="U287" s="4"/>
      <c r="V287" s="4"/>
      <c r="W287" s="4"/>
      <c r="X287" s="4"/>
      <c r="Y287" s="4"/>
      <c r="AB287" s="91"/>
      <c r="AC287" s="91"/>
      <c r="AD287" s="91"/>
      <c r="AE287" s="91"/>
      <c r="AF287" s="91"/>
      <c r="AG287" s="91"/>
      <c r="AH287" s="91"/>
      <c r="AI287" s="91"/>
      <c r="AJ287" s="91"/>
      <c r="AK287" s="91"/>
      <c r="AL287" s="91"/>
      <c r="AM287" s="91"/>
      <c r="AN287" s="91"/>
      <c r="AO287" s="91"/>
      <c r="AP287" s="91"/>
      <c r="AQ287" s="91"/>
      <c r="AR287" s="91"/>
      <c r="AS287" s="91"/>
      <c r="AT287" s="91"/>
      <c r="AU287" s="91"/>
      <c r="AV287" s="4"/>
      <c r="AW287" s="4"/>
      <c r="AX287" s="4"/>
      <c r="AY287" s="4"/>
      <c r="AZ287" s="4"/>
      <c r="BA287" s="4"/>
      <c r="BB287" s="4"/>
      <c r="BC287" s="4"/>
      <c r="BD287" s="4"/>
      <c r="BE287" s="4"/>
      <c r="BF287" s="4"/>
    </row>
    <row r="288" spans="2:58" ht="13.8" thickBot="1" x14ac:dyDescent="0.3">
      <c r="B288" s="4"/>
      <c r="C288" s="4"/>
      <c r="D288" s="4"/>
      <c r="E288" s="4"/>
      <c r="F288" s="4"/>
      <c r="G288" s="4"/>
      <c r="H288" s="4"/>
      <c r="I288" s="3"/>
      <c r="J288" s="3"/>
      <c r="K288" s="3"/>
      <c r="L288" s="3"/>
      <c r="M288" s="3"/>
      <c r="N288" s="3"/>
      <c r="O288" s="3"/>
      <c r="P288" s="3"/>
      <c r="Q288" s="4"/>
      <c r="R288" s="4"/>
      <c r="S288" s="4"/>
      <c r="T288" s="4"/>
      <c r="U288" s="4"/>
      <c r="V288" s="4"/>
      <c r="W288" s="4"/>
      <c r="X288" s="4"/>
      <c r="Y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row>
    <row r="289" spans="1:58" x14ac:dyDescent="0.25">
      <c r="A289" s="12"/>
      <c r="B289" s="13"/>
      <c r="C289" s="13"/>
      <c r="D289" s="13"/>
      <c r="E289" s="13"/>
      <c r="F289" s="13"/>
      <c r="G289" s="13"/>
      <c r="H289" s="13"/>
      <c r="I289" s="14"/>
      <c r="J289" s="3"/>
      <c r="K289" s="3"/>
      <c r="L289" s="3"/>
      <c r="M289" s="3"/>
      <c r="N289" s="3"/>
      <c r="O289" s="3"/>
      <c r="P289" s="3"/>
      <c r="Q289" s="4"/>
      <c r="R289" s="4"/>
      <c r="S289" s="4"/>
      <c r="T289" s="4"/>
      <c r="U289" s="4"/>
      <c r="V289" s="4"/>
      <c r="W289" s="4"/>
      <c r="X289" s="4"/>
      <c r="Y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row>
    <row r="290" spans="1:58" x14ac:dyDescent="0.25">
      <c r="A290" s="21"/>
      <c r="B290" s="3"/>
      <c r="C290" s="3"/>
      <c r="D290" s="3"/>
      <c r="E290" s="3"/>
      <c r="F290" s="3"/>
      <c r="G290" s="3"/>
      <c r="H290" s="3"/>
      <c r="I290" s="22"/>
      <c r="J290" s="3"/>
      <c r="K290" s="3"/>
      <c r="L290" s="3"/>
      <c r="M290" s="3"/>
      <c r="N290" s="3"/>
      <c r="O290" s="3"/>
      <c r="P290" s="3"/>
      <c r="Q290" s="4"/>
      <c r="R290" s="4"/>
      <c r="S290" s="4"/>
      <c r="T290" s="4"/>
      <c r="U290" s="4"/>
      <c r="V290" s="4"/>
      <c r="W290" s="4"/>
      <c r="X290" s="4"/>
      <c r="Y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row>
    <row r="291" spans="1:58" x14ac:dyDescent="0.25">
      <c r="A291" s="21"/>
      <c r="B291" s="3"/>
      <c r="C291" s="3"/>
      <c r="D291" s="3"/>
      <c r="E291" s="3"/>
      <c r="F291" s="3"/>
      <c r="G291" s="3"/>
      <c r="H291" s="3"/>
      <c r="I291" s="22"/>
      <c r="J291" s="3"/>
      <c r="K291" s="3"/>
      <c r="L291" s="3"/>
      <c r="M291" s="3"/>
      <c r="N291" s="3"/>
      <c r="O291" s="3"/>
      <c r="P291" s="3"/>
      <c r="Q291" s="4"/>
      <c r="R291" s="4"/>
      <c r="S291" s="4"/>
      <c r="T291" s="4"/>
      <c r="U291" s="4"/>
      <c r="V291" s="4"/>
      <c r="W291" s="4"/>
      <c r="X291" s="4"/>
      <c r="Y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row>
    <row r="292" spans="1:58" x14ac:dyDescent="0.25">
      <c r="A292" s="21"/>
      <c r="B292" s="3"/>
      <c r="C292" s="124" t="s">
        <v>180</v>
      </c>
      <c r="D292" s="55"/>
      <c r="E292" s="55"/>
      <c r="F292" s="55"/>
      <c r="G292" s="55"/>
      <c r="H292" s="125"/>
      <c r="I292" s="22"/>
      <c r="J292" s="3"/>
      <c r="K292" s="3"/>
      <c r="L292" s="3"/>
      <c r="M292" s="3"/>
      <c r="N292" s="3"/>
      <c r="O292" s="3"/>
      <c r="P292" s="3"/>
      <c r="Q292" s="4"/>
      <c r="R292" s="4"/>
      <c r="S292" s="4"/>
      <c r="T292" s="4"/>
      <c r="U292" s="4"/>
      <c r="V292" s="4"/>
      <c r="W292" s="4"/>
      <c r="X292" s="4"/>
      <c r="Y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row>
    <row r="293" spans="1:58" x14ac:dyDescent="0.25">
      <c r="A293" s="21"/>
      <c r="B293" s="3"/>
      <c r="C293" s="3"/>
      <c r="D293" s="3"/>
      <c r="E293" s="3"/>
      <c r="F293" s="3"/>
      <c r="G293" s="3"/>
      <c r="H293" s="3"/>
      <c r="I293" s="22"/>
      <c r="J293" s="3"/>
      <c r="K293" s="3"/>
      <c r="L293" s="3"/>
      <c r="M293" s="3"/>
      <c r="N293" s="3"/>
      <c r="O293" s="3"/>
      <c r="P293" s="3"/>
      <c r="Q293" s="4"/>
      <c r="R293" s="4"/>
      <c r="S293" s="4"/>
      <c r="T293" s="4"/>
      <c r="U293" s="4"/>
      <c r="V293" s="4"/>
      <c r="W293" s="4"/>
      <c r="X293" s="4"/>
      <c r="Y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row>
    <row r="294" spans="1:58" x14ac:dyDescent="0.25">
      <c r="A294" s="21"/>
      <c r="B294" s="3"/>
      <c r="C294" s="3"/>
      <c r="D294" s="3"/>
      <c r="E294" s="3"/>
      <c r="F294" s="3"/>
      <c r="G294" s="3"/>
      <c r="H294" s="3"/>
      <c r="I294" s="22"/>
      <c r="J294" s="3"/>
      <c r="K294" s="3"/>
      <c r="L294" s="3"/>
      <c r="M294" s="3"/>
      <c r="N294" s="3"/>
      <c r="O294" s="3"/>
      <c r="P294" s="3"/>
      <c r="Q294" s="4"/>
      <c r="R294" s="4"/>
      <c r="S294" s="4"/>
      <c r="T294" s="4"/>
      <c r="U294" s="4"/>
      <c r="V294" s="4"/>
      <c r="W294" s="4"/>
      <c r="X294" s="4"/>
      <c r="Y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row>
    <row r="295" spans="1:58" x14ac:dyDescent="0.25">
      <c r="A295" s="21"/>
      <c r="B295" s="3"/>
      <c r="C295" s="3"/>
      <c r="D295" s="3"/>
      <c r="E295" s="3"/>
      <c r="F295" s="3"/>
      <c r="G295" s="3"/>
      <c r="H295" s="3"/>
      <c r="I295" s="22"/>
      <c r="J295" s="3"/>
      <c r="K295" s="3"/>
      <c r="L295" s="3"/>
      <c r="M295" s="3"/>
      <c r="N295" s="3"/>
      <c r="O295" s="3"/>
      <c r="P295" s="3"/>
      <c r="Q295" s="4"/>
      <c r="R295" s="4"/>
      <c r="S295" s="4"/>
      <c r="T295" s="4"/>
      <c r="U295" s="4"/>
      <c r="V295" s="4"/>
      <c r="W295" s="4"/>
      <c r="X295" s="4"/>
      <c r="Y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row>
    <row r="296" spans="1:58" x14ac:dyDescent="0.25">
      <c r="A296" s="21"/>
      <c r="B296" s="3"/>
      <c r="C296" s="3"/>
      <c r="D296" s="3"/>
      <c r="E296" s="48" t="s">
        <v>156</v>
      </c>
      <c r="F296" s="3"/>
      <c r="G296" s="3"/>
      <c r="H296" s="3"/>
      <c r="I296" s="22"/>
      <c r="J296" s="3"/>
      <c r="K296" s="3"/>
      <c r="L296" s="3"/>
      <c r="M296" s="3"/>
      <c r="N296" s="3"/>
      <c r="O296" s="3"/>
      <c r="P296" s="3"/>
      <c r="Q296" s="4"/>
      <c r="R296" s="4"/>
      <c r="S296" s="4"/>
      <c r="T296" s="4"/>
      <c r="U296" s="4"/>
      <c r="V296" s="4"/>
      <c r="W296" s="4"/>
      <c r="X296" s="4"/>
      <c r="Y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row>
    <row r="297" spans="1:58" x14ac:dyDescent="0.25">
      <c r="A297" s="21"/>
      <c r="B297" s="3"/>
      <c r="C297" s="3"/>
      <c r="D297" s="3"/>
      <c r="E297" s="3"/>
      <c r="F297" s="3"/>
      <c r="G297" s="3"/>
      <c r="H297" s="3"/>
      <c r="I297" s="22"/>
      <c r="J297" s="3"/>
      <c r="K297" s="3"/>
      <c r="L297" s="3"/>
      <c r="M297" s="3"/>
      <c r="N297" s="3"/>
      <c r="O297" s="3"/>
      <c r="P297" s="3"/>
      <c r="Q297" s="4"/>
      <c r="R297" s="4"/>
      <c r="S297" s="4"/>
      <c r="T297" s="4"/>
      <c r="U297" s="4"/>
      <c r="V297" s="4"/>
      <c r="W297" s="4"/>
      <c r="X297" s="4"/>
      <c r="Y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row>
    <row r="298" spans="1:58" x14ac:dyDescent="0.25">
      <c r="A298" s="21"/>
      <c r="B298" s="3"/>
      <c r="C298" s="3"/>
      <c r="D298" s="3"/>
      <c r="E298" s="3"/>
      <c r="F298" s="3"/>
      <c r="G298" s="3"/>
      <c r="H298" s="3"/>
      <c r="I298" s="22"/>
      <c r="J298" s="3"/>
      <c r="K298" s="3"/>
      <c r="L298" s="3"/>
      <c r="M298" s="3"/>
      <c r="N298" s="3"/>
      <c r="O298" s="3"/>
      <c r="P298" s="3"/>
      <c r="Q298" s="4"/>
      <c r="R298" s="4"/>
      <c r="S298" s="4"/>
      <c r="T298" s="4"/>
      <c r="U298" s="4"/>
      <c r="V298" s="4"/>
      <c r="W298" s="4"/>
      <c r="X298" s="4"/>
      <c r="Y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row>
    <row r="299" spans="1:58" x14ac:dyDescent="0.25">
      <c r="A299" s="21"/>
      <c r="B299" s="3"/>
      <c r="C299" s="3"/>
      <c r="D299" s="3"/>
      <c r="E299" s="3"/>
      <c r="F299" s="3"/>
      <c r="G299" s="3"/>
      <c r="H299" s="3"/>
      <c r="I299" s="22"/>
      <c r="J299" s="3"/>
      <c r="K299" s="3"/>
      <c r="L299" s="3"/>
      <c r="M299" s="3"/>
      <c r="N299" s="3"/>
      <c r="O299" s="3"/>
      <c r="P299" s="3"/>
      <c r="Q299" s="4"/>
      <c r="R299" s="4"/>
      <c r="S299" s="4"/>
      <c r="T299" s="4"/>
      <c r="U299" s="4"/>
      <c r="V299" s="4"/>
      <c r="W299" s="4"/>
      <c r="X299" s="4"/>
      <c r="Y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row>
    <row r="300" spans="1:58" ht="13.8" thickBot="1" x14ac:dyDescent="0.3">
      <c r="A300" s="21"/>
      <c r="B300" s="3"/>
      <c r="C300" s="3"/>
      <c r="D300" s="3"/>
      <c r="E300" s="3"/>
      <c r="F300" s="3"/>
      <c r="G300" s="3"/>
      <c r="H300" s="3"/>
      <c r="I300" s="22"/>
      <c r="J300" s="3"/>
      <c r="K300" s="3"/>
      <c r="L300" s="3"/>
      <c r="M300" s="3"/>
      <c r="N300" s="3"/>
      <c r="O300" s="3"/>
      <c r="P300" s="3"/>
      <c r="Q300" s="4"/>
      <c r="R300" s="4"/>
      <c r="S300" s="4"/>
      <c r="T300" s="4"/>
      <c r="U300" s="4"/>
      <c r="V300" s="4"/>
      <c r="W300" s="4"/>
      <c r="X300" s="4"/>
      <c r="Y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row>
    <row r="301" spans="1:58" ht="13.8" thickBot="1" x14ac:dyDescent="0.3">
      <c r="A301" s="21"/>
      <c r="B301" s="3"/>
      <c r="C301" s="3"/>
      <c r="D301" s="172"/>
      <c r="E301" s="156" t="s">
        <v>119</v>
      </c>
      <c r="F301" s="156" t="s">
        <v>174</v>
      </c>
      <c r="G301" s="156" t="s">
        <v>181</v>
      </c>
      <c r="H301" s="156" t="s">
        <v>182</v>
      </c>
      <c r="I301" s="22"/>
      <c r="J301" s="3"/>
      <c r="K301" s="3"/>
      <c r="L301" s="3"/>
      <c r="M301" s="3"/>
      <c r="N301" s="3"/>
      <c r="O301" s="3"/>
      <c r="P301" s="3"/>
      <c r="Q301" s="4"/>
      <c r="R301" s="4"/>
      <c r="S301" s="4"/>
      <c r="T301" s="4"/>
      <c r="U301" s="4"/>
      <c r="V301" s="4"/>
      <c r="W301" s="4"/>
      <c r="X301" s="4"/>
      <c r="Y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row>
    <row r="302" spans="1:58" x14ac:dyDescent="0.25">
      <c r="A302" s="21"/>
      <c r="B302" s="3"/>
      <c r="C302" s="3"/>
      <c r="D302" s="15">
        <v>1</v>
      </c>
      <c r="E302" s="158"/>
      <c r="F302" s="159"/>
      <c r="G302" s="159"/>
      <c r="H302" s="159"/>
      <c r="I302" s="22"/>
      <c r="J302" s="3"/>
      <c r="K302" s="3"/>
      <c r="L302" s="3"/>
      <c r="M302" s="3"/>
      <c r="N302" s="3"/>
      <c r="O302" s="3"/>
      <c r="P302" s="3"/>
      <c r="Q302" s="4"/>
      <c r="R302" s="4"/>
      <c r="S302" s="4"/>
      <c r="T302" s="4"/>
      <c r="U302" s="4"/>
      <c r="V302" s="4"/>
      <c r="W302" s="4"/>
      <c r="X302" s="4"/>
      <c r="Y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row>
    <row r="303" spans="1:58" x14ac:dyDescent="0.25">
      <c r="A303" s="21"/>
      <c r="B303" s="3"/>
      <c r="C303" s="3"/>
      <c r="D303" s="15">
        <v>2</v>
      </c>
      <c r="E303" s="160"/>
      <c r="F303" s="160"/>
      <c r="G303" s="160"/>
      <c r="H303" s="160"/>
      <c r="I303" s="22"/>
      <c r="J303" s="3"/>
      <c r="K303" s="3"/>
      <c r="L303" s="3"/>
      <c r="M303" s="3"/>
      <c r="N303" s="3"/>
      <c r="O303" s="3"/>
      <c r="P303" s="3"/>
      <c r="Q303" s="4"/>
      <c r="R303" s="4"/>
      <c r="S303" s="4"/>
      <c r="T303" s="4"/>
      <c r="U303" s="4"/>
      <c r="V303" s="4"/>
      <c r="W303" s="4"/>
      <c r="X303" s="4"/>
      <c r="Y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row>
    <row r="304" spans="1:58" x14ac:dyDescent="0.25">
      <c r="A304" s="21"/>
      <c r="B304" s="3"/>
      <c r="C304" s="3"/>
      <c r="D304" s="15">
        <v>3</v>
      </c>
      <c r="E304" s="160"/>
      <c r="F304" s="160"/>
      <c r="G304" s="160"/>
      <c r="H304" s="160"/>
      <c r="I304" s="22"/>
      <c r="J304" s="3"/>
      <c r="K304" s="3"/>
      <c r="L304" s="3"/>
      <c r="M304" s="3"/>
      <c r="N304" s="3"/>
      <c r="O304" s="3"/>
      <c r="P304" s="3"/>
      <c r="Q304" s="4"/>
      <c r="R304" s="4"/>
      <c r="S304" s="4"/>
      <c r="T304" s="4"/>
      <c r="U304" s="4"/>
      <c r="V304" s="4"/>
      <c r="W304" s="4"/>
      <c r="X304" s="4"/>
      <c r="Y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row>
    <row r="305" spans="1:58" x14ac:dyDescent="0.25">
      <c r="A305" s="21"/>
      <c r="B305" s="3"/>
      <c r="C305" s="3"/>
      <c r="D305" s="15">
        <v>4</v>
      </c>
      <c r="E305" s="160"/>
      <c r="F305" s="160"/>
      <c r="G305" s="160"/>
      <c r="H305" s="160"/>
      <c r="I305" s="22"/>
      <c r="J305" s="3"/>
      <c r="K305" s="3"/>
      <c r="L305" s="3"/>
      <c r="M305" s="3"/>
      <c r="N305" s="3"/>
      <c r="O305" s="3"/>
      <c r="P305" s="3"/>
      <c r="Q305" s="4"/>
      <c r="R305" s="4"/>
      <c r="S305" s="4"/>
      <c r="T305" s="4"/>
      <c r="U305" s="4"/>
      <c r="V305" s="4"/>
      <c r="W305" s="4"/>
      <c r="X305" s="4"/>
      <c r="Y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row>
    <row r="306" spans="1:58" x14ac:dyDescent="0.25">
      <c r="A306" s="21"/>
      <c r="B306" s="3"/>
      <c r="C306" s="3"/>
      <c r="D306" s="15">
        <v>5</v>
      </c>
      <c r="E306" s="160"/>
      <c r="F306" s="160"/>
      <c r="G306" s="160"/>
      <c r="H306" s="160"/>
      <c r="I306" s="22"/>
      <c r="J306" s="3"/>
      <c r="K306" s="3"/>
      <c r="L306" s="3"/>
      <c r="M306" s="3"/>
      <c r="N306" s="3"/>
      <c r="O306" s="3"/>
      <c r="P306" s="3"/>
      <c r="Q306" s="4"/>
      <c r="R306" s="4"/>
      <c r="S306" s="4"/>
      <c r="T306" s="4"/>
      <c r="U306" s="4"/>
      <c r="V306" s="4"/>
      <c r="W306" s="4"/>
      <c r="X306" s="4"/>
      <c r="Y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row>
    <row r="307" spans="1:58" x14ac:dyDescent="0.25">
      <c r="A307" s="21"/>
      <c r="B307" s="3"/>
      <c r="C307" s="3"/>
      <c r="D307" s="15">
        <v>6</v>
      </c>
      <c r="E307" s="160"/>
      <c r="F307" s="160"/>
      <c r="G307" s="160"/>
      <c r="H307" s="160"/>
      <c r="I307" s="22"/>
      <c r="J307" s="3"/>
      <c r="K307" s="3"/>
      <c r="L307" s="3"/>
      <c r="M307" s="3"/>
      <c r="N307" s="3"/>
      <c r="O307" s="3"/>
      <c r="P307" s="3"/>
      <c r="Q307" s="4"/>
      <c r="R307" s="4"/>
      <c r="S307" s="4"/>
      <c r="T307" s="4"/>
      <c r="U307" s="4"/>
      <c r="V307" s="4"/>
      <c r="W307" s="4"/>
      <c r="X307" s="4"/>
      <c r="Y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row>
    <row r="308" spans="1:58" x14ac:dyDescent="0.25">
      <c r="A308" s="21"/>
      <c r="B308" s="3"/>
      <c r="C308" s="3"/>
      <c r="D308" s="15">
        <v>7</v>
      </c>
      <c r="E308" s="160"/>
      <c r="F308" s="160"/>
      <c r="G308" s="160"/>
      <c r="H308" s="160"/>
      <c r="I308" s="22"/>
      <c r="J308" s="3"/>
      <c r="K308" s="3"/>
      <c r="L308" s="3"/>
      <c r="M308" s="3"/>
      <c r="N308" s="3"/>
      <c r="O308" s="3"/>
      <c r="P308" s="3"/>
      <c r="Q308" s="4"/>
      <c r="R308" s="4"/>
      <c r="S308" s="4"/>
      <c r="T308" s="4"/>
      <c r="U308" s="4"/>
      <c r="V308" s="4"/>
      <c r="W308" s="4"/>
      <c r="X308" s="4"/>
      <c r="Y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row>
    <row r="309" spans="1:58" x14ac:dyDescent="0.25">
      <c r="A309" s="21"/>
      <c r="B309" s="3"/>
      <c r="C309" s="3"/>
      <c r="D309" s="3"/>
      <c r="E309" s="3"/>
      <c r="F309" s="3"/>
      <c r="G309" s="3"/>
      <c r="H309" s="3"/>
      <c r="I309" s="22"/>
      <c r="J309" s="3"/>
      <c r="K309" s="3"/>
      <c r="L309" s="3"/>
      <c r="M309" s="3"/>
      <c r="N309" s="3"/>
      <c r="O309" s="3"/>
      <c r="P309" s="3"/>
      <c r="Q309" s="4"/>
      <c r="R309" s="4"/>
      <c r="S309" s="4"/>
      <c r="T309" s="4"/>
      <c r="U309" s="4"/>
      <c r="V309" s="4"/>
      <c r="W309" s="4"/>
      <c r="X309" s="4"/>
      <c r="Y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row>
    <row r="310" spans="1:58" x14ac:dyDescent="0.25">
      <c r="A310" s="21"/>
      <c r="B310" s="3"/>
      <c r="C310" s="3"/>
      <c r="D310" s="3"/>
      <c r="E310" s="3"/>
      <c r="F310" s="3"/>
      <c r="G310" s="3"/>
      <c r="H310" s="3"/>
      <c r="I310" s="22"/>
      <c r="J310" s="3"/>
      <c r="K310" s="3"/>
      <c r="L310" s="3"/>
      <c r="M310" s="3"/>
      <c r="N310" s="3"/>
      <c r="O310" s="3"/>
      <c r="P310" s="3"/>
      <c r="Q310" s="4"/>
      <c r="R310" s="4"/>
      <c r="S310" s="4"/>
      <c r="T310" s="4"/>
      <c r="U310" s="4"/>
      <c r="V310" s="4"/>
      <c r="W310" s="4"/>
      <c r="X310" s="4"/>
      <c r="Y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row>
    <row r="311" spans="1:58" x14ac:dyDescent="0.25">
      <c r="A311" s="21"/>
      <c r="B311" s="3"/>
      <c r="C311" s="3"/>
      <c r="D311" s="3"/>
      <c r="E311" s="3"/>
      <c r="F311" s="3"/>
      <c r="G311" s="3"/>
      <c r="H311" s="3"/>
      <c r="I311" s="22"/>
      <c r="J311" s="3"/>
      <c r="K311" s="3"/>
      <c r="L311" s="3"/>
      <c r="M311" s="3"/>
      <c r="N311" s="3"/>
      <c r="O311" s="3"/>
      <c r="P311" s="3"/>
      <c r="Q311" s="4"/>
      <c r="R311" s="4"/>
      <c r="S311" s="4"/>
      <c r="T311" s="4"/>
      <c r="U311" s="4"/>
      <c r="V311" s="4"/>
      <c r="W311" s="4"/>
      <c r="X311" s="4"/>
      <c r="Y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row>
    <row r="312" spans="1:58" x14ac:dyDescent="0.25">
      <c r="A312" s="21"/>
      <c r="B312" s="3"/>
      <c r="C312" s="3"/>
      <c r="D312" s="3"/>
      <c r="E312" s="3"/>
      <c r="F312" s="3"/>
      <c r="G312" s="3"/>
      <c r="H312" s="3"/>
      <c r="I312" s="22"/>
      <c r="J312" s="3"/>
      <c r="K312" s="3"/>
      <c r="L312" s="3"/>
      <c r="M312" s="3"/>
      <c r="N312" s="3"/>
      <c r="O312" s="3"/>
      <c r="P312" s="3"/>
      <c r="Q312" s="4"/>
      <c r="R312" s="4"/>
      <c r="S312" s="4"/>
      <c r="T312" s="4"/>
      <c r="U312" s="4"/>
      <c r="V312" s="4"/>
      <c r="W312" s="4"/>
      <c r="X312" s="4"/>
      <c r="Y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row>
    <row r="313" spans="1:58" x14ac:dyDescent="0.25">
      <c r="A313" s="21"/>
      <c r="B313" s="3"/>
      <c r="C313" s="3"/>
      <c r="D313" s="3"/>
      <c r="E313" s="3"/>
      <c r="F313" s="3"/>
      <c r="G313" s="3"/>
      <c r="H313" s="3"/>
      <c r="I313" s="22"/>
      <c r="J313" s="3"/>
      <c r="K313" s="3"/>
      <c r="L313" s="3"/>
      <c r="M313" s="3"/>
      <c r="N313" s="3"/>
      <c r="O313" s="3"/>
      <c r="P313" s="3"/>
      <c r="Q313" s="4"/>
      <c r="R313" s="4"/>
      <c r="S313" s="4"/>
      <c r="T313" s="4"/>
      <c r="U313" s="4"/>
      <c r="V313" s="4"/>
      <c r="W313" s="4"/>
      <c r="X313" s="4"/>
      <c r="Y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row>
    <row r="314" spans="1:58" x14ac:dyDescent="0.25">
      <c r="A314" s="21"/>
      <c r="B314" s="3"/>
      <c r="C314" s="3"/>
      <c r="D314" s="3"/>
      <c r="E314" s="3"/>
      <c r="F314" s="3"/>
      <c r="G314" s="3"/>
      <c r="H314" s="3"/>
      <c r="I314" s="22"/>
      <c r="J314" s="3"/>
      <c r="K314" s="3"/>
      <c r="L314" s="3"/>
      <c r="M314" s="3"/>
      <c r="N314" s="3"/>
      <c r="O314" s="3"/>
      <c r="P314" s="3"/>
      <c r="Q314" s="4"/>
      <c r="R314" s="4"/>
      <c r="S314" s="4"/>
      <c r="T314" s="4"/>
      <c r="U314" s="4"/>
      <c r="V314" s="4"/>
      <c r="W314" s="4"/>
      <c r="X314" s="4"/>
      <c r="Y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row>
    <row r="315" spans="1:58" x14ac:dyDescent="0.25">
      <c r="A315" s="21"/>
      <c r="B315" s="3"/>
      <c r="C315" s="3"/>
      <c r="D315" s="3"/>
      <c r="E315" s="3"/>
      <c r="F315" s="56"/>
      <c r="G315" s="3"/>
      <c r="H315" s="3"/>
      <c r="I315" s="22"/>
      <c r="J315" s="3"/>
      <c r="K315" s="3"/>
      <c r="L315" s="3"/>
      <c r="M315" s="3"/>
      <c r="N315" s="3"/>
      <c r="O315" s="3"/>
      <c r="P315" s="3"/>
      <c r="Q315" s="4"/>
      <c r="R315" s="4"/>
      <c r="S315" s="4"/>
      <c r="T315" s="4"/>
      <c r="U315" s="4"/>
      <c r="V315" s="4"/>
      <c r="W315" s="4"/>
      <c r="X315" s="4"/>
      <c r="Y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row>
    <row r="316" spans="1:58" ht="13.8" thickBot="1" x14ac:dyDescent="0.3">
      <c r="A316" s="38"/>
      <c r="B316" s="39"/>
      <c r="C316" s="39"/>
      <c r="D316" s="39"/>
      <c r="E316" s="39"/>
      <c r="F316" s="39"/>
      <c r="G316" s="39"/>
      <c r="H316" s="39"/>
      <c r="I316" s="40"/>
      <c r="J316" s="3"/>
      <c r="K316" s="3"/>
      <c r="L316" s="3"/>
      <c r="M316" s="3"/>
      <c r="N316" s="3"/>
      <c r="O316" s="3"/>
      <c r="P316" s="3"/>
      <c r="Q316" s="4"/>
      <c r="R316" s="4"/>
      <c r="S316" s="4"/>
      <c r="T316" s="4"/>
      <c r="U316" s="4"/>
      <c r="V316" s="4"/>
      <c r="W316" s="4"/>
      <c r="X316" s="4"/>
      <c r="Y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row>
    <row r="317" spans="1:58" x14ac:dyDescent="0.25">
      <c r="B317" s="4"/>
      <c r="C317" s="4"/>
      <c r="D317" s="4"/>
      <c r="E317" s="4"/>
      <c r="F317" s="4"/>
      <c r="G317" s="4"/>
      <c r="H317" s="4"/>
      <c r="I317" s="4"/>
      <c r="J317" s="4"/>
      <c r="K317" s="4"/>
      <c r="L317" s="4"/>
      <c r="M317" s="4"/>
      <c r="N317" s="4"/>
      <c r="O317" s="4"/>
      <c r="P317" s="4"/>
      <c r="Q317" s="4"/>
      <c r="R317" s="4"/>
      <c r="S317" s="4"/>
      <c r="T317" s="4"/>
      <c r="U317" s="4"/>
      <c r="V317" s="4"/>
      <c r="W317" s="4"/>
      <c r="X317" s="4"/>
      <c r="Y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row>
    <row r="318" spans="1:58" x14ac:dyDescent="0.25">
      <c r="B318" s="4"/>
      <c r="C318" s="4"/>
      <c r="D318" s="4"/>
      <c r="E318" s="4"/>
      <c r="F318" s="4"/>
      <c r="G318" s="4"/>
      <c r="H318" s="4"/>
      <c r="I318" s="4"/>
      <c r="J318" s="4"/>
      <c r="K318" s="4"/>
      <c r="L318" s="4"/>
      <c r="M318" s="4"/>
      <c r="N318" s="4"/>
      <c r="O318" s="4"/>
      <c r="P318" s="4"/>
      <c r="Q318" s="4"/>
      <c r="R318" s="4"/>
      <c r="S318" s="4"/>
      <c r="T318" s="4"/>
      <c r="U318" s="4"/>
      <c r="V318" s="4"/>
      <c r="W318" s="4"/>
      <c r="X318" s="4"/>
      <c r="Y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row>
    <row r="319" spans="1:58" x14ac:dyDescent="0.25">
      <c r="B319" s="4"/>
      <c r="C319" s="4"/>
      <c r="D319" s="4"/>
      <c r="E319" s="4"/>
      <c r="F319" s="4"/>
      <c r="G319" s="4"/>
      <c r="H319" s="4"/>
      <c r="I319" s="4"/>
      <c r="J319" s="4"/>
      <c r="K319" s="4"/>
      <c r="L319" s="4"/>
      <c r="M319" s="4"/>
      <c r="N319" s="4"/>
      <c r="O319" s="4"/>
      <c r="P319" s="4"/>
      <c r="Q319" s="4"/>
      <c r="R319" s="4"/>
      <c r="S319" s="4"/>
      <c r="T319" s="4"/>
      <c r="U319" s="4"/>
      <c r="V319" s="4"/>
      <c r="W319" s="4"/>
      <c r="X319" s="4"/>
      <c r="Y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row>
    <row r="320" spans="1:58" x14ac:dyDescent="0.25">
      <c r="B320" s="4"/>
      <c r="C320" s="4"/>
      <c r="D320" s="4"/>
      <c r="E320" s="4"/>
      <c r="F320" s="4"/>
      <c r="G320" s="4"/>
      <c r="H320" s="4"/>
      <c r="I320" s="4"/>
      <c r="J320" s="4"/>
      <c r="K320" s="4"/>
      <c r="L320" s="4"/>
      <c r="M320" s="4"/>
      <c r="N320" s="4"/>
      <c r="O320" s="4"/>
      <c r="P320" s="4"/>
      <c r="Q320" s="4"/>
      <c r="R320" s="4"/>
      <c r="S320" s="4"/>
      <c r="T320" s="4"/>
      <c r="U320" s="4"/>
      <c r="V320" s="4"/>
      <c r="W320" s="4"/>
      <c r="X320" s="4"/>
      <c r="Y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row>
    <row r="321" spans="2:58" x14ac:dyDescent="0.25">
      <c r="B321" s="4"/>
      <c r="C321" s="4"/>
      <c r="D321" s="4"/>
      <c r="E321" s="4"/>
      <c r="F321" s="4"/>
      <c r="G321" s="4"/>
      <c r="H321" s="4"/>
      <c r="I321" s="4"/>
      <c r="J321" s="4"/>
      <c r="K321" s="4"/>
      <c r="L321" s="4"/>
      <c r="M321" s="4"/>
      <c r="N321" s="4"/>
      <c r="O321" s="4"/>
      <c r="P321" s="4"/>
      <c r="Q321" s="4"/>
      <c r="R321" s="4"/>
      <c r="S321" s="4"/>
      <c r="T321" s="4"/>
      <c r="U321" s="4"/>
      <c r="V321" s="4"/>
      <c r="W321" s="4"/>
      <c r="X321" s="4"/>
      <c r="Y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row>
    <row r="322" spans="2:58" x14ac:dyDescent="0.25">
      <c r="B322" s="4"/>
      <c r="C322" s="4"/>
      <c r="D322" s="4"/>
      <c r="E322" s="4"/>
      <c r="F322" s="4"/>
      <c r="G322" s="4"/>
      <c r="H322" s="4"/>
      <c r="I322" s="4"/>
      <c r="J322" s="4"/>
      <c r="K322" s="4"/>
      <c r="L322" s="4"/>
      <c r="M322" s="4"/>
      <c r="N322" s="4"/>
      <c r="O322" s="4"/>
      <c r="P322" s="4"/>
      <c r="Q322" s="4"/>
      <c r="R322" s="4"/>
      <c r="S322" s="4"/>
      <c r="T322" s="4"/>
      <c r="U322" s="4"/>
      <c r="V322" s="4"/>
      <c r="W322" s="4"/>
      <c r="X322" s="4"/>
      <c r="Y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row>
    <row r="323" spans="2:58" x14ac:dyDescent="0.25">
      <c r="B323" s="4"/>
      <c r="C323" s="4"/>
      <c r="D323" s="4"/>
      <c r="E323" s="4"/>
      <c r="F323" s="4"/>
      <c r="G323" s="4"/>
      <c r="H323" s="4"/>
      <c r="I323" s="4"/>
      <c r="J323" s="4"/>
      <c r="K323" s="4"/>
      <c r="L323" s="4"/>
      <c r="M323" s="4"/>
      <c r="N323" s="4"/>
      <c r="O323" s="4"/>
      <c r="P323" s="4"/>
      <c r="Q323" s="4"/>
      <c r="R323" s="4"/>
      <c r="S323" s="4"/>
      <c r="T323" s="4"/>
      <c r="U323" s="4"/>
      <c r="V323" s="4"/>
      <c r="W323" s="4"/>
      <c r="X323" s="4"/>
      <c r="Y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row>
    <row r="324" spans="2:58" x14ac:dyDescent="0.25">
      <c r="B324" s="4"/>
      <c r="C324" s="4"/>
      <c r="D324" s="4"/>
      <c r="E324" s="4"/>
      <c r="F324" s="4"/>
      <c r="G324" s="4"/>
      <c r="H324" s="4"/>
      <c r="I324" s="4"/>
      <c r="J324" s="4"/>
      <c r="K324" s="4"/>
      <c r="L324" s="4"/>
      <c r="M324" s="4"/>
      <c r="N324" s="4"/>
      <c r="O324" s="4"/>
      <c r="P324" s="4"/>
      <c r="Q324" s="4"/>
      <c r="R324" s="4"/>
      <c r="S324" s="4"/>
      <c r="T324" s="4"/>
      <c r="U324" s="4"/>
      <c r="V324" s="4"/>
      <c r="W324" s="4"/>
      <c r="X324" s="4"/>
      <c r="Y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row>
    <row r="325" spans="2:58" x14ac:dyDescent="0.25">
      <c r="B325" s="4"/>
      <c r="C325" s="4"/>
      <c r="D325" s="4"/>
      <c r="E325" s="4"/>
      <c r="F325" s="4"/>
      <c r="G325" s="4"/>
      <c r="H325" s="4"/>
      <c r="I325" s="4"/>
      <c r="J325" s="4"/>
      <c r="K325" s="4"/>
      <c r="L325" s="4"/>
      <c r="M325" s="4"/>
      <c r="N325" s="4"/>
      <c r="O325" s="4"/>
      <c r="P325" s="4"/>
      <c r="Q325" s="4"/>
      <c r="R325" s="4"/>
      <c r="S325" s="4"/>
      <c r="T325" s="4"/>
      <c r="U325" s="4"/>
      <c r="V325" s="4"/>
      <c r="W325" s="4"/>
      <c r="X325" s="4"/>
      <c r="Y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row>
    <row r="326" spans="2:58" x14ac:dyDescent="0.25">
      <c r="B326" s="4"/>
      <c r="C326" s="4"/>
      <c r="D326" s="4"/>
      <c r="E326" s="4"/>
      <c r="F326" s="4"/>
      <c r="G326" s="4"/>
      <c r="H326" s="4"/>
      <c r="I326" s="4"/>
      <c r="J326" s="4"/>
      <c r="K326" s="4"/>
      <c r="L326" s="4"/>
      <c r="M326" s="4"/>
      <c r="N326" s="4"/>
      <c r="O326" s="4"/>
      <c r="P326" s="4"/>
      <c r="Q326" s="4"/>
      <c r="R326" s="4"/>
      <c r="S326" s="4"/>
      <c r="T326" s="4"/>
      <c r="U326" s="4"/>
      <c r="V326" s="4"/>
      <c r="W326" s="4"/>
      <c r="X326" s="4"/>
      <c r="Y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row>
    <row r="327" spans="2:58" x14ac:dyDescent="0.25">
      <c r="B327" s="4"/>
      <c r="C327" s="4"/>
      <c r="D327" s="4"/>
      <c r="E327" s="4"/>
      <c r="F327" s="4"/>
      <c r="G327" s="4"/>
      <c r="H327" s="4"/>
      <c r="I327" s="4"/>
      <c r="J327" s="4"/>
      <c r="K327" s="4"/>
      <c r="L327" s="4"/>
      <c r="M327" s="4"/>
      <c r="N327" s="4"/>
      <c r="O327" s="4"/>
      <c r="P327" s="4"/>
      <c r="Q327" s="4"/>
      <c r="R327" s="4"/>
      <c r="S327" s="4"/>
      <c r="T327" s="4"/>
      <c r="U327" s="4"/>
      <c r="V327" s="4"/>
      <c r="W327" s="4"/>
      <c r="X327" s="4"/>
      <c r="Y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row>
    <row r="328" spans="2:58" x14ac:dyDescent="0.25">
      <c r="B328" s="4"/>
      <c r="C328" s="4"/>
      <c r="D328" s="4"/>
      <c r="E328" s="4"/>
      <c r="F328" s="4"/>
      <c r="G328" s="4"/>
      <c r="H328" s="4"/>
      <c r="I328" s="4"/>
      <c r="J328" s="4"/>
      <c r="K328" s="4"/>
      <c r="L328" s="4"/>
      <c r="M328" s="4"/>
      <c r="N328" s="4"/>
      <c r="O328" s="4"/>
      <c r="P328" s="4"/>
      <c r="Q328" s="4"/>
      <c r="R328" s="4"/>
      <c r="S328" s="4"/>
      <c r="T328" s="4"/>
      <c r="U328" s="4"/>
      <c r="V328" s="4"/>
      <c r="W328" s="4"/>
      <c r="X328" s="4"/>
      <c r="Y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row>
    <row r="329" spans="2:58" x14ac:dyDescent="0.25">
      <c r="B329" s="4"/>
      <c r="C329" s="4"/>
      <c r="D329" s="4"/>
      <c r="E329" s="4"/>
      <c r="F329" s="4"/>
      <c r="G329" s="4"/>
      <c r="H329" s="4"/>
      <c r="I329" s="4"/>
      <c r="J329" s="4"/>
      <c r="K329" s="4"/>
      <c r="L329" s="4"/>
      <c r="M329" s="4"/>
      <c r="N329" s="4"/>
      <c r="O329" s="4"/>
      <c r="P329" s="4"/>
      <c r="Q329" s="4"/>
      <c r="R329" s="4"/>
      <c r="S329" s="4"/>
      <c r="T329" s="4"/>
      <c r="U329" s="4"/>
      <c r="V329" s="4"/>
      <c r="W329" s="4"/>
      <c r="X329" s="4"/>
      <c r="Y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row>
    <row r="330" spans="2:58" x14ac:dyDescent="0.25">
      <c r="B330" s="4"/>
      <c r="C330" s="4"/>
      <c r="D330" s="4"/>
      <c r="E330" s="4"/>
      <c r="F330" s="4"/>
      <c r="G330" s="4"/>
      <c r="H330" s="4"/>
      <c r="I330" s="4"/>
      <c r="J330" s="4"/>
      <c r="K330" s="4"/>
      <c r="L330" s="4"/>
      <c r="M330" s="4"/>
      <c r="N330" s="4"/>
      <c r="O330" s="4"/>
      <c r="P330" s="4"/>
      <c r="Q330" s="4"/>
      <c r="R330" s="4"/>
      <c r="S330" s="4"/>
      <c r="T330" s="4"/>
      <c r="U330" s="4"/>
      <c r="V330" s="4"/>
      <c r="W330" s="4"/>
      <c r="X330" s="4"/>
      <c r="Y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row>
    <row r="331" spans="2:58" x14ac:dyDescent="0.25">
      <c r="B331" s="4"/>
      <c r="C331" s="4"/>
      <c r="D331" s="4"/>
      <c r="E331" s="4"/>
      <c r="F331" s="4"/>
      <c r="G331" s="4"/>
      <c r="H331" s="4"/>
      <c r="I331" s="4"/>
      <c r="J331" s="4"/>
      <c r="K331" s="4"/>
      <c r="L331" s="4"/>
      <c r="M331" s="4"/>
      <c r="N331" s="4"/>
      <c r="O331" s="4"/>
      <c r="P331" s="4"/>
      <c r="Q331" s="4"/>
      <c r="R331" s="4"/>
      <c r="S331" s="4"/>
      <c r="T331" s="4"/>
      <c r="U331" s="4"/>
      <c r="V331" s="4"/>
      <c r="W331" s="4"/>
      <c r="X331" s="4"/>
      <c r="Y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row>
    <row r="332" spans="2:58" x14ac:dyDescent="0.25">
      <c r="B332" s="4"/>
      <c r="C332" s="4"/>
      <c r="D332" s="4"/>
      <c r="E332" s="4"/>
      <c r="F332" s="4"/>
      <c r="G332" s="4"/>
      <c r="H332" s="4"/>
      <c r="I332" s="4"/>
      <c r="J332" s="4"/>
      <c r="K332" s="4"/>
      <c r="L332" s="4"/>
      <c r="M332" s="4"/>
      <c r="N332" s="4"/>
      <c r="O332" s="4"/>
      <c r="P332" s="4"/>
      <c r="Q332" s="4"/>
      <c r="R332" s="4"/>
      <c r="S332" s="4"/>
      <c r="T332" s="4"/>
      <c r="U332" s="4"/>
      <c r="V332" s="4"/>
      <c r="W332" s="4"/>
      <c r="X332" s="4"/>
      <c r="Y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row>
    <row r="333" spans="2:58" x14ac:dyDescent="0.25">
      <c r="B333" s="4"/>
      <c r="C333" s="4"/>
      <c r="D333" s="4"/>
      <c r="E333" s="4"/>
      <c r="F333" s="4"/>
      <c r="G333" s="4"/>
      <c r="H333" s="4"/>
      <c r="I333" s="4"/>
      <c r="J333" s="4"/>
      <c r="K333" s="4"/>
      <c r="L333" s="4"/>
      <c r="M333" s="4"/>
      <c r="N333" s="4"/>
      <c r="O333" s="4"/>
      <c r="P333" s="4"/>
      <c r="Q333" s="4"/>
      <c r="R333" s="4"/>
      <c r="S333" s="4"/>
      <c r="T333" s="4"/>
      <c r="U333" s="4"/>
      <c r="V333" s="4"/>
      <c r="W333" s="4"/>
      <c r="X333" s="4"/>
      <c r="Y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row>
    <row r="334" spans="2:58" x14ac:dyDescent="0.25">
      <c r="B334" s="4"/>
      <c r="C334" s="4"/>
      <c r="D334" s="4"/>
      <c r="E334" s="4"/>
      <c r="F334" s="4"/>
      <c r="G334" s="4"/>
      <c r="H334" s="4"/>
      <c r="I334" s="4"/>
      <c r="J334" s="4"/>
      <c r="K334" s="4"/>
      <c r="L334" s="4"/>
      <c r="M334" s="4"/>
      <c r="N334" s="4"/>
      <c r="O334" s="4"/>
      <c r="P334" s="4"/>
      <c r="Q334" s="4"/>
      <c r="R334" s="4"/>
      <c r="S334" s="4"/>
      <c r="T334" s="4"/>
      <c r="U334" s="4"/>
      <c r="V334" s="4"/>
      <c r="W334" s="4"/>
      <c r="X334" s="4"/>
      <c r="Y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row>
    <row r="335" spans="2:58" x14ac:dyDescent="0.25">
      <c r="B335" s="4"/>
      <c r="C335" s="4"/>
      <c r="D335" s="4"/>
      <c r="E335" s="4"/>
      <c r="F335" s="4"/>
      <c r="G335" s="4"/>
      <c r="H335" s="4"/>
      <c r="I335" s="4"/>
      <c r="J335" s="4"/>
      <c r="K335" s="4"/>
      <c r="L335" s="4"/>
      <c r="M335" s="4"/>
      <c r="N335" s="4"/>
      <c r="O335" s="4"/>
      <c r="P335" s="4"/>
      <c r="Q335" s="4"/>
      <c r="R335" s="4"/>
      <c r="S335" s="4"/>
      <c r="T335" s="4"/>
      <c r="U335" s="4"/>
      <c r="V335" s="4"/>
      <c r="W335" s="4"/>
      <c r="X335" s="4"/>
      <c r="Y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row>
    <row r="336" spans="2:58" x14ac:dyDescent="0.25">
      <c r="B336" s="4"/>
      <c r="C336" s="4"/>
      <c r="D336" s="4"/>
      <c r="E336" s="4"/>
      <c r="F336" s="4"/>
      <c r="G336" s="4"/>
      <c r="H336" s="4"/>
      <c r="I336" s="4"/>
      <c r="J336" s="4"/>
      <c r="K336" s="4"/>
      <c r="L336" s="4"/>
      <c r="M336" s="4"/>
      <c r="N336" s="4"/>
      <c r="O336" s="4"/>
      <c r="P336" s="4"/>
      <c r="Q336" s="4"/>
      <c r="R336" s="4"/>
      <c r="S336" s="4"/>
      <c r="T336" s="4"/>
      <c r="U336" s="4"/>
      <c r="V336" s="4"/>
      <c r="W336" s="4"/>
      <c r="X336" s="4"/>
      <c r="Y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row>
    <row r="337" spans="1:58" x14ac:dyDescent="0.25">
      <c r="B337" s="4"/>
      <c r="C337" s="4"/>
      <c r="D337" s="4"/>
      <c r="E337" s="4"/>
      <c r="F337" s="4"/>
      <c r="G337" s="4"/>
      <c r="H337" s="4"/>
      <c r="I337" s="4"/>
      <c r="J337" s="4"/>
      <c r="K337" s="4"/>
      <c r="L337" s="4"/>
      <c r="M337" s="4"/>
      <c r="N337" s="4"/>
      <c r="O337" s="4"/>
      <c r="P337" s="4"/>
      <c r="Q337" s="4"/>
      <c r="R337" s="4"/>
      <c r="S337" s="4"/>
      <c r="T337" s="4"/>
      <c r="U337" s="4"/>
      <c r="V337" s="4"/>
      <c r="W337" s="4"/>
      <c r="X337" s="4"/>
      <c r="Y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row>
    <row r="338" spans="1:58" x14ac:dyDescent="0.25">
      <c r="B338" s="4"/>
      <c r="C338" s="4"/>
      <c r="D338" s="4"/>
      <c r="E338" s="4"/>
      <c r="F338" s="4"/>
      <c r="G338" s="4"/>
      <c r="H338" s="4"/>
      <c r="I338" s="4"/>
      <c r="J338" s="4"/>
      <c r="K338" s="4"/>
      <c r="L338" s="4"/>
      <c r="M338" s="4"/>
      <c r="N338" s="4"/>
      <c r="O338" s="4"/>
      <c r="P338" s="4"/>
      <c r="Q338" s="4"/>
      <c r="R338" s="4"/>
      <c r="S338" s="4"/>
      <c r="T338" s="4"/>
      <c r="U338" s="4"/>
      <c r="V338" s="4"/>
      <c r="W338" s="4"/>
      <c r="X338" s="4"/>
      <c r="Y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row>
    <row r="339" spans="1:58" x14ac:dyDescent="0.25">
      <c r="B339" s="4"/>
      <c r="C339" s="4"/>
      <c r="D339" s="4"/>
      <c r="E339" s="4"/>
      <c r="F339" s="4"/>
      <c r="G339" s="4"/>
      <c r="H339" s="4"/>
      <c r="I339" s="4"/>
      <c r="J339" s="4"/>
      <c r="K339" s="4"/>
      <c r="L339" s="4"/>
      <c r="M339" s="4"/>
      <c r="N339" s="4"/>
      <c r="O339" s="4"/>
      <c r="P339" s="4"/>
      <c r="Q339" s="4"/>
      <c r="R339" s="4"/>
      <c r="S339" s="4"/>
      <c r="T339" s="4"/>
      <c r="U339" s="4"/>
      <c r="V339" s="4"/>
      <c r="W339" s="4"/>
      <c r="X339" s="4"/>
      <c r="Y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row>
    <row r="340" spans="1:58" x14ac:dyDescent="0.25">
      <c r="B340" s="4"/>
      <c r="C340" s="4"/>
      <c r="D340" s="4"/>
      <c r="E340" s="4"/>
      <c r="F340" s="4"/>
      <c r="G340" s="4"/>
      <c r="H340" s="4"/>
      <c r="I340" s="4"/>
      <c r="J340" s="4"/>
      <c r="K340" s="4"/>
      <c r="L340" s="4"/>
      <c r="M340" s="4"/>
      <c r="N340" s="4"/>
      <c r="O340" s="4"/>
      <c r="P340" s="4"/>
      <c r="Q340" s="4"/>
      <c r="R340" s="4"/>
      <c r="S340" s="4"/>
      <c r="T340" s="4"/>
      <c r="U340" s="4"/>
      <c r="V340" s="4"/>
      <c r="W340" s="4"/>
      <c r="X340" s="4"/>
      <c r="Y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row>
    <row r="341" spans="1:58" x14ac:dyDescent="0.25">
      <c r="B341" s="4"/>
      <c r="C341" s="4"/>
      <c r="D341" s="4"/>
      <c r="E341" s="4"/>
      <c r="F341" s="4"/>
      <c r="G341" s="4"/>
      <c r="H341" s="4"/>
      <c r="I341" s="4"/>
      <c r="J341" s="4"/>
      <c r="K341" s="4"/>
      <c r="L341" s="4"/>
      <c r="M341" s="4"/>
      <c r="N341" s="4"/>
      <c r="O341" s="4"/>
      <c r="P341" s="4"/>
      <c r="Q341" s="4"/>
      <c r="R341" s="4"/>
      <c r="S341" s="4"/>
      <c r="T341" s="4"/>
      <c r="U341" s="4"/>
      <c r="V341" s="4"/>
      <c r="W341" s="4"/>
      <c r="X341" s="4"/>
      <c r="Y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row>
    <row r="342" spans="1:58" x14ac:dyDescent="0.25">
      <c r="B342" s="4"/>
      <c r="C342" s="4"/>
      <c r="D342" s="4"/>
      <c r="E342" s="4"/>
      <c r="F342" s="4"/>
      <c r="G342" s="4"/>
      <c r="H342" s="4"/>
      <c r="I342" s="4"/>
      <c r="J342" s="4"/>
      <c r="K342" s="4"/>
      <c r="L342" s="4"/>
      <c r="M342" s="4"/>
      <c r="N342" s="4"/>
      <c r="O342" s="4"/>
      <c r="P342" s="4"/>
      <c r="Q342" s="4"/>
      <c r="R342" s="4"/>
      <c r="S342" s="4"/>
      <c r="T342" s="4"/>
      <c r="U342" s="4"/>
      <c r="V342" s="4"/>
      <c r="W342" s="4"/>
      <c r="X342" s="4"/>
      <c r="Y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row>
    <row r="343" spans="1:58" x14ac:dyDescent="0.25">
      <c r="B343" s="4"/>
      <c r="C343" s="4"/>
      <c r="D343" s="4"/>
      <c r="E343" s="4"/>
      <c r="F343" s="4"/>
      <c r="G343" s="4"/>
      <c r="H343" s="4"/>
      <c r="I343" s="4"/>
      <c r="J343" s="4"/>
      <c r="K343" s="4"/>
      <c r="L343" s="4"/>
      <c r="M343" s="4"/>
      <c r="N343" s="4"/>
      <c r="O343" s="4"/>
      <c r="P343" s="4"/>
      <c r="Q343" s="4"/>
      <c r="R343" s="4"/>
      <c r="S343" s="4"/>
      <c r="T343" s="4"/>
      <c r="U343" s="4"/>
      <c r="V343" s="4"/>
      <c r="W343" s="4"/>
      <c r="X343" s="4"/>
      <c r="Y343" s="4"/>
    </row>
    <row r="344" spans="1:58" x14ac:dyDescent="0.25">
      <c r="B344" s="4"/>
      <c r="C344" s="4"/>
      <c r="D344" s="4"/>
      <c r="E344" s="4"/>
      <c r="F344" s="4"/>
      <c r="G344" s="4"/>
      <c r="H344" s="4"/>
      <c r="I344" s="4"/>
      <c r="J344" s="4"/>
      <c r="K344" s="4"/>
      <c r="L344" s="4"/>
      <c r="M344" s="4"/>
      <c r="N344" s="4"/>
      <c r="O344" s="4"/>
      <c r="P344" s="4"/>
      <c r="Q344" s="4"/>
      <c r="R344" s="4"/>
      <c r="S344" s="4"/>
      <c r="T344" s="4"/>
      <c r="U344" s="4"/>
      <c r="V344" s="4"/>
      <c r="W344" s="4"/>
      <c r="X344" s="4"/>
      <c r="Y344" s="4"/>
    </row>
    <row r="345" spans="1:58" x14ac:dyDescent="0.25">
      <c r="B345" s="4"/>
      <c r="C345" s="4"/>
      <c r="D345" s="4"/>
      <c r="E345" s="4"/>
      <c r="F345" s="4"/>
      <c r="G345" s="4"/>
      <c r="H345" s="4"/>
      <c r="I345" s="4"/>
      <c r="J345" s="4"/>
      <c r="K345" s="4"/>
      <c r="L345" s="4"/>
      <c r="M345" s="4"/>
      <c r="N345" s="4"/>
      <c r="O345" s="4"/>
      <c r="P345" s="4"/>
      <c r="Q345" s="4"/>
      <c r="R345" s="4"/>
      <c r="S345" s="4"/>
      <c r="T345" s="4"/>
      <c r="U345" s="4"/>
      <c r="V345" s="4"/>
      <c r="W345" s="4"/>
      <c r="X345" s="4"/>
      <c r="Y345" s="4"/>
    </row>
    <row r="346" spans="1:58" x14ac:dyDescent="0.25">
      <c r="B346" s="4"/>
      <c r="C346" s="4"/>
      <c r="D346" s="4"/>
      <c r="E346" s="4"/>
      <c r="F346" s="4"/>
      <c r="G346" s="4"/>
      <c r="H346" s="4"/>
      <c r="I346" s="4"/>
      <c r="J346" s="4"/>
      <c r="K346" s="4"/>
      <c r="L346" s="4"/>
      <c r="M346" s="4"/>
      <c r="N346" s="4"/>
      <c r="O346" s="4"/>
      <c r="P346" s="4"/>
      <c r="Q346" s="4"/>
      <c r="R346" s="4"/>
      <c r="S346" s="4"/>
      <c r="T346" s="4"/>
      <c r="U346" s="4"/>
      <c r="V346" s="4"/>
      <c r="W346" s="4"/>
      <c r="X346" s="4"/>
      <c r="Y346" s="4"/>
    </row>
    <row r="347" spans="1:58" x14ac:dyDescent="0.25">
      <c r="B347" s="4"/>
      <c r="C347" s="4"/>
      <c r="D347" s="4"/>
      <c r="E347" s="4"/>
      <c r="F347" s="4"/>
      <c r="G347" s="4"/>
      <c r="H347" s="4"/>
      <c r="I347" s="4"/>
      <c r="J347" s="4"/>
      <c r="K347" s="4"/>
      <c r="L347" s="3"/>
      <c r="M347" s="3"/>
      <c r="N347" s="3"/>
      <c r="O347" s="3"/>
      <c r="P347" s="3"/>
      <c r="Q347" s="4"/>
      <c r="R347" s="4"/>
      <c r="S347" s="4"/>
      <c r="T347" s="4"/>
      <c r="U347" s="4"/>
      <c r="V347" s="4"/>
      <c r="W347" s="4"/>
      <c r="X347" s="4"/>
      <c r="Y347" s="4"/>
    </row>
    <row r="348" spans="1:58" ht="13.8" thickBot="1" x14ac:dyDescent="0.3">
      <c r="B348" s="4"/>
      <c r="C348" s="4"/>
      <c r="D348" s="4"/>
      <c r="E348" s="4"/>
      <c r="F348" s="4"/>
      <c r="G348" s="4"/>
      <c r="H348" s="4"/>
      <c r="I348" s="4"/>
      <c r="J348" s="4"/>
      <c r="K348" s="4"/>
      <c r="L348" s="3"/>
      <c r="M348" s="3"/>
      <c r="N348" s="3"/>
      <c r="O348" s="3"/>
      <c r="P348" s="3"/>
      <c r="Q348" s="4"/>
      <c r="R348" s="4"/>
      <c r="S348" s="4"/>
      <c r="T348" s="4"/>
      <c r="U348" s="4"/>
      <c r="V348" s="4"/>
      <c r="W348" s="4"/>
      <c r="X348" s="4"/>
      <c r="Y348" s="4"/>
    </row>
    <row r="349" spans="1:58" x14ac:dyDescent="0.25">
      <c r="A349" s="12"/>
      <c r="B349" s="13"/>
      <c r="C349" s="13"/>
      <c r="D349" s="13"/>
      <c r="E349" s="13"/>
      <c r="F349" s="13"/>
      <c r="G349" s="13"/>
      <c r="H349" s="13"/>
      <c r="I349" s="13"/>
      <c r="J349" s="13"/>
      <c r="K349" s="14"/>
      <c r="L349" s="3"/>
      <c r="M349" s="3"/>
      <c r="N349" s="3"/>
      <c r="O349" s="3"/>
      <c r="P349" s="3"/>
      <c r="Q349" s="4"/>
      <c r="R349" s="4"/>
      <c r="S349" s="4"/>
      <c r="T349" s="4"/>
      <c r="U349" s="4"/>
      <c r="V349" s="4"/>
      <c r="W349" s="4"/>
      <c r="X349" s="4"/>
      <c r="Y349" s="4"/>
    </row>
    <row r="350" spans="1:58" ht="22.8" x14ac:dyDescent="0.4">
      <c r="A350" s="21"/>
      <c r="B350" s="3"/>
      <c r="C350" s="3"/>
      <c r="D350" s="173"/>
      <c r="E350" s="173"/>
      <c r="F350" s="174" t="s">
        <v>183</v>
      </c>
      <c r="G350" s="173"/>
      <c r="H350" s="173"/>
      <c r="I350" s="3"/>
      <c r="J350" s="3"/>
      <c r="K350" s="22"/>
      <c r="L350" s="3"/>
      <c r="M350" s="3"/>
      <c r="N350" s="3"/>
      <c r="O350" s="3"/>
      <c r="P350" s="3"/>
      <c r="Q350" s="4"/>
      <c r="R350" s="4"/>
      <c r="S350" s="4"/>
      <c r="T350" s="4"/>
      <c r="U350" s="4"/>
      <c r="V350" s="4"/>
      <c r="W350" s="4"/>
      <c r="X350" s="4"/>
      <c r="Y350" s="4"/>
    </row>
    <row r="351" spans="1:58" x14ac:dyDescent="0.25">
      <c r="A351" s="21"/>
      <c r="B351" s="3"/>
      <c r="C351" s="3"/>
      <c r="D351" s="3"/>
      <c r="E351" s="3"/>
      <c r="F351" s="3"/>
      <c r="G351" s="3"/>
      <c r="H351" s="3"/>
      <c r="I351" s="3"/>
      <c r="J351" s="3"/>
      <c r="K351" s="22"/>
      <c r="L351" s="3"/>
      <c r="M351" s="3"/>
      <c r="N351" s="3"/>
      <c r="O351" s="3"/>
      <c r="P351" s="3"/>
      <c r="Q351" s="4"/>
      <c r="R351" s="4"/>
      <c r="S351" s="4"/>
      <c r="T351" s="4"/>
      <c r="U351" s="4"/>
      <c r="V351" s="4"/>
      <c r="W351" s="4"/>
      <c r="X351" s="4"/>
      <c r="Y351" s="4"/>
    </row>
    <row r="352" spans="1:58" x14ac:dyDescent="0.25">
      <c r="A352" s="21"/>
      <c r="B352" s="3"/>
      <c r="C352" s="3"/>
      <c r="D352" s="3"/>
      <c r="E352" s="3"/>
      <c r="F352" s="3"/>
      <c r="G352" s="3"/>
      <c r="H352" s="3"/>
      <c r="I352" s="3"/>
      <c r="J352" s="3"/>
      <c r="K352" s="22"/>
      <c r="L352" s="3"/>
      <c r="M352" s="3"/>
      <c r="N352" s="3"/>
      <c r="O352" s="3"/>
      <c r="P352" s="3"/>
      <c r="Q352" s="4"/>
      <c r="R352" s="4"/>
      <c r="S352" s="4"/>
      <c r="T352" s="4"/>
      <c r="U352" s="4"/>
      <c r="V352" s="4"/>
      <c r="W352" s="4"/>
      <c r="X352" s="4"/>
      <c r="Y352" s="4"/>
    </row>
    <row r="353" spans="1:25" x14ac:dyDescent="0.25">
      <c r="A353" s="21"/>
      <c r="B353" s="3"/>
      <c r="C353" s="3"/>
      <c r="D353" s="3"/>
      <c r="E353" s="3"/>
      <c r="F353" s="3"/>
      <c r="G353" s="3"/>
      <c r="H353" s="3"/>
      <c r="I353" s="3"/>
      <c r="J353" s="3"/>
      <c r="K353" s="22"/>
      <c r="L353" s="3"/>
      <c r="M353" s="3"/>
      <c r="N353" s="3"/>
      <c r="O353" s="3"/>
      <c r="P353" s="3"/>
      <c r="Q353" s="4"/>
      <c r="R353" s="4"/>
      <c r="S353" s="4"/>
      <c r="T353" s="4"/>
      <c r="U353" s="4"/>
      <c r="V353" s="4"/>
      <c r="W353" s="4"/>
      <c r="X353" s="4"/>
      <c r="Y353" s="4"/>
    </row>
    <row r="354" spans="1:25" x14ac:dyDescent="0.25">
      <c r="A354" s="21"/>
      <c r="B354" s="3"/>
      <c r="C354" s="3"/>
      <c r="D354" s="3"/>
      <c r="E354" s="3"/>
      <c r="F354" s="3"/>
      <c r="G354" s="3"/>
      <c r="H354" s="3"/>
      <c r="I354" s="3"/>
      <c r="J354" s="3"/>
      <c r="K354" s="22"/>
      <c r="L354" s="3"/>
      <c r="M354" s="3"/>
      <c r="N354" s="3"/>
      <c r="O354" s="3"/>
      <c r="P354" s="3"/>
      <c r="Q354" s="4"/>
      <c r="R354" s="4"/>
      <c r="S354" s="4"/>
      <c r="T354" s="4"/>
      <c r="U354" s="4"/>
      <c r="V354" s="4"/>
      <c r="W354" s="4"/>
      <c r="X354" s="4"/>
      <c r="Y354" s="4"/>
    </row>
    <row r="355" spans="1:25" x14ac:dyDescent="0.25">
      <c r="A355" s="21"/>
      <c r="B355" s="3"/>
      <c r="C355" s="3"/>
      <c r="D355" s="3"/>
      <c r="E355" s="3"/>
      <c r="F355" s="3"/>
      <c r="G355" s="3"/>
      <c r="H355" s="3"/>
      <c r="I355" s="3"/>
      <c r="J355" s="3"/>
      <c r="K355" s="22"/>
      <c r="L355" s="3"/>
      <c r="M355" s="3"/>
      <c r="N355" s="3"/>
      <c r="O355" s="3"/>
      <c r="P355" s="3"/>
      <c r="Q355" s="4"/>
      <c r="R355" s="4"/>
      <c r="S355" s="4"/>
      <c r="T355" s="4"/>
      <c r="U355" s="4"/>
      <c r="V355" s="4"/>
      <c r="W355" s="4"/>
      <c r="X355" s="4"/>
      <c r="Y355" s="4"/>
    </row>
    <row r="356" spans="1:25" ht="21" x14ac:dyDescent="0.4">
      <c r="A356" s="21"/>
      <c r="B356" s="3"/>
      <c r="C356" s="46"/>
      <c r="D356" s="3"/>
      <c r="E356" s="175"/>
      <c r="F356" s="3"/>
      <c r="G356" s="3"/>
      <c r="H356" s="3"/>
      <c r="I356" s="3"/>
      <c r="J356" s="3"/>
      <c r="K356" s="22"/>
      <c r="L356" s="3"/>
      <c r="M356" s="3"/>
      <c r="N356" s="3"/>
      <c r="O356" s="3"/>
      <c r="P356" s="3"/>
      <c r="Q356" s="4"/>
      <c r="R356" s="4"/>
      <c r="S356" s="4"/>
      <c r="T356" s="4"/>
      <c r="U356" s="4"/>
      <c r="V356" s="4"/>
      <c r="W356" s="4"/>
      <c r="X356" s="4"/>
      <c r="Y356" s="4"/>
    </row>
    <row r="357" spans="1:25" ht="13.8" thickBot="1" x14ac:dyDescent="0.3">
      <c r="A357" s="21"/>
      <c r="B357" s="3"/>
      <c r="C357" s="3"/>
      <c r="D357" s="3"/>
      <c r="E357" s="3"/>
      <c r="F357" s="3"/>
      <c r="G357" s="3"/>
      <c r="H357" s="3"/>
      <c r="I357" s="3"/>
      <c r="J357" s="3"/>
      <c r="K357" s="22"/>
      <c r="L357" s="3"/>
      <c r="M357" s="3"/>
      <c r="N357" s="3"/>
      <c r="O357" s="3"/>
      <c r="P357" s="3"/>
      <c r="Q357" s="4"/>
      <c r="R357" s="4"/>
      <c r="S357" s="4"/>
      <c r="T357" s="4"/>
      <c r="U357" s="4"/>
      <c r="V357" s="4"/>
      <c r="W357" s="4"/>
      <c r="X357" s="4"/>
      <c r="Y357" s="4"/>
    </row>
    <row r="358" spans="1:25" ht="13.8" thickBot="1" x14ac:dyDescent="0.3">
      <c r="A358" s="21"/>
      <c r="B358" s="3"/>
      <c r="C358" s="3"/>
      <c r="D358" s="3"/>
      <c r="E358" s="59" t="s">
        <v>184</v>
      </c>
      <c r="F358" s="3"/>
      <c r="G358" s="176" t="s">
        <v>185</v>
      </c>
      <c r="H358" s="3"/>
      <c r="I358" s="83" t="s">
        <v>182</v>
      </c>
      <c r="J358" s="176" t="s">
        <v>185</v>
      </c>
      <c r="K358" s="22"/>
      <c r="L358" s="3"/>
      <c r="M358" s="3"/>
      <c r="N358" s="3"/>
      <c r="O358" s="3"/>
      <c r="P358" s="3"/>
      <c r="Q358" s="4"/>
      <c r="R358" s="4"/>
      <c r="S358" s="4"/>
      <c r="T358" s="4"/>
      <c r="U358" s="4"/>
      <c r="V358" s="4"/>
      <c r="W358" s="4"/>
      <c r="X358" s="4"/>
      <c r="Y358" s="4"/>
    </row>
    <row r="359" spans="1:25" ht="13.8" thickBot="1" x14ac:dyDescent="0.3">
      <c r="A359" s="21"/>
      <c r="B359" s="3"/>
      <c r="C359" s="46"/>
      <c r="D359" s="46"/>
      <c r="E359" s="46"/>
      <c r="F359" s="46"/>
      <c r="G359" s="46"/>
      <c r="H359" s="46"/>
      <c r="I359" s="3"/>
      <c r="J359" s="3"/>
      <c r="K359" s="22"/>
      <c r="L359" s="3"/>
      <c r="M359" s="58"/>
      <c r="N359" s="58"/>
      <c r="O359" s="58"/>
      <c r="P359" s="3"/>
      <c r="Q359" s="4"/>
      <c r="R359" s="4"/>
      <c r="S359" s="4"/>
      <c r="T359" s="4"/>
      <c r="U359" s="4"/>
      <c r="V359" s="4"/>
      <c r="W359" s="4"/>
      <c r="X359" s="4"/>
      <c r="Y359" s="4"/>
    </row>
    <row r="360" spans="1:25" ht="13.8" thickBot="1" x14ac:dyDescent="0.3">
      <c r="A360" s="21"/>
      <c r="B360" s="3"/>
      <c r="C360" s="3"/>
      <c r="D360" s="155" t="s">
        <v>186</v>
      </c>
      <c r="E360" s="155" t="s">
        <v>187</v>
      </c>
      <c r="F360" s="155" t="s">
        <v>122</v>
      </c>
      <c r="G360" s="155" t="s">
        <v>188</v>
      </c>
      <c r="H360" s="155" t="s">
        <v>189</v>
      </c>
      <c r="I360" s="155" t="s">
        <v>178</v>
      </c>
      <c r="J360" s="69" t="s">
        <v>175</v>
      </c>
      <c r="K360" s="22"/>
      <c r="L360" s="147"/>
      <c r="M360" s="3"/>
      <c r="N360" s="3"/>
      <c r="O360" s="3"/>
      <c r="P360" s="3"/>
      <c r="Q360" s="4"/>
      <c r="R360" s="4"/>
      <c r="S360" s="4"/>
      <c r="T360" s="4"/>
      <c r="U360" s="4"/>
      <c r="V360" s="4"/>
      <c r="W360" s="4"/>
      <c r="X360" s="4"/>
      <c r="Y360" s="4"/>
    </row>
    <row r="361" spans="1:25" x14ac:dyDescent="0.25">
      <c r="A361" s="21"/>
      <c r="B361" s="3"/>
      <c r="C361" s="58">
        <f>IF(AY266=0,0,1)</f>
        <v>1</v>
      </c>
      <c r="D361" s="177" t="s">
        <v>190</v>
      </c>
      <c r="E361" s="178"/>
      <c r="F361" s="178"/>
      <c r="G361" s="178"/>
      <c r="H361" s="178"/>
      <c r="I361" s="178"/>
      <c r="J361" s="69">
        <v>1</v>
      </c>
      <c r="K361" s="179"/>
      <c r="L361" s="3"/>
      <c r="M361" s="3"/>
      <c r="N361" s="3"/>
      <c r="O361" s="3"/>
      <c r="P361" s="3"/>
      <c r="Q361" s="4"/>
      <c r="R361" s="4"/>
      <c r="S361" s="4"/>
      <c r="T361" s="4"/>
      <c r="U361" s="4"/>
      <c r="V361" s="4"/>
      <c r="W361" s="4"/>
      <c r="X361" s="4"/>
      <c r="Y361" s="4"/>
    </row>
    <row r="362" spans="1:25" x14ac:dyDescent="0.25">
      <c r="A362" s="21"/>
      <c r="B362" s="3"/>
      <c r="C362" s="58">
        <f t="shared" ref="C362:C380" si="146">IF(AY267=0,C361,C361+1)</f>
        <v>2</v>
      </c>
      <c r="D362" s="163" t="s">
        <v>191</v>
      </c>
      <c r="E362" s="180"/>
      <c r="F362" s="180"/>
      <c r="G362" s="180"/>
      <c r="H362" s="180"/>
      <c r="I362" s="180"/>
      <c r="J362" s="69">
        <v>2</v>
      </c>
      <c r="K362" s="179"/>
      <c r="L362" s="3"/>
      <c r="M362" s="3"/>
      <c r="N362" s="3"/>
      <c r="O362" s="3"/>
      <c r="P362" s="3"/>
      <c r="Q362" s="4"/>
      <c r="R362" s="4"/>
      <c r="S362" s="4"/>
      <c r="T362" s="4"/>
      <c r="U362" s="4"/>
      <c r="V362" s="4"/>
      <c r="W362" s="4"/>
      <c r="X362" s="4"/>
      <c r="Y362" s="4"/>
    </row>
    <row r="363" spans="1:25" x14ac:dyDescent="0.25">
      <c r="A363" s="21"/>
      <c r="B363" s="3"/>
      <c r="C363" s="58">
        <f t="shared" si="146"/>
        <v>3</v>
      </c>
      <c r="D363" s="163" t="s">
        <v>192</v>
      </c>
      <c r="E363" s="180"/>
      <c r="F363" s="180"/>
      <c r="G363" s="180"/>
      <c r="H363" s="180"/>
      <c r="I363" s="180"/>
      <c r="J363" s="69">
        <v>3</v>
      </c>
      <c r="K363" s="179"/>
      <c r="L363" s="3"/>
      <c r="M363" s="3"/>
      <c r="N363" s="3"/>
      <c r="O363" s="3"/>
      <c r="P363" s="3"/>
      <c r="Q363" s="4"/>
      <c r="R363" s="4"/>
      <c r="S363" s="4"/>
      <c r="T363" s="4"/>
      <c r="U363" s="4"/>
      <c r="V363" s="4"/>
      <c r="W363" s="4"/>
      <c r="X363" s="4"/>
      <c r="Y363" s="4"/>
    </row>
    <row r="364" spans="1:25" x14ac:dyDescent="0.25">
      <c r="A364" s="21"/>
      <c r="B364" s="3"/>
      <c r="C364" s="58">
        <f t="shared" si="146"/>
        <v>4</v>
      </c>
      <c r="D364" s="163" t="s">
        <v>193</v>
      </c>
      <c r="E364" s="180"/>
      <c r="F364" s="180"/>
      <c r="G364" s="180"/>
      <c r="H364" s="180"/>
      <c r="I364" s="180"/>
      <c r="J364" s="69">
        <v>4</v>
      </c>
      <c r="K364" s="179"/>
      <c r="L364" s="3"/>
      <c r="M364" s="3"/>
      <c r="N364" s="3"/>
      <c r="O364" s="3"/>
      <c r="P364" s="3"/>
      <c r="Q364" s="4"/>
      <c r="R364" s="4"/>
      <c r="S364" s="4"/>
      <c r="T364" s="4"/>
      <c r="U364" s="4"/>
      <c r="V364" s="4"/>
      <c r="W364" s="4"/>
      <c r="X364" s="4"/>
      <c r="Y364" s="4"/>
    </row>
    <row r="365" spans="1:25" x14ac:dyDescent="0.25">
      <c r="A365" s="21"/>
      <c r="B365" s="3"/>
      <c r="C365" s="58">
        <f t="shared" si="146"/>
        <v>5</v>
      </c>
      <c r="D365" s="163" t="s">
        <v>194</v>
      </c>
      <c r="E365" s="180"/>
      <c r="F365" s="180"/>
      <c r="G365" s="180"/>
      <c r="H365" s="180"/>
      <c r="I365" s="180"/>
      <c r="J365" s="3"/>
      <c r="K365" s="179"/>
      <c r="L365" s="3"/>
      <c r="M365" s="3"/>
      <c r="N365" s="3"/>
      <c r="O365" s="3"/>
      <c r="P365" s="3"/>
      <c r="Q365" s="4"/>
      <c r="R365" s="4"/>
      <c r="S365" s="4"/>
      <c r="T365" s="4"/>
      <c r="U365" s="4"/>
      <c r="V365" s="4"/>
      <c r="W365" s="4"/>
      <c r="X365" s="4"/>
      <c r="Y365" s="4"/>
    </row>
    <row r="366" spans="1:25" x14ac:dyDescent="0.25">
      <c r="A366" s="21"/>
      <c r="B366" s="3"/>
      <c r="C366" s="58">
        <f t="shared" si="146"/>
        <v>6</v>
      </c>
      <c r="D366" s="163" t="s">
        <v>195</v>
      </c>
      <c r="E366" s="180"/>
      <c r="F366" s="180"/>
      <c r="G366" s="180"/>
      <c r="H366" s="180"/>
      <c r="I366" s="180"/>
      <c r="J366" s="3"/>
      <c r="K366" s="179"/>
      <c r="L366" s="3"/>
      <c r="M366" s="3"/>
      <c r="N366" s="3"/>
      <c r="O366" s="3"/>
      <c r="P366" s="3"/>
      <c r="Q366" s="4"/>
      <c r="R366" s="4"/>
      <c r="S366" s="4"/>
      <c r="T366" s="4"/>
      <c r="U366" s="4"/>
      <c r="V366" s="4"/>
      <c r="W366" s="4"/>
      <c r="X366" s="4"/>
      <c r="Y366" s="4"/>
    </row>
    <row r="367" spans="1:25" x14ac:dyDescent="0.25">
      <c r="A367" s="21"/>
      <c r="B367" s="3"/>
      <c r="C367" s="58">
        <f t="shared" si="146"/>
        <v>7</v>
      </c>
      <c r="D367" s="163" t="s">
        <v>196</v>
      </c>
      <c r="E367" s="180"/>
      <c r="F367" s="180"/>
      <c r="G367" s="180"/>
      <c r="H367" s="180"/>
      <c r="I367" s="180"/>
      <c r="J367" s="3"/>
      <c r="K367" s="179"/>
      <c r="L367" s="3"/>
      <c r="M367" s="3"/>
      <c r="N367" s="3"/>
      <c r="O367" s="3"/>
      <c r="P367" s="3"/>
      <c r="Q367" s="4"/>
      <c r="R367" s="4"/>
      <c r="S367" s="4"/>
      <c r="T367" s="4"/>
      <c r="U367" s="4"/>
      <c r="V367" s="4"/>
      <c r="W367" s="4"/>
      <c r="X367" s="4"/>
      <c r="Y367" s="4"/>
    </row>
    <row r="368" spans="1:25" x14ac:dyDescent="0.25">
      <c r="A368" s="21"/>
      <c r="B368" s="3"/>
      <c r="C368" s="58">
        <f t="shared" si="146"/>
        <v>8</v>
      </c>
      <c r="D368" s="163" t="s">
        <v>197</v>
      </c>
      <c r="E368" s="180"/>
      <c r="F368" s="180"/>
      <c r="G368" s="180"/>
      <c r="H368" s="180"/>
      <c r="I368" s="180"/>
      <c r="J368" s="3"/>
      <c r="K368" s="179"/>
      <c r="L368" s="3"/>
      <c r="M368" s="3"/>
      <c r="N368" s="3"/>
      <c r="O368" s="3"/>
      <c r="P368" s="3"/>
      <c r="Q368" s="4"/>
      <c r="R368" s="4"/>
      <c r="S368" s="4"/>
      <c r="T368" s="4"/>
      <c r="U368" s="4"/>
      <c r="V368" s="4"/>
      <c r="W368" s="4"/>
      <c r="X368" s="4"/>
      <c r="Y368" s="4"/>
    </row>
    <row r="369" spans="1:25" x14ac:dyDescent="0.25">
      <c r="A369" s="21"/>
      <c r="B369" s="3"/>
      <c r="C369" s="58">
        <f t="shared" si="146"/>
        <v>9</v>
      </c>
      <c r="D369" s="163" t="s">
        <v>198</v>
      </c>
      <c r="E369" s="180"/>
      <c r="F369" s="70"/>
      <c r="G369" s="70"/>
      <c r="H369" s="70"/>
      <c r="I369" s="70"/>
      <c r="J369" s="3"/>
      <c r="K369" s="179"/>
      <c r="L369" s="3"/>
      <c r="M369" s="3"/>
      <c r="N369" s="3"/>
      <c r="O369" s="3"/>
      <c r="P369" s="3"/>
      <c r="Q369" s="4"/>
      <c r="R369" s="4"/>
      <c r="S369" s="4"/>
      <c r="T369" s="4"/>
      <c r="U369" s="4"/>
      <c r="V369" s="4"/>
      <c r="W369" s="4"/>
      <c r="X369" s="4"/>
      <c r="Y369" s="4"/>
    </row>
    <row r="370" spans="1:25" x14ac:dyDescent="0.25">
      <c r="A370" s="21"/>
      <c r="B370" s="3"/>
      <c r="C370" s="58">
        <f t="shared" si="146"/>
        <v>10</v>
      </c>
      <c r="D370" s="163" t="s">
        <v>199</v>
      </c>
      <c r="E370" s="180"/>
      <c r="F370" s="70"/>
      <c r="G370" s="70"/>
      <c r="H370" s="70"/>
      <c r="I370" s="70"/>
      <c r="J370" s="3"/>
      <c r="K370" s="179"/>
      <c r="L370" s="3"/>
      <c r="M370" s="3"/>
      <c r="N370" s="3"/>
      <c r="O370" s="3"/>
      <c r="P370" s="3"/>
      <c r="Q370" s="4"/>
      <c r="R370" s="4"/>
      <c r="S370" s="4"/>
      <c r="T370" s="4"/>
      <c r="U370" s="4"/>
      <c r="V370" s="4"/>
      <c r="W370" s="4"/>
      <c r="X370" s="4"/>
      <c r="Y370" s="4"/>
    </row>
    <row r="371" spans="1:25" x14ac:dyDescent="0.25">
      <c r="A371" s="21"/>
      <c r="B371" s="3"/>
      <c r="C371" s="58">
        <f t="shared" si="146"/>
        <v>11</v>
      </c>
      <c r="D371" s="163" t="s">
        <v>200</v>
      </c>
      <c r="E371" s="180"/>
      <c r="F371" s="70"/>
      <c r="G371" s="70"/>
      <c r="H371" s="70"/>
      <c r="I371" s="70"/>
      <c r="J371" s="3"/>
      <c r="K371" s="179"/>
      <c r="L371" s="3"/>
      <c r="M371" s="3"/>
      <c r="N371" s="3"/>
      <c r="O371" s="3"/>
      <c r="P371" s="3"/>
      <c r="Q371" s="4"/>
      <c r="R371" s="4"/>
      <c r="S371" s="4"/>
      <c r="T371" s="4"/>
      <c r="U371" s="4"/>
      <c r="V371" s="4"/>
      <c r="W371" s="4"/>
      <c r="X371" s="4"/>
      <c r="Y371" s="4"/>
    </row>
    <row r="372" spans="1:25" x14ac:dyDescent="0.25">
      <c r="A372" s="21"/>
      <c r="B372" s="3"/>
      <c r="C372" s="58">
        <f t="shared" si="146"/>
        <v>12</v>
      </c>
      <c r="D372" s="163" t="s">
        <v>201</v>
      </c>
      <c r="E372" s="180"/>
      <c r="F372" s="180"/>
      <c r="G372" s="180"/>
      <c r="H372" s="180"/>
      <c r="I372" s="180"/>
      <c r="J372" s="3"/>
      <c r="K372" s="179"/>
      <c r="L372" s="3"/>
      <c r="M372" s="3"/>
      <c r="N372" s="3"/>
      <c r="O372" s="3"/>
      <c r="P372" s="3"/>
      <c r="Q372" s="4"/>
      <c r="R372" s="4"/>
      <c r="S372" s="4"/>
      <c r="T372" s="4"/>
      <c r="U372" s="4"/>
      <c r="V372" s="4"/>
      <c r="W372" s="4"/>
      <c r="X372" s="4"/>
      <c r="Y372" s="4"/>
    </row>
    <row r="373" spans="1:25" x14ac:dyDescent="0.25">
      <c r="A373" s="21"/>
      <c r="B373" s="3"/>
      <c r="C373" s="58">
        <f t="shared" si="146"/>
        <v>13</v>
      </c>
      <c r="D373" s="163" t="s">
        <v>202</v>
      </c>
      <c r="E373" s="180"/>
      <c r="F373" s="180"/>
      <c r="G373" s="180"/>
      <c r="H373" s="180"/>
      <c r="I373" s="180"/>
      <c r="J373" s="3"/>
      <c r="K373" s="179"/>
      <c r="L373" s="3"/>
      <c r="M373" s="3"/>
      <c r="N373" s="3"/>
      <c r="O373" s="3"/>
      <c r="P373" s="3"/>
      <c r="Q373" s="4"/>
      <c r="R373" s="4"/>
      <c r="S373" s="4"/>
      <c r="T373" s="4"/>
      <c r="U373" s="4"/>
      <c r="V373" s="4"/>
      <c r="W373" s="4"/>
      <c r="X373" s="4"/>
      <c r="Y373" s="4"/>
    </row>
    <row r="374" spans="1:25" x14ac:dyDescent="0.25">
      <c r="A374" s="21"/>
      <c r="B374" s="3"/>
      <c r="C374" s="58">
        <f t="shared" si="146"/>
        <v>14</v>
      </c>
      <c r="D374" s="163" t="s">
        <v>203</v>
      </c>
      <c r="E374" s="180"/>
      <c r="F374" s="180"/>
      <c r="G374" s="180"/>
      <c r="H374" s="180"/>
      <c r="I374" s="180"/>
      <c r="J374" s="3"/>
      <c r="K374" s="179"/>
      <c r="L374" s="3"/>
      <c r="M374" s="3"/>
      <c r="N374" s="3"/>
      <c r="O374" s="3"/>
      <c r="P374" s="3"/>
      <c r="Q374" s="4"/>
      <c r="R374" s="4"/>
      <c r="S374" s="4"/>
      <c r="T374" s="4"/>
      <c r="U374" s="4"/>
      <c r="V374" s="4"/>
      <c r="W374" s="4"/>
      <c r="X374" s="4"/>
      <c r="Y374" s="4"/>
    </row>
    <row r="375" spans="1:25" x14ac:dyDescent="0.25">
      <c r="A375" s="21"/>
      <c r="B375" s="3"/>
      <c r="C375" s="58">
        <f t="shared" si="146"/>
        <v>15</v>
      </c>
      <c r="D375" s="163" t="s">
        <v>204</v>
      </c>
      <c r="E375" s="180"/>
      <c r="F375" s="180"/>
      <c r="G375" s="180"/>
      <c r="H375" s="180"/>
      <c r="I375" s="180"/>
      <c r="J375" s="3"/>
      <c r="K375" s="179"/>
      <c r="L375" s="3"/>
      <c r="M375" s="3"/>
      <c r="N375" s="3"/>
      <c r="O375" s="3"/>
      <c r="P375" s="3"/>
      <c r="Q375" s="4"/>
      <c r="R375" s="4"/>
      <c r="S375" s="4"/>
      <c r="T375" s="4"/>
      <c r="U375" s="4"/>
      <c r="V375" s="4"/>
      <c r="W375" s="4"/>
      <c r="X375" s="4"/>
      <c r="Y375" s="4"/>
    </row>
    <row r="376" spans="1:25" x14ac:dyDescent="0.25">
      <c r="A376" s="21"/>
      <c r="B376" s="3"/>
      <c r="C376" s="58">
        <f t="shared" si="146"/>
        <v>16</v>
      </c>
      <c r="D376" s="163" t="s">
        <v>205</v>
      </c>
      <c r="E376" s="180"/>
      <c r="F376" s="180"/>
      <c r="G376" s="180"/>
      <c r="H376" s="180"/>
      <c r="I376" s="180"/>
      <c r="J376" s="3"/>
      <c r="K376" s="179"/>
      <c r="L376" s="3"/>
      <c r="M376" s="3"/>
      <c r="N376" s="3"/>
      <c r="O376" s="3"/>
      <c r="P376" s="3"/>
      <c r="Q376" s="4"/>
      <c r="R376" s="4"/>
      <c r="S376" s="4"/>
      <c r="T376" s="4"/>
      <c r="U376" s="4"/>
      <c r="V376" s="4"/>
      <c r="W376" s="4"/>
      <c r="X376" s="4"/>
      <c r="Y376" s="4"/>
    </row>
    <row r="377" spans="1:25" x14ac:dyDescent="0.25">
      <c r="A377" s="21"/>
      <c r="B377" s="3"/>
      <c r="C377" s="58">
        <f t="shared" si="146"/>
        <v>17</v>
      </c>
      <c r="D377" s="163" t="s">
        <v>206</v>
      </c>
      <c r="E377" s="180"/>
      <c r="F377" s="180"/>
      <c r="G377" s="180"/>
      <c r="H377" s="180"/>
      <c r="I377" s="180"/>
      <c r="J377" s="3"/>
      <c r="K377" s="179"/>
      <c r="L377" s="3"/>
      <c r="M377" s="3"/>
      <c r="N377" s="3"/>
      <c r="O377" s="3"/>
      <c r="P377" s="3"/>
      <c r="Q377" s="4"/>
      <c r="R377" s="4"/>
      <c r="S377" s="4"/>
      <c r="T377" s="4"/>
      <c r="U377" s="4"/>
      <c r="V377" s="4"/>
      <c r="W377" s="4"/>
      <c r="X377" s="4"/>
      <c r="Y377" s="4"/>
    </row>
    <row r="378" spans="1:25" x14ac:dyDescent="0.25">
      <c r="A378" s="21"/>
      <c r="B378" s="3"/>
      <c r="C378" s="58">
        <f t="shared" si="146"/>
        <v>18</v>
      </c>
      <c r="D378" s="163" t="s">
        <v>207</v>
      </c>
      <c r="E378" s="180"/>
      <c r="F378" s="180"/>
      <c r="G378" s="180"/>
      <c r="H378" s="180"/>
      <c r="I378" s="180"/>
      <c r="J378" s="3"/>
      <c r="K378" s="179"/>
      <c r="L378" s="3"/>
      <c r="M378" s="3"/>
      <c r="N378" s="3"/>
      <c r="O378" s="3"/>
      <c r="P378" s="3"/>
      <c r="Q378" s="4"/>
      <c r="R378" s="4"/>
      <c r="S378" s="4"/>
      <c r="T378" s="4"/>
      <c r="U378" s="4"/>
      <c r="V378" s="4"/>
      <c r="W378" s="4"/>
      <c r="X378" s="4"/>
      <c r="Y378" s="4"/>
    </row>
    <row r="379" spans="1:25" x14ac:dyDescent="0.25">
      <c r="A379" s="21"/>
      <c r="B379" s="3"/>
      <c r="C379" s="58">
        <f t="shared" si="146"/>
        <v>19</v>
      </c>
      <c r="D379" s="163" t="s">
        <v>208</v>
      </c>
      <c r="E379" s="180"/>
      <c r="F379" s="180"/>
      <c r="G379" s="180"/>
      <c r="H379" s="180"/>
      <c r="I379" s="180"/>
      <c r="J379" s="3"/>
      <c r="K379" s="179"/>
      <c r="L379" s="3"/>
      <c r="M379" s="3"/>
      <c r="N379" s="3"/>
      <c r="O379" s="3"/>
      <c r="P379" s="3"/>
      <c r="Q379" s="4"/>
      <c r="R379" s="4"/>
      <c r="S379" s="4"/>
      <c r="T379" s="4"/>
      <c r="U379" s="4"/>
      <c r="V379" s="4"/>
      <c r="W379" s="4"/>
      <c r="X379" s="4"/>
      <c r="Y379" s="4"/>
    </row>
    <row r="380" spans="1:25" x14ac:dyDescent="0.25">
      <c r="A380" s="21"/>
      <c r="B380" s="3"/>
      <c r="C380" s="58">
        <f t="shared" si="146"/>
        <v>20</v>
      </c>
      <c r="D380" s="163" t="s">
        <v>209</v>
      </c>
      <c r="E380" s="180"/>
      <c r="F380" s="180"/>
      <c r="G380" s="180"/>
      <c r="H380" s="180"/>
      <c r="I380" s="180"/>
      <c r="J380" s="3"/>
      <c r="K380" s="179"/>
      <c r="L380" s="3"/>
      <c r="M380" s="3"/>
      <c r="N380" s="3"/>
      <c r="O380" s="3"/>
      <c r="P380" s="3"/>
      <c r="Q380" s="4"/>
      <c r="R380" s="4"/>
      <c r="S380" s="4"/>
      <c r="T380" s="4"/>
      <c r="U380" s="4"/>
      <c r="V380" s="4"/>
      <c r="W380" s="4"/>
      <c r="X380" s="4"/>
      <c r="Y380" s="4"/>
    </row>
    <row r="381" spans="1:25" x14ac:dyDescent="0.25">
      <c r="A381" s="21"/>
      <c r="B381" s="3"/>
      <c r="C381" s="3"/>
      <c r="D381" s="58">
        <f>C380</f>
        <v>20</v>
      </c>
      <c r="E381" s="58"/>
      <c r="F381" s="3"/>
      <c r="G381" s="3"/>
      <c r="H381" s="3"/>
      <c r="I381" s="3"/>
      <c r="J381" s="3"/>
      <c r="K381" s="22"/>
      <c r="L381" s="147"/>
      <c r="M381" s="3"/>
      <c r="N381" s="3"/>
      <c r="O381" s="3"/>
      <c r="P381" s="3"/>
      <c r="Q381" s="4"/>
      <c r="R381" s="4"/>
      <c r="S381" s="4"/>
      <c r="T381" s="4"/>
      <c r="U381" s="4"/>
      <c r="V381" s="4"/>
      <c r="W381" s="4"/>
      <c r="X381" s="4"/>
      <c r="Y381" s="4"/>
    </row>
    <row r="382" spans="1:25" ht="13.8" thickBot="1" x14ac:dyDescent="0.3">
      <c r="A382" s="38"/>
      <c r="B382" s="39"/>
      <c r="C382" s="39"/>
      <c r="D382" s="39"/>
      <c r="E382" s="39"/>
      <c r="F382" s="39"/>
      <c r="G382" s="39"/>
      <c r="H382" s="39"/>
      <c r="I382" s="39"/>
      <c r="J382" s="39"/>
      <c r="K382" s="40"/>
      <c r="L382" s="3"/>
      <c r="M382" s="3"/>
      <c r="N382" s="3"/>
      <c r="O382" s="3"/>
      <c r="P382" s="3"/>
      <c r="Q382" s="4"/>
      <c r="R382" s="4"/>
      <c r="S382" s="4"/>
      <c r="T382" s="4"/>
      <c r="U382" s="4"/>
      <c r="V382" s="4"/>
      <c r="W382" s="4"/>
      <c r="X382" s="4"/>
      <c r="Y382" s="4"/>
    </row>
    <row r="383" spans="1:25" x14ac:dyDescent="0.25">
      <c r="B383" s="4"/>
      <c r="C383" s="4"/>
      <c r="D383" s="4"/>
      <c r="E383" s="4"/>
      <c r="F383" s="4"/>
      <c r="G383" s="4"/>
      <c r="H383" s="4"/>
      <c r="I383" s="4"/>
      <c r="J383" s="4"/>
      <c r="K383" s="4"/>
      <c r="L383" s="3"/>
      <c r="M383" s="3"/>
      <c r="N383" s="3"/>
      <c r="O383" s="3"/>
      <c r="P383" s="3"/>
      <c r="Q383" s="4"/>
      <c r="R383" s="4"/>
      <c r="S383" s="4"/>
      <c r="T383" s="4"/>
      <c r="U383" s="4"/>
      <c r="V383" s="4"/>
      <c r="W383" s="4"/>
      <c r="X383" s="4"/>
      <c r="Y383" s="4"/>
    </row>
    <row r="384" spans="1:25" x14ac:dyDescent="0.25">
      <c r="B384" s="4"/>
      <c r="C384" s="4"/>
      <c r="D384" s="4"/>
      <c r="E384" s="4"/>
      <c r="F384" s="4"/>
      <c r="G384" s="4"/>
      <c r="H384" s="4"/>
      <c r="I384" s="4"/>
      <c r="J384" s="4"/>
      <c r="K384" s="4"/>
      <c r="L384" s="3"/>
      <c r="M384" s="3"/>
      <c r="N384" s="3"/>
      <c r="O384" s="3"/>
      <c r="P384" s="3"/>
      <c r="Q384" s="4"/>
      <c r="R384" s="4"/>
      <c r="S384" s="4"/>
      <c r="T384" s="4"/>
      <c r="U384" s="4"/>
      <c r="V384" s="4"/>
      <c r="W384" s="4"/>
      <c r="X384" s="4"/>
      <c r="Y384" s="4"/>
    </row>
    <row r="385" spans="2:25" x14ac:dyDescent="0.25">
      <c r="B385" s="4"/>
      <c r="C385" s="4"/>
      <c r="D385" s="4"/>
      <c r="E385" s="4"/>
      <c r="F385" s="4"/>
      <c r="G385" s="4"/>
      <c r="H385" s="4"/>
      <c r="I385" s="4"/>
      <c r="J385" s="4"/>
      <c r="K385" s="4"/>
      <c r="L385" s="3"/>
      <c r="M385" s="3"/>
      <c r="N385" s="3"/>
      <c r="O385" s="3"/>
      <c r="P385" s="3"/>
      <c r="Q385" s="4"/>
      <c r="R385" s="4"/>
      <c r="S385" s="4"/>
      <c r="T385" s="4"/>
      <c r="U385" s="4"/>
      <c r="V385" s="4"/>
      <c r="W385" s="4"/>
      <c r="X385" s="4"/>
      <c r="Y385" s="4"/>
    </row>
    <row r="386" spans="2:25" x14ac:dyDescent="0.25">
      <c r="B386" s="4"/>
      <c r="C386" s="4"/>
      <c r="D386" s="4"/>
      <c r="E386" s="4"/>
      <c r="F386" s="4"/>
      <c r="G386" s="4"/>
      <c r="H386" s="4"/>
      <c r="I386" s="4"/>
      <c r="J386" s="4"/>
      <c r="K386" s="4"/>
      <c r="L386" s="3"/>
      <c r="M386" s="3"/>
      <c r="N386" s="3"/>
      <c r="O386" s="3"/>
      <c r="P386" s="3"/>
      <c r="Q386" s="4"/>
      <c r="R386" s="4"/>
      <c r="S386" s="4"/>
      <c r="T386" s="4"/>
      <c r="U386" s="4"/>
      <c r="V386" s="4"/>
      <c r="W386" s="4"/>
      <c r="X386" s="4"/>
      <c r="Y386" s="4"/>
    </row>
    <row r="387" spans="2:25" x14ac:dyDescent="0.25">
      <c r="B387" s="4"/>
      <c r="C387" s="4"/>
      <c r="D387" s="4"/>
      <c r="E387" s="4"/>
      <c r="F387" s="4"/>
      <c r="G387" s="4"/>
      <c r="H387" s="4"/>
      <c r="I387" s="4"/>
      <c r="J387" s="4"/>
      <c r="K387" s="4"/>
      <c r="L387" s="4"/>
      <c r="M387" s="4"/>
      <c r="N387" s="4"/>
      <c r="O387" s="4"/>
      <c r="P387" s="4"/>
      <c r="Q387" s="4"/>
      <c r="R387" s="4"/>
      <c r="S387" s="4"/>
      <c r="T387" s="4"/>
      <c r="U387" s="4"/>
      <c r="V387" s="4"/>
      <c r="W387" s="4"/>
      <c r="X387" s="4"/>
      <c r="Y387" s="4"/>
    </row>
    <row r="388" spans="2:25" x14ac:dyDescent="0.25">
      <c r="B388" s="4"/>
      <c r="C388" s="4"/>
      <c r="D388" s="4"/>
      <c r="E388" s="4"/>
      <c r="F388" s="4"/>
      <c r="G388" s="4"/>
      <c r="H388" s="4"/>
      <c r="I388" s="4"/>
      <c r="J388" s="4"/>
      <c r="K388" s="4"/>
      <c r="L388" s="4"/>
      <c r="M388" s="4"/>
      <c r="N388" s="4"/>
      <c r="O388" s="4"/>
      <c r="P388" s="4"/>
      <c r="Q388" s="4"/>
      <c r="R388" s="4"/>
      <c r="S388" s="4"/>
      <c r="T388" s="4"/>
      <c r="U388" s="4"/>
      <c r="V388" s="4"/>
      <c r="W388" s="4"/>
      <c r="X388" s="4"/>
      <c r="Y388" s="4"/>
    </row>
    <row r="389" spans="2:25" x14ac:dyDescent="0.25">
      <c r="B389" s="4"/>
      <c r="C389" s="4"/>
      <c r="D389" s="4"/>
      <c r="E389" s="4"/>
      <c r="F389" s="4"/>
      <c r="G389" s="4"/>
      <c r="H389" s="4"/>
      <c r="I389" s="4"/>
      <c r="J389" s="4"/>
      <c r="K389" s="4"/>
      <c r="L389" s="4"/>
      <c r="M389" s="4"/>
      <c r="N389" s="4"/>
      <c r="O389" s="4"/>
      <c r="P389" s="4"/>
      <c r="Q389" s="4"/>
      <c r="R389" s="4"/>
      <c r="S389" s="4"/>
      <c r="T389" s="4"/>
      <c r="U389" s="4"/>
      <c r="V389" s="4"/>
      <c r="W389" s="4"/>
      <c r="X389" s="4"/>
      <c r="Y389" s="4"/>
    </row>
    <row r="390" spans="2:25" x14ac:dyDescent="0.25">
      <c r="B390" s="4"/>
      <c r="C390" s="4"/>
      <c r="D390" s="4"/>
      <c r="E390" s="4"/>
      <c r="F390" s="4"/>
      <c r="G390" s="4"/>
      <c r="H390" s="4"/>
      <c r="I390" s="4"/>
      <c r="J390" s="4"/>
      <c r="K390" s="4"/>
      <c r="L390" s="4"/>
      <c r="M390" s="4"/>
      <c r="N390" s="4"/>
      <c r="O390" s="4"/>
      <c r="P390" s="4"/>
      <c r="Q390" s="4"/>
      <c r="R390" s="4"/>
      <c r="S390" s="4"/>
      <c r="T390" s="4"/>
      <c r="U390" s="4"/>
      <c r="V390" s="4"/>
      <c r="W390" s="4"/>
      <c r="X390" s="4"/>
      <c r="Y390" s="4"/>
    </row>
    <row r="391" spans="2:25" x14ac:dyDescent="0.25">
      <c r="B391" s="4"/>
      <c r="C391" s="4"/>
      <c r="D391" s="4"/>
      <c r="E391" s="4"/>
      <c r="F391" s="4"/>
      <c r="G391" s="4"/>
      <c r="H391" s="4"/>
      <c r="I391" s="4"/>
      <c r="J391" s="4"/>
      <c r="K391" s="4"/>
      <c r="L391" s="4"/>
      <c r="M391" s="4"/>
      <c r="N391" s="4"/>
      <c r="O391" s="4"/>
      <c r="P391" s="4"/>
      <c r="Q391" s="4"/>
      <c r="R391" s="4"/>
      <c r="S391" s="4"/>
      <c r="T391" s="4"/>
      <c r="U391" s="4"/>
      <c r="V391" s="4"/>
      <c r="W391" s="4"/>
      <c r="X391" s="4"/>
      <c r="Y391" s="4"/>
    </row>
    <row r="392" spans="2:25" x14ac:dyDescent="0.25">
      <c r="B392" s="4"/>
      <c r="C392" s="4"/>
      <c r="D392" s="4"/>
      <c r="E392" s="4"/>
      <c r="F392" s="4"/>
      <c r="G392" s="4"/>
      <c r="H392" s="4"/>
      <c r="I392" s="4"/>
      <c r="J392" s="4"/>
      <c r="K392" s="4"/>
      <c r="L392" s="4"/>
      <c r="M392" s="4"/>
      <c r="N392" s="4"/>
      <c r="O392" s="4"/>
      <c r="P392" s="4"/>
      <c r="Q392" s="4"/>
      <c r="R392" s="4"/>
      <c r="S392" s="4"/>
      <c r="T392" s="4"/>
      <c r="U392" s="4"/>
      <c r="V392" s="4"/>
      <c r="W392" s="4"/>
      <c r="X392" s="4"/>
      <c r="Y392" s="4"/>
    </row>
    <row r="393" spans="2:25" x14ac:dyDescent="0.25">
      <c r="B393" s="4"/>
      <c r="C393" s="4"/>
      <c r="D393" s="4"/>
      <c r="E393" s="4"/>
      <c r="F393" s="4"/>
      <c r="G393" s="4"/>
      <c r="H393" s="4"/>
      <c r="I393" s="4"/>
      <c r="J393" s="4"/>
      <c r="K393" s="4"/>
      <c r="L393" s="4"/>
      <c r="M393" s="4"/>
      <c r="N393" s="4"/>
      <c r="O393" s="4"/>
      <c r="P393" s="4"/>
      <c r="Q393" s="4"/>
      <c r="R393" s="4"/>
      <c r="S393" s="4"/>
      <c r="T393" s="4"/>
      <c r="U393" s="4"/>
      <c r="V393" s="4"/>
      <c r="W393" s="4"/>
      <c r="X393" s="4"/>
      <c r="Y393" s="4"/>
    </row>
    <row r="394" spans="2:25" x14ac:dyDescent="0.25">
      <c r="B394" s="4"/>
      <c r="C394" s="4"/>
      <c r="D394" s="4"/>
      <c r="E394" s="4"/>
      <c r="F394" s="4"/>
      <c r="G394" s="4"/>
      <c r="H394" s="4"/>
      <c r="I394" s="4"/>
      <c r="J394" s="4"/>
      <c r="K394" s="4"/>
      <c r="L394" s="4"/>
      <c r="M394" s="4"/>
      <c r="N394" s="4"/>
      <c r="O394" s="4"/>
      <c r="P394" s="4"/>
      <c r="Q394" s="4"/>
      <c r="R394" s="4"/>
      <c r="S394" s="4"/>
      <c r="T394" s="4"/>
      <c r="U394" s="4"/>
      <c r="V394" s="4"/>
      <c r="W394" s="4"/>
      <c r="X394" s="4"/>
      <c r="Y394" s="4"/>
    </row>
    <row r="395" spans="2:25" x14ac:dyDescent="0.25">
      <c r="B395" s="4"/>
      <c r="C395" s="4"/>
      <c r="D395" s="4"/>
      <c r="E395" s="4"/>
      <c r="F395" s="4"/>
      <c r="G395" s="4"/>
      <c r="H395" s="4"/>
      <c r="I395" s="4"/>
      <c r="J395" s="4"/>
      <c r="K395" s="4"/>
      <c r="L395" s="4"/>
      <c r="M395" s="4"/>
      <c r="N395" s="4"/>
      <c r="O395" s="4"/>
      <c r="P395" s="4"/>
      <c r="Q395" s="4"/>
      <c r="R395" s="4"/>
      <c r="S395" s="4"/>
      <c r="T395" s="4"/>
      <c r="U395" s="4"/>
      <c r="V395" s="4"/>
      <c r="W395" s="4"/>
      <c r="X395" s="4"/>
      <c r="Y395" s="4"/>
    </row>
    <row r="396" spans="2:25" x14ac:dyDescent="0.25">
      <c r="B396" s="4"/>
      <c r="C396" s="4"/>
      <c r="D396" s="4"/>
      <c r="E396" s="4"/>
      <c r="F396" s="4"/>
      <c r="G396" s="4"/>
      <c r="H396" s="4"/>
      <c r="I396" s="4"/>
      <c r="J396" s="4"/>
      <c r="K396" s="4"/>
      <c r="L396" s="4"/>
      <c r="M396" s="4"/>
      <c r="N396" s="4"/>
      <c r="O396" s="4"/>
      <c r="P396" s="4"/>
      <c r="Q396" s="4"/>
      <c r="R396" s="4"/>
      <c r="S396" s="4"/>
      <c r="T396" s="4"/>
      <c r="U396" s="4"/>
      <c r="V396" s="4"/>
      <c r="W396" s="4"/>
      <c r="X396" s="4"/>
      <c r="Y396" s="4"/>
    </row>
    <row r="397" spans="2:25" x14ac:dyDescent="0.25">
      <c r="B397" s="4"/>
      <c r="C397" s="4"/>
      <c r="D397" s="4"/>
      <c r="E397" s="4"/>
      <c r="F397" s="4"/>
      <c r="G397" s="4"/>
      <c r="H397" s="4"/>
      <c r="I397" s="4"/>
      <c r="J397" s="4"/>
      <c r="K397" s="4"/>
      <c r="L397" s="4"/>
      <c r="M397" s="4"/>
      <c r="N397" s="4"/>
      <c r="O397" s="4"/>
      <c r="P397" s="4"/>
      <c r="Q397" s="4"/>
      <c r="R397" s="4"/>
      <c r="S397" s="4"/>
      <c r="T397" s="4"/>
      <c r="U397" s="4"/>
      <c r="V397" s="4"/>
      <c r="W397" s="4"/>
      <c r="X397" s="4"/>
      <c r="Y397" s="4"/>
    </row>
    <row r="398" spans="2:25" x14ac:dyDescent="0.25">
      <c r="B398" s="4"/>
      <c r="C398" s="4"/>
      <c r="D398" s="4"/>
      <c r="E398" s="4"/>
      <c r="F398" s="4"/>
      <c r="G398" s="4"/>
      <c r="H398" s="4"/>
      <c r="I398" s="4"/>
      <c r="J398" s="4"/>
      <c r="K398" s="4"/>
      <c r="L398" s="4"/>
      <c r="M398" s="4"/>
      <c r="N398" s="4"/>
      <c r="O398" s="4"/>
      <c r="P398" s="4"/>
      <c r="Q398" s="4"/>
      <c r="R398" s="4"/>
      <c r="S398" s="4"/>
      <c r="T398" s="4"/>
      <c r="U398" s="4"/>
      <c r="V398" s="4"/>
      <c r="W398" s="4"/>
      <c r="X398" s="4"/>
      <c r="Y398" s="4"/>
    </row>
    <row r="399" spans="2:25" x14ac:dyDescent="0.25">
      <c r="B399" s="4"/>
      <c r="C399" s="4"/>
      <c r="D399" s="4"/>
      <c r="E399" s="4"/>
      <c r="F399" s="4"/>
      <c r="G399" s="4"/>
      <c r="H399" s="4"/>
      <c r="I399" s="4"/>
      <c r="J399" s="4"/>
      <c r="K399" s="4"/>
      <c r="L399" s="4"/>
      <c r="M399" s="4"/>
      <c r="N399" s="4"/>
      <c r="O399" s="4"/>
      <c r="P399" s="4"/>
      <c r="Q399" s="4"/>
      <c r="R399" s="4"/>
      <c r="S399" s="4"/>
      <c r="T399" s="4"/>
      <c r="U399" s="4"/>
      <c r="V399" s="4"/>
      <c r="W399" s="4"/>
      <c r="X399" s="4"/>
      <c r="Y399" s="4"/>
    </row>
    <row r="400" spans="2:25" x14ac:dyDescent="0.25">
      <c r="B400" s="4"/>
      <c r="C400" s="4"/>
      <c r="D400" s="4"/>
      <c r="E400" s="4"/>
      <c r="F400" s="4"/>
      <c r="G400" s="4"/>
      <c r="H400" s="4"/>
      <c r="I400" s="4"/>
      <c r="J400" s="4"/>
      <c r="K400" s="4"/>
      <c r="L400" s="4"/>
      <c r="M400" s="4"/>
      <c r="N400" s="4"/>
      <c r="O400" s="4"/>
      <c r="P400" s="4"/>
      <c r="Q400" s="4"/>
      <c r="R400" s="4"/>
      <c r="S400" s="4"/>
      <c r="T400" s="4"/>
      <c r="U400" s="4"/>
      <c r="V400" s="4"/>
      <c r="W400" s="4"/>
      <c r="X400" s="4"/>
      <c r="Y400" s="4"/>
    </row>
    <row r="401" spans="2:25" x14ac:dyDescent="0.25">
      <c r="B401" s="4"/>
      <c r="C401" s="4"/>
      <c r="D401" s="4"/>
      <c r="E401" s="4"/>
      <c r="F401" s="4"/>
      <c r="G401" s="4"/>
      <c r="H401" s="4"/>
      <c r="I401" s="4"/>
      <c r="J401" s="4"/>
      <c r="K401" s="4"/>
      <c r="L401" s="4"/>
      <c r="M401" s="4"/>
      <c r="N401" s="4"/>
      <c r="O401" s="4"/>
      <c r="P401" s="4"/>
      <c r="Q401" s="4"/>
      <c r="R401" s="4"/>
      <c r="S401" s="4"/>
      <c r="T401" s="4"/>
      <c r="U401" s="4"/>
      <c r="V401" s="4"/>
      <c r="W401" s="4"/>
      <c r="X401" s="4"/>
      <c r="Y401" s="4"/>
    </row>
    <row r="402" spans="2:25" x14ac:dyDescent="0.25">
      <c r="B402" s="4"/>
      <c r="C402" s="4"/>
      <c r="D402" s="4"/>
      <c r="E402" s="4"/>
      <c r="F402" s="4"/>
      <c r="G402" s="4"/>
      <c r="H402" s="4"/>
      <c r="I402" s="4"/>
      <c r="J402" s="4"/>
      <c r="K402" s="4"/>
      <c r="L402" s="4"/>
      <c r="M402" s="4"/>
      <c r="N402" s="4"/>
      <c r="O402" s="4"/>
      <c r="P402" s="4"/>
      <c r="Q402" s="4"/>
      <c r="R402" s="4"/>
      <c r="S402" s="4"/>
      <c r="T402" s="4"/>
      <c r="U402" s="4"/>
      <c r="V402" s="4"/>
      <c r="W402" s="4"/>
      <c r="X402" s="4"/>
      <c r="Y402" s="4"/>
    </row>
    <row r="403" spans="2:25" x14ac:dyDescent="0.25">
      <c r="B403" s="4"/>
      <c r="C403" s="4"/>
      <c r="D403" s="4"/>
      <c r="E403" s="4"/>
      <c r="F403" s="4"/>
      <c r="G403" s="4"/>
      <c r="H403" s="4"/>
      <c r="I403" s="4"/>
      <c r="J403" s="4"/>
      <c r="K403" s="4"/>
      <c r="L403" s="4"/>
      <c r="M403" s="4"/>
      <c r="N403" s="4"/>
      <c r="O403" s="4"/>
      <c r="P403" s="4"/>
      <c r="Q403" s="4"/>
      <c r="R403" s="4"/>
      <c r="S403" s="4"/>
      <c r="T403" s="4"/>
      <c r="U403" s="4"/>
      <c r="V403" s="4"/>
      <c r="W403" s="4"/>
      <c r="X403" s="4"/>
      <c r="Y403" s="4"/>
    </row>
    <row r="404" spans="2:25" x14ac:dyDescent="0.25">
      <c r="B404" s="4"/>
      <c r="C404" s="4"/>
      <c r="D404" s="4"/>
      <c r="E404" s="4"/>
      <c r="F404" s="4"/>
      <c r="G404" s="4"/>
      <c r="H404" s="4"/>
      <c r="I404" s="4"/>
      <c r="J404" s="4"/>
      <c r="K404" s="4"/>
      <c r="L404" s="4"/>
      <c r="M404" s="4"/>
      <c r="N404" s="4"/>
      <c r="O404" s="4"/>
      <c r="P404" s="4"/>
      <c r="Q404" s="4"/>
      <c r="R404" s="4"/>
      <c r="S404" s="4"/>
      <c r="T404" s="4"/>
      <c r="U404" s="4"/>
      <c r="V404" s="4"/>
      <c r="W404" s="4"/>
      <c r="X404" s="4"/>
      <c r="Y404" s="4"/>
    </row>
    <row r="405" spans="2:25" x14ac:dyDescent="0.25">
      <c r="B405" s="4"/>
      <c r="C405" s="4"/>
      <c r="D405" s="4"/>
      <c r="E405" s="4"/>
      <c r="F405" s="4"/>
      <c r="G405" s="4"/>
      <c r="H405" s="4"/>
      <c r="I405" s="4"/>
      <c r="J405" s="4"/>
      <c r="K405" s="4"/>
      <c r="L405" s="4"/>
      <c r="M405" s="4"/>
      <c r="N405" s="4"/>
      <c r="O405" s="4"/>
      <c r="P405" s="4"/>
      <c r="Q405" s="4"/>
      <c r="R405" s="4"/>
      <c r="S405" s="4"/>
      <c r="T405" s="4"/>
      <c r="U405" s="4"/>
      <c r="V405" s="4"/>
      <c r="W405" s="4"/>
      <c r="X405" s="4"/>
      <c r="Y405" s="4"/>
    </row>
    <row r="406" spans="2:25" x14ac:dyDescent="0.25">
      <c r="B406" s="4"/>
      <c r="C406" s="4"/>
      <c r="D406" s="4"/>
      <c r="E406" s="4"/>
      <c r="F406" s="4"/>
      <c r="G406" s="4"/>
      <c r="H406" s="4"/>
      <c r="I406" s="4"/>
      <c r="J406" s="4"/>
      <c r="K406" s="4"/>
      <c r="L406" s="4"/>
      <c r="M406" s="4"/>
      <c r="N406" s="4"/>
      <c r="O406" s="4"/>
      <c r="P406" s="4"/>
      <c r="Q406" s="4"/>
      <c r="R406" s="4"/>
      <c r="S406" s="4"/>
      <c r="T406" s="4"/>
      <c r="U406" s="4"/>
      <c r="V406" s="4"/>
      <c r="W406" s="4"/>
      <c r="X406" s="4"/>
      <c r="Y406" s="4"/>
    </row>
    <row r="407" spans="2:25" x14ac:dyDescent="0.25">
      <c r="B407" s="4"/>
      <c r="C407" s="4"/>
      <c r="D407" s="4"/>
      <c r="E407" s="4"/>
      <c r="F407" s="4"/>
      <c r="G407" s="4"/>
      <c r="H407" s="4"/>
      <c r="I407" s="4"/>
      <c r="J407" s="4"/>
      <c r="K407" s="4"/>
      <c r="L407" s="4"/>
      <c r="M407" s="4"/>
      <c r="N407" s="4"/>
      <c r="O407" s="4"/>
      <c r="P407" s="4"/>
      <c r="Q407" s="4"/>
      <c r="R407" s="4"/>
      <c r="S407" s="4"/>
      <c r="T407" s="4"/>
      <c r="U407" s="4"/>
      <c r="V407" s="4"/>
      <c r="W407" s="4"/>
      <c r="X407" s="4"/>
      <c r="Y407" s="4"/>
    </row>
    <row r="408" spans="2:25" x14ac:dyDescent="0.25">
      <c r="B408" s="4"/>
      <c r="C408" s="4"/>
      <c r="D408" s="4"/>
      <c r="E408" s="4"/>
      <c r="F408" s="4"/>
      <c r="G408" s="4"/>
      <c r="H408" s="4"/>
      <c r="I408" s="4"/>
      <c r="J408" s="4"/>
      <c r="K408" s="4"/>
      <c r="L408" s="4"/>
      <c r="M408" s="4"/>
      <c r="N408" s="4"/>
      <c r="O408" s="4"/>
      <c r="P408" s="4"/>
      <c r="Q408" s="4"/>
      <c r="R408" s="4"/>
      <c r="S408" s="4"/>
      <c r="T408" s="4"/>
      <c r="U408" s="4"/>
      <c r="V408" s="4"/>
      <c r="W408" s="4"/>
      <c r="X408" s="4"/>
      <c r="Y408" s="4"/>
    </row>
    <row r="409" spans="2:25" x14ac:dyDescent="0.25">
      <c r="B409" s="4"/>
      <c r="C409" s="4"/>
      <c r="D409" s="4"/>
      <c r="E409" s="4"/>
      <c r="F409" s="4"/>
      <c r="G409" s="4"/>
      <c r="H409" s="4"/>
      <c r="I409" s="4"/>
      <c r="J409" s="4"/>
      <c r="K409" s="4"/>
      <c r="L409" s="4"/>
      <c r="M409" s="4"/>
      <c r="N409" s="4"/>
      <c r="O409" s="4"/>
      <c r="P409" s="4"/>
      <c r="Q409" s="4"/>
      <c r="R409" s="4"/>
      <c r="S409" s="4"/>
      <c r="T409" s="4"/>
      <c r="U409" s="4"/>
      <c r="V409" s="4"/>
      <c r="W409" s="4"/>
      <c r="X409" s="4"/>
      <c r="Y409" s="4"/>
    </row>
    <row r="410" spans="2:25" x14ac:dyDescent="0.25">
      <c r="B410" s="4"/>
      <c r="C410" s="4"/>
      <c r="D410" s="4"/>
      <c r="E410" s="4"/>
      <c r="F410" s="4"/>
      <c r="G410" s="4"/>
      <c r="H410" s="4"/>
      <c r="I410" s="4"/>
      <c r="J410" s="4"/>
      <c r="K410" s="4"/>
      <c r="L410" s="4"/>
      <c r="M410" s="4"/>
      <c r="N410" s="4"/>
      <c r="O410" s="4"/>
      <c r="P410" s="4"/>
      <c r="Q410" s="4"/>
      <c r="R410" s="4"/>
      <c r="S410" s="4"/>
      <c r="T410" s="4"/>
      <c r="U410" s="4"/>
      <c r="V410" s="4"/>
      <c r="W410" s="4"/>
      <c r="X410" s="4"/>
      <c r="Y410" s="4"/>
    </row>
    <row r="411" spans="2:25" x14ac:dyDescent="0.25">
      <c r="B411" s="4"/>
      <c r="C411" s="4"/>
      <c r="D411" s="4"/>
      <c r="E411" s="4"/>
      <c r="F411" s="4"/>
      <c r="G411" s="4"/>
      <c r="H411" s="4"/>
      <c r="I411" s="4"/>
      <c r="J411" s="4"/>
      <c r="K411" s="4"/>
      <c r="L411" s="4"/>
      <c r="M411" s="4"/>
      <c r="N411" s="4"/>
      <c r="O411" s="4"/>
      <c r="P411" s="4"/>
      <c r="Q411" s="4"/>
      <c r="R411" s="4"/>
      <c r="S411" s="4"/>
      <c r="T411" s="4"/>
      <c r="U411" s="4"/>
      <c r="V411" s="4"/>
      <c r="W411" s="4"/>
      <c r="X411" s="4"/>
      <c r="Y411" s="4"/>
    </row>
    <row r="412" spans="2:25" x14ac:dyDescent="0.25">
      <c r="B412" s="4"/>
      <c r="C412" s="4"/>
      <c r="D412" s="4"/>
      <c r="E412" s="4"/>
      <c r="F412" s="4"/>
      <c r="G412" s="4"/>
      <c r="H412" s="4"/>
      <c r="I412" s="4"/>
      <c r="J412" s="4"/>
      <c r="K412" s="4"/>
      <c r="L412" s="4"/>
      <c r="M412" s="4"/>
      <c r="N412" s="4"/>
      <c r="O412" s="4"/>
      <c r="P412" s="4"/>
      <c r="Q412" s="4"/>
      <c r="R412" s="4"/>
      <c r="S412" s="4"/>
      <c r="T412" s="4"/>
      <c r="U412" s="4"/>
      <c r="V412" s="4"/>
      <c r="W412" s="4"/>
      <c r="X412" s="4"/>
      <c r="Y412" s="4"/>
    </row>
    <row r="413" spans="2:25" x14ac:dyDescent="0.25">
      <c r="B413" s="4"/>
      <c r="C413" s="4"/>
      <c r="D413" s="4"/>
      <c r="E413" s="4"/>
      <c r="F413" s="4"/>
      <c r="G413" s="4"/>
      <c r="H413" s="4"/>
      <c r="I413" s="4"/>
      <c r="J413" s="4"/>
      <c r="K413" s="4"/>
      <c r="L413" s="4"/>
      <c r="M413" s="4"/>
      <c r="N413" s="4"/>
      <c r="O413" s="4"/>
      <c r="P413" s="4"/>
      <c r="Q413" s="4"/>
      <c r="R413" s="4"/>
      <c r="S413" s="4"/>
      <c r="T413" s="4"/>
      <c r="U413" s="4"/>
      <c r="V413" s="4"/>
      <c r="W413" s="4"/>
      <c r="X413" s="4"/>
      <c r="Y413" s="4"/>
    </row>
    <row r="414" spans="2:25" x14ac:dyDescent="0.25">
      <c r="B414" s="4"/>
      <c r="C414" s="4"/>
      <c r="D414" s="4"/>
      <c r="E414" s="4"/>
      <c r="F414" s="4"/>
      <c r="G414" s="4"/>
      <c r="H414" s="4"/>
      <c r="I414" s="4"/>
      <c r="J414" s="4"/>
      <c r="K414" s="4"/>
      <c r="L414" s="4"/>
      <c r="M414" s="4"/>
      <c r="N414" s="4"/>
      <c r="O414" s="4"/>
      <c r="P414" s="4"/>
      <c r="Q414" s="4"/>
      <c r="R414" s="4"/>
      <c r="S414" s="4"/>
      <c r="T414" s="4"/>
      <c r="U414" s="4"/>
      <c r="V414" s="4"/>
      <c r="W414" s="4"/>
      <c r="X414" s="4"/>
      <c r="Y414" s="4"/>
    </row>
    <row r="415" spans="2:25" x14ac:dyDescent="0.25">
      <c r="B415" s="4"/>
      <c r="C415" s="4"/>
      <c r="D415" s="4"/>
      <c r="E415" s="4"/>
      <c r="F415" s="4"/>
      <c r="G415" s="4"/>
      <c r="H415" s="4"/>
      <c r="I415" s="4"/>
      <c r="J415" s="4"/>
      <c r="K415" s="4"/>
      <c r="L415" s="4"/>
      <c r="M415" s="4"/>
      <c r="N415" s="4"/>
      <c r="O415" s="4"/>
      <c r="P415" s="4"/>
      <c r="Q415" s="4"/>
      <c r="R415" s="4"/>
      <c r="S415" s="4"/>
      <c r="T415" s="4"/>
      <c r="U415" s="4"/>
      <c r="V415" s="4"/>
      <c r="W415" s="4"/>
      <c r="X415" s="4"/>
      <c r="Y415" s="4"/>
    </row>
    <row r="416" spans="2:25" x14ac:dyDescent="0.25">
      <c r="B416" s="4"/>
      <c r="C416" s="4"/>
      <c r="D416" s="91" t="s">
        <v>210</v>
      </c>
      <c r="E416" s="28"/>
      <c r="F416" s="4"/>
      <c r="G416" s="4"/>
      <c r="H416" s="4"/>
      <c r="I416" s="4"/>
      <c r="J416" s="4"/>
      <c r="K416" s="4"/>
      <c r="L416" s="4"/>
      <c r="M416" s="4"/>
      <c r="N416" s="4"/>
      <c r="O416" s="4"/>
      <c r="P416" s="4"/>
      <c r="Q416" s="4"/>
      <c r="R416" s="4"/>
      <c r="S416" s="4"/>
      <c r="T416" s="4"/>
      <c r="U416" s="4"/>
      <c r="V416" s="4"/>
      <c r="W416" s="4"/>
      <c r="X416" s="4"/>
      <c r="Y416" s="4"/>
    </row>
    <row r="417" spans="2:25" x14ac:dyDescent="0.25">
      <c r="B417" s="4"/>
      <c r="C417" s="4"/>
      <c r="D417" s="91" t="s">
        <v>211</v>
      </c>
      <c r="E417" s="34"/>
      <c r="F417" s="4"/>
      <c r="G417" s="4"/>
      <c r="H417" s="4"/>
      <c r="I417" s="4"/>
      <c r="J417" s="4"/>
      <c r="K417" s="4"/>
      <c r="L417" s="4"/>
      <c r="M417" s="4"/>
      <c r="N417" s="4"/>
      <c r="O417" s="4"/>
      <c r="P417" s="4"/>
      <c r="Q417" s="4"/>
      <c r="R417" s="4"/>
      <c r="S417" s="4"/>
      <c r="T417" s="4"/>
      <c r="U417" s="4"/>
      <c r="V417" s="4"/>
      <c r="W417" s="4"/>
      <c r="X417" s="4"/>
      <c r="Y417" s="4"/>
    </row>
    <row r="418" spans="2:25" x14ac:dyDescent="0.25">
      <c r="B418" s="4"/>
      <c r="C418" s="4"/>
      <c r="D418" s="91" t="s">
        <v>212</v>
      </c>
      <c r="E418" s="181"/>
      <c r="F418" s="4"/>
      <c r="G418" s="4"/>
      <c r="H418" s="4"/>
      <c r="I418" s="4"/>
      <c r="J418" s="4"/>
      <c r="K418" s="4"/>
      <c r="L418" s="4"/>
      <c r="M418" s="4"/>
      <c r="N418" s="4"/>
      <c r="O418" s="4"/>
      <c r="P418" s="4"/>
      <c r="Q418" s="4"/>
      <c r="R418" s="4"/>
      <c r="S418" s="4"/>
      <c r="T418" s="4"/>
      <c r="U418" s="4"/>
      <c r="V418" s="4"/>
      <c r="W418" s="4"/>
      <c r="X418" s="4"/>
      <c r="Y418" s="4"/>
    </row>
    <row r="419" spans="2:25" x14ac:dyDescent="0.25">
      <c r="B419" s="4"/>
      <c r="C419" s="4"/>
      <c r="D419" s="91" t="s">
        <v>213</v>
      </c>
      <c r="E419" s="182"/>
      <c r="F419" s="4"/>
      <c r="G419" s="4"/>
      <c r="H419" s="4"/>
      <c r="I419" s="4"/>
      <c r="J419" s="4"/>
      <c r="K419" s="4"/>
      <c r="L419" s="4"/>
      <c r="M419" s="4"/>
      <c r="N419" s="4"/>
      <c r="O419" s="4"/>
      <c r="P419" s="4"/>
      <c r="Q419" s="4"/>
      <c r="R419" s="4"/>
      <c r="S419" s="4"/>
      <c r="T419" s="4"/>
      <c r="U419" s="4"/>
      <c r="V419" s="4"/>
      <c r="W419" s="4"/>
      <c r="X419" s="4"/>
      <c r="Y419" s="4"/>
    </row>
    <row r="420" spans="2:25" x14ac:dyDescent="0.25">
      <c r="B420" s="4"/>
      <c r="C420" s="4"/>
      <c r="D420" s="91" t="s">
        <v>214</v>
      </c>
      <c r="E420" s="19"/>
      <c r="F420" s="4"/>
      <c r="G420" s="4"/>
      <c r="H420" s="4"/>
      <c r="I420" s="4"/>
      <c r="J420" s="4"/>
      <c r="K420" s="4"/>
      <c r="L420" s="4"/>
      <c r="M420" s="4"/>
      <c r="N420" s="4"/>
      <c r="O420" s="4"/>
      <c r="P420" s="4"/>
      <c r="Q420" s="4"/>
      <c r="R420" s="4"/>
      <c r="S420" s="4"/>
      <c r="T420" s="4"/>
      <c r="U420" s="4"/>
      <c r="V420" s="4"/>
      <c r="W420" s="4"/>
      <c r="X420" s="4"/>
      <c r="Y420" s="4"/>
    </row>
    <row r="421" spans="2:25" x14ac:dyDescent="0.25">
      <c r="B421" s="4"/>
      <c r="C421" s="4"/>
      <c r="D421" s="4"/>
      <c r="E421" s="4"/>
      <c r="F421" s="4"/>
      <c r="G421" s="4"/>
      <c r="H421" s="4"/>
      <c r="I421" s="4"/>
      <c r="J421" s="4"/>
      <c r="K421" s="4"/>
      <c r="L421" s="4"/>
      <c r="M421" s="4"/>
      <c r="N421" s="4"/>
    </row>
  </sheetData>
  <dataValidations disablePrompts="1" count="3">
    <dataValidation type="list" allowBlank="1" showInputMessage="1" showErrorMessage="1" sqref="G361:H380 JC361:JD380 SY361:SZ380 ACU361:ACV380 AMQ361:AMR380 AWM361:AWN380 BGI361:BGJ380 BQE361:BQF380 CAA361:CAB380 CJW361:CJX380 CTS361:CTT380 DDO361:DDP380 DNK361:DNL380 DXG361:DXH380 EHC361:EHD380 EQY361:EQZ380 FAU361:FAV380 FKQ361:FKR380 FUM361:FUN380 GEI361:GEJ380 GOE361:GOF380 GYA361:GYB380 HHW361:HHX380 HRS361:HRT380 IBO361:IBP380 ILK361:ILL380 IVG361:IVH380 JFC361:JFD380 JOY361:JOZ380 JYU361:JYV380 KIQ361:KIR380 KSM361:KSN380 LCI361:LCJ380 LME361:LMF380 LWA361:LWB380 MFW361:MFX380 MPS361:MPT380 MZO361:MZP380 NJK361:NJL380 NTG361:NTH380 ODC361:ODD380 OMY361:OMZ380 OWU361:OWV380 PGQ361:PGR380 PQM361:PQN380 QAI361:QAJ380 QKE361:QKF380 QUA361:QUB380 RDW361:RDX380 RNS361:RNT380 RXO361:RXP380 SHK361:SHL380 SRG361:SRH380 TBC361:TBD380 TKY361:TKZ380 TUU361:TUV380 UEQ361:UER380 UOM361:UON380 UYI361:UYJ380 VIE361:VIF380 VSA361:VSB380 WBW361:WBX380 WLS361:WLT380 WVO361:WVP380 G65897:H65916 JC65897:JD65916 SY65897:SZ65916 ACU65897:ACV65916 AMQ65897:AMR65916 AWM65897:AWN65916 BGI65897:BGJ65916 BQE65897:BQF65916 CAA65897:CAB65916 CJW65897:CJX65916 CTS65897:CTT65916 DDO65897:DDP65916 DNK65897:DNL65916 DXG65897:DXH65916 EHC65897:EHD65916 EQY65897:EQZ65916 FAU65897:FAV65916 FKQ65897:FKR65916 FUM65897:FUN65916 GEI65897:GEJ65916 GOE65897:GOF65916 GYA65897:GYB65916 HHW65897:HHX65916 HRS65897:HRT65916 IBO65897:IBP65916 ILK65897:ILL65916 IVG65897:IVH65916 JFC65897:JFD65916 JOY65897:JOZ65916 JYU65897:JYV65916 KIQ65897:KIR65916 KSM65897:KSN65916 LCI65897:LCJ65916 LME65897:LMF65916 LWA65897:LWB65916 MFW65897:MFX65916 MPS65897:MPT65916 MZO65897:MZP65916 NJK65897:NJL65916 NTG65897:NTH65916 ODC65897:ODD65916 OMY65897:OMZ65916 OWU65897:OWV65916 PGQ65897:PGR65916 PQM65897:PQN65916 QAI65897:QAJ65916 QKE65897:QKF65916 QUA65897:QUB65916 RDW65897:RDX65916 RNS65897:RNT65916 RXO65897:RXP65916 SHK65897:SHL65916 SRG65897:SRH65916 TBC65897:TBD65916 TKY65897:TKZ65916 TUU65897:TUV65916 UEQ65897:UER65916 UOM65897:UON65916 UYI65897:UYJ65916 VIE65897:VIF65916 VSA65897:VSB65916 WBW65897:WBX65916 WLS65897:WLT65916 WVO65897:WVP65916 G131433:H131452 JC131433:JD131452 SY131433:SZ131452 ACU131433:ACV131452 AMQ131433:AMR131452 AWM131433:AWN131452 BGI131433:BGJ131452 BQE131433:BQF131452 CAA131433:CAB131452 CJW131433:CJX131452 CTS131433:CTT131452 DDO131433:DDP131452 DNK131433:DNL131452 DXG131433:DXH131452 EHC131433:EHD131452 EQY131433:EQZ131452 FAU131433:FAV131452 FKQ131433:FKR131452 FUM131433:FUN131452 GEI131433:GEJ131452 GOE131433:GOF131452 GYA131433:GYB131452 HHW131433:HHX131452 HRS131433:HRT131452 IBO131433:IBP131452 ILK131433:ILL131452 IVG131433:IVH131452 JFC131433:JFD131452 JOY131433:JOZ131452 JYU131433:JYV131452 KIQ131433:KIR131452 KSM131433:KSN131452 LCI131433:LCJ131452 LME131433:LMF131452 LWA131433:LWB131452 MFW131433:MFX131452 MPS131433:MPT131452 MZO131433:MZP131452 NJK131433:NJL131452 NTG131433:NTH131452 ODC131433:ODD131452 OMY131433:OMZ131452 OWU131433:OWV131452 PGQ131433:PGR131452 PQM131433:PQN131452 QAI131433:QAJ131452 QKE131433:QKF131452 QUA131433:QUB131452 RDW131433:RDX131452 RNS131433:RNT131452 RXO131433:RXP131452 SHK131433:SHL131452 SRG131433:SRH131452 TBC131433:TBD131452 TKY131433:TKZ131452 TUU131433:TUV131452 UEQ131433:UER131452 UOM131433:UON131452 UYI131433:UYJ131452 VIE131433:VIF131452 VSA131433:VSB131452 WBW131433:WBX131452 WLS131433:WLT131452 WVO131433:WVP131452 G196969:H196988 JC196969:JD196988 SY196969:SZ196988 ACU196969:ACV196988 AMQ196969:AMR196988 AWM196969:AWN196988 BGI196969:BGJ196988 BQE196969:BQF196988 CAA196969:CAB196988 CJW196969:CJX196988 CTS196969:CTT196988 DDO196969:DDP196988 DNK196969:DNL196988 DXG196969:DXH196988 EHC196969:EHD196988 EQY196969:EQZ196988 FAU196969:FAV196988 FKQ196969:FKR196988 FUM196969:FUN196988 GEI196969:GEJ196988 GOE196969:GOF196988 GYA196969:GYB196988 HHW196969:HHX196988 HRS196969:HRT196988 IBO196969:IBP196988 ILK196969:ILL196988 IVG196969:IVH196988 JFC196969:JFD196988 JOY196969:JOZ196988 JYU196969:JYV196988 KIQ196969:KIR196988 KSM196969:KSN196988 LCI196969:LCJ196988 LME196969:LMF196988 LWA196969:LWB196988 MFW196969:MFX196988 MPS196969:MPT196988 MZO196969:MZP196988 NJK196969:NJL196988 NTG196969:NTH196988 ODC196969:ODD196988 OMY196969:OMZ196988 OWU196969:OWV196988 PGQ196969:PGR196988 PQM196969:PQN196988 QAI196969:QAJ196988 QKE196969:QKF196988 QUA196969:QUB196988 RDW196969:RDX196988 RNS196969:RNT196988 RXO196969:RXP196988 SHK196969:SHL196988 SRG196969:SRH196988 TBC196969:TBD196988 TKY196969:TKZ196988 TUU196969:TUV196988 UEQ196969:UER196988 UOM196969:UON196988 UYI196969:UYJ196988 VIE196969:VIF196988 VSA196969:VSB196988 WBW196969:WBX196988 WLS196969:WLT196988 WVO196969:WVP196988 G262505:H262524 JC262505:JD262524 SY262505:SZ262524 ACU262505:ACV262524 AMQ262505:AMR262524 AWM262505:AWN262524 BGI262505:BGJ262524 BQE262505:BQF262524 CAA262505:CAB262524 CJW262505:CJX262524 CTS262505:CTT262524 DDO262505:DDP262524 DNK262505:DNL262524 DXG262505:DXH262524 EHC262505:EHD262524 EQY262505:EQZ262524 FAU262505:FAV262524 FKQ262505:FKR262524 FUM262505:FUN262524 GEI262505:GEJ262524 GOE262505:GOF262524 GYA262505:GYB262524 HHW262505:HHX262524 HRS262505:HRT262524 IBO262505:IBP262524 ILK262505:ILL262524 IVG262505:IVH262524 JFC262505:JFD262524 JOY262505:JOZ262524 JYU262505:JYV262524 KIQ262505:KIR262524 KSM262505:KSN262524 LCI262505:LCJ262524 LME262505:LMF262524 LWA262505:LWB262524 MFW262505:MFX262524 MPS262505:MPT262524 MZO262505:MZP262524 NJK262505:NJL262524 NTG262505:NTH262524 ODC262505:ODD262524 OMY262505:OMZ262524 OWU262505:OWV262524 PGQ262505:PGR262524 PQM262505:PQN262524 QAI262505:QAJ262524 QKE262505:QKF262524 QUA262505:QUB262524 RDW262505:RDX262524 RNS262505:RNT262524 RXO262505:RXP262524 SHK262505:SHL262524 SRG262505:SRH262524 TBC262505:TBD262524 TKY262505:TKZ262524 TUU262505:TUV262524 UEQ262505:UER262524 UOM262505:UON262524 UYI262505:UYJ262524 VIE262505:VIF262524 VSA262505:VSB262524 WBW262505:WBX262524 WLS262505:WLT262524 WVO262505:WVP262524 G328041:H328060 JC328041:JD328060 SY328041:SZ328060 ACU328041:ACV328060 AMQ328041:AMR328060 AWM328041:AWN328060 BGI328041:BGJ328060 BQE328041:BQF328060 CAA328041:CAB328060 CJW328041:CJX328060 CTS328041:CTT328060 DDO328041:DDP328060 DNK328041:DNL328060 DXG328041:DXH328060 EHC328041:EHD328060 EQY328041:EQZ328060 FAU328041:FAV328060 FKQ328041:FKR328060 FUM328041:FUN328060 GEI328041:GEJ328060 GOE328041:GOF328060 GYA328041:GYB328060 HHW328041:HHX328060 HRS328041:HRT328060 IBO328041:IBP328060 ILK328041:ILL328060 IVG328041:IVH328060 JFC328041:JFD328060 JOY328041:JOZ328060 JYU328041:JYV328060 KIQ328041:KIR328060 KSM328041:KSN328060 LCI328041:LCJ328060 LME328041:LMF328060 LWA328041:LWB328060 MFW328041:MFX328060 MPS328041:MPT328060 MZO328041:MZP328060 NJK328041:NJL328060 NTG328041:NTH328060 ODC328041:ODD328060 OMY328041:OMZ328060 OWU328041:OWV328060 PGQ328041:PGR328060 PQM328041:PQN328060 QAI328041:QAJ328060 QKE328041:QKF328060 QUA328041:QUB328060 RDW328041:RDX328060 RNS328041:RNT328060 RXO328041:RXP328060 SHK328041:SHL328060 SRG328041:SRH328060 TBC328041:TBD328060 TKY328041:TKZ328060 TUU328041:TUV328060 UEQ328041:UER328060 UOM328041:UON328060 UYI328041:UYJ328060 VIE328041:VIF328060 VSA328041:VSB328060 WBW328041:WBX328060 WLS328041:WLT328060 WVO328041:WVP328060 G393577:H393596 JC393577:JD393596 SY393577:SZ393596 ACU393577:ACV393596 AMQ393577:AMR393596 AWM393577:AWN393596 BGI393577:BGJ393596 BQE393577:BQF393596 CAA393577:CAB393596 CJW393577:CJX393596 CTS393577:CTT393596 DDO393577:DDP393596 DNK393577:DNL393596 DXG393577:DXH393596 EHC393577:EHD393596 EQY393577:EQZ393596 FAU393577:FAV393596 FKQ393577:FKR393596 FUM393577:FUN393596 GEI393577:GEJ393596 GOE393577:GOF393596 GYA393577:GYB393596 HHW393577:HHX393596 HRS393577:HRT393596 IBO393577:IBP393596 ILK393577:ILL393596 IVG393577:IVH393596 JFC393577:JFD393596 JOY393577:JOZ393596 JYU393577:JYV393596 KIQ393577:KIR393596 KSM393577:KSN393596 LCI393577:LCJ393596 LME393577:LMF393596 LWA393577:LWB393596 MFW393577:MFX393596 MPS393577:MPT393596 MZO393577:MZP393596 NJK393577:NJL393596 NTG393577:NTH393596 ODC393577:ODD393596 OMY393577:OMZ393596 OWU393577:OWV393596 PGQ393577:PGR393596 PQM393577:PQN393596 QAI393577:QAJ393596 QKE393577:QKF393596 QUA393577:QUB393596 RDW393577:RDX393596 RNS393577:RNT393596 RXO393577:RXP393596 SHK393577:SHL393596 SRG393577:SRH393596 TBC393577:TBD393596 TKY393577:TKZ393596 TUU393577:TUV393596 UEQ393577:UER393596 UOM393577:UON393596 UYI393577:UYJ393596 VIE393577:VIF393596 VSA393577:VSB393596 WBW393577:WBX393596 WLS393577:WLT393596 WVO393577:WVP393596 G459113:H459132 JC459113:JD459132 SY459113:SZ459132 ACU459113:ACV459132 AMQ459113:AMR459132 AWM459113:AWN459132 BGI459113:BGJ459132 BQE459113:BQF459132 CAA459113:CAB459132 CJW459113:CJX459132 CTS459113:CTT459132 DDO459113:DDP459132 DNK459113:DNL459132 DXG459113:DXH459132 EHC459113:EHD459132 EQY459113:EQZ459132 FAU459113:FAV459132 FKQ459113:FKR459132 FUM459113:FUN459132 GEI459113:GEJ459132 GOE459113:GOF459132 GYA459113:GYB459132 HHW459113:HHX459132 HRS459113:HRT459132 IBO459113:IBP459132 ILK459113:ILL459132 IVG459113:IVH459132 JFC459113:JFD459132 JOY459113:JOZ459132 JYU459113:JYV459132 KIQ459113:KIR459132 KSM459113:KSN459132 LCI459113:LCJ459132 LME459113:LMF459132 LWA459113:LWB459132 MFW459113:MFX459132 MPS459113:MPT459132 MZO459113:MZP459132 NJK459113:NJL459132 NTG459113:NTH459132 ODC459113:ODD459132 OMY459113:OMZ459132 OWU459113:OWV459132 PGQ459113:PGR459132 PQM459113:PQN459132 QAI459113:QAJ459132 QKE459113:QKF459132 QUA459113:QUB459132 RDW459113:RDX459132 RNS459113:RNT459132 RXO459113:RXP459132 SHK459113:SHL459132 SRG459113:SRH459132 TBC459113:TBD459132 TKY459113:TKZ459132 TUU459113:TUV459132 UEQ459113:UER459132 UOM459113:UON459132 UYI459113:UYJ459132 VIE459113:VIF459132 VSA459113:VSB459132 WBW459113:WBX459132 WLS459113:WLT459132 WVO459113:WVP459132 G524649:H524668 JC524649:JD524668 SY524649:SZ524668 ACU524649:ACV524668 AMQ524649:AMR524668 AWM524649:AWN524668 BGI524649:BGJ524668 BQE524649:BQF524668 CAA524649:CAB524668 CJW524649:CJX524668 CTS524649:CTT524668 DDO524649:DDP524668 DNK524649:DNL524668 DXG524649:DXH524668 EHC524649:EHD524668 EQY524649:EQZ524668 FAU524649:FAV524668 FKQ524649:FKR524668 FUM524649:FUN524668 GEI524649:GEJ524668 GOE524649:GOF524668 GYA524649:GYB524668 HHW524649:HHX524668 HRS524649:HRT524668 IBO524649:IBP524668 ILK524649:ILL524668 IVG524649:IVH524668 JFC524649:JFD524668 JOY524649:JOZ524668 JYU524649:JYV524668 KIQ524649:KIR524668 KSM524649:KSN524668 LCI524649:LCJ524668 LME524649:LMF524668 LWA524649:LWB524668 MFW524649:MFX524668 MPS524649:MPT524668 MZO524649:MZP524668 NJK524649:NJL524668 NTG524649:NTH524668 ODC524649:ODD524668 OMY524649:OMZ524668 OWU524649:OWV524668 PGQ524649:PGR524668 PQM524649:PQN524668 QAI524649:QAJ524668 QKE524649:QKF524668 QUA524649:QUB524668 RDW524649:RDX524668 RNS524649:RNT524668 RXO524649:RXP524668 SHK524649:SHL524668 SRG524649:SRH524668 TBC524649:TBD524668 TKY524649:TKZ524668 TUU524649:TUV524668 UEQ524649:UER524668 UOM524649:UON524668 UYI524649:UYJ524668 VIE524649:VIF524668 VSA524649:VSB524668 WBW524649:WBX524668 WLS524649:WLT524668 WVO524649:WVP524668 G590185:H590204 JC590185:JD590204 SY590185:SZ590204 ACU590185:ACV590204 AMQ590185:AMR590204 AWM590185:AWN590204 BGI590185:BGJ590204 BQE590185:BQF590204 CAA590185:CAB590204 CJW590185:CJX590204 CTS590185:CTT590204 DDO590185:DDP590204 DNK590185:DNL590204 DXG590185:DXH590204 EHC590185:EHD590204 EQY590185:EQZ590204 FAU590185:FAV590204 FKQ590185:FKR590204 FUM590185:FUN590204 GEI590185:GEJ590204 GOE590185:GOF590204 GYA590185:GYB590204 HHW590185:HHX590204 HRS590185:HRT590204 IBO590185:IBP590204 ILK590185:ILL590204 IVG590185:IVH590204 JFC590185:JFD590204 JOY590185:JOZ590204 JYU590185:JYV590204 KIQ590185:KIR590204 KSM590185:KSN590204 LCI590185:LCJ590204 LME590185:LMF590204 LWA590185:LWB590204 MFW590185:MFX590204 MPS590185:MPT590204 MZO590185:MZP590204 NJK590185:NJL590204 NTG590185:NTH590204 ODC590185:ODD590204 OMY590185:OMZ590204 OWU590185:OWV590204 PGQ590185:PGR590204 PQM590185:PQN590204 QAI590185:QAJ590204 QKE590185:QKF590204 QUA590185:QUB590204 RDW590185:RDX590204 RNS590185:RNT590204 RXO590185:RXP590204 SHK590185:SHL590204 SRG590185:SRH590204 TBC590185:TBD590204 TKY590185:TKZ590204 TUU590185:TUV590204 UEQ590185:UER590204 UOM590185:UON590204 UYI590185:UYJ590204 VIE590185:VIF590204 VSA590185:VSB590204 WBW590185:WBX590204 WLS590185:WLT590204 WVO590185:WVP590204 G655721:H655740 JC655721:JD655740 SY655721:SZ655740 ACU655721:ACV655740 AMQ655721:AMR655740 AWM655721:AWN655740 BGI655721:BGJ655740 BQE655721:BQF655740 CAA655721:CAB655740 CJW655721:CJX655740 CTS655721:CTT655740 DDO655721:DDP655740 DNK655721:DNL655740 DXG655721:DXH655740 EHC655721:EHD655740 EQY655721:EQZ655740 FAU655721:FAV655740 FKQ655721:FKR655740 FUM655721:FUN655740 GEI655721:GEJ655740 GOE655721:GOF655740 GYA655721:GYB655740 HHW655721:HHX655740 HRS655721:HRT655740 IBO655721:IBP655740 ILK655721:ILL655740 IVG655721:IVH655740 JFC655721:JFD655740 JOY655721:JOZ655740 JYU655721:JYV655740 KIQ655721:KIR655740 KSM655721:KSN655740 LCI655721:LCJ655740 LME655721:LMF655740 LWA655721:LWB655740 MFW655721:MFX655740 MPS655721:MPT655740 MZO655721:MZP655740 NJK655721:NJL655740 NTG655721:NTH655740 ODC655721:ODD655740 OMY655721:OMZ655740 OWU655721:OWV655740 PGQ655721:PGR655740 PQM655721:PQN655740 QAI655721:QAJ655740 QKE655721:QKF655740 QUA655721:QUB655740 RDW655721:RDX655740 RNS655721:RNT655740 RXO655721:RXP655740 SHK655721:SHL655740 SRG655721:SRH655740 TBC655721:TBD655740 TKY655721:TKZ655740 TUU655721:TUV655740 UEQ655721:UER655740 UOM655721:UON655740 UYI655721:UYJ655740 VIE655721:VIF655740 VSA655721:VSB655740 WBW655721:WBX655740 WLS655721:WLT655740 WVO655721:WVP655740 G721257:H721276 JC721257:JD721276 SY721257:SZ721276 ACU721257:ACV721276 AMQ721257:AMR721276 AWM721257:AWN721276 BGI721257:BGJ721276 BQE721257:BQF721276 CAA721257:CAB721276 CJW721257:CJX721276 CTS721257:CTT721276 DDO721257:DDP721276 DNK721257:DNL721276 DXG721257:DXH721276 EHC721257:EHD721276 EQY721257:EQZ721276 FAU721257:FAV721276 FKQ721257:FKR721276 FUM721257:FUN721276 GEI721257:GEJ721276 GOE721257:GOF721276 GYA721257:GYB721276 HHW721257:HHX721276 HRS721257:HRT721276 IBO721257:IBP721276 ILK721257:ILL721276 IVG721257:IVH721276 JFC721257:JFD721276 JOY721257:JOZ721276 JYU721257:JYV721276 KIQ721257:KIR721276 KSM721257:KSN721276 LCI721257:LCJ721276 LME721257:LMF721276 LWA721257:LWB721276 MFW721257:MFX721276 MPS721257:MPT721276 MZO721257:MZP721276 NJK721257:NJL721276 NTG721257:NTH721276 ODC721257:ODD721276 OMY721257:OMZ721276 OWU721257:OWV721276 PGQ721257:PGR721276 PQM721257:PQN721276 QAI721257:QAJ721276 QKE721257:QKF721276 QUA721257:QUB721276 RDW721257:RDX721276 RNS721257:RNT721276 RXO721257:RXP721276 SHK721257:SHL721276 SRG721257:SRH721276 TBC721257:TBD721276 TKY721257:TKZ721276 TUU721257:TUV721276 UEQ721257:UER721276 UOM721257:UON721276 UYI721257:UYJ721276 VIE721257:VIF721276 VSA721257:VSB721276 WBW721257:WBX721276 WLS721257:WLT721276 WVO721257:WVP721276 G786793:H786812 JC786793:JD786812 SY786793:SZ786812 ACU786793:ACV786812 AMQ786793:AMR786812 AWM786793:AWN786812 BGI786793:BGJ786812 BQE786793:BQF786812 CAA786793:CAB786812 CJW786793:CJX786812 CTS786793:CTT786812 DDO786793:DDP786812 DNK786793:DNL786812 DXG786793:DXH786812 EHC786793:EHD786812 EQY786793:EQZ786812 FAU786793:FAV786812 FKQ786793:FKR786812 FUM786793:FUN786812 GEI786793:GEJ786812 GOE786793:GOF786812 GYA786793:GYB786812 HHW786793:HHX786812 HRS786793:HRT786812 IBO786793:IBP786812 ILK786793:ILL786812 IVG786793:IVH786812 JFC786793:JFD786812 JOY786793:JOZ786812 JYU786793:JYV786812 KIQ786793:KIR786812 KSM786793:KSN786812 LCI786793:LCJ786812 LME786793:LMF786812 LWA786793:LWB786812 MFW786793:MFX786812 MPS786793:MPT786812 MZO786793:MZP786812 NJK786793:NJL786812 NTG786793:NTH786812 ODC786793:ODD786812 OMY786793:OMZ786812 OWU786793:OWV786812 PGQ786793:PGR786812 PQM786793:PQN786812 QAI786793:QAJ786812 QKE786793:QKF786812 QUA786793:QUB786812 RDW786793:RDX786812 RNS786793:RNT786812 RXO786793:RXP786812 SHK786793:SHL786812 SRG786793:SRH786812 TBC786793:TBD786812 TKY786793:TKZ786812 TUU786793:TUV786812 UEQ786793:UER786812 UOM786793:UON786812 UYI786793:UYJ786812 VIE786793:VIF786812 VSA786793:VSB786812 WBW786793:WBX786812 WLS786793:WLT786812 WVO786793:WVP786812 G852329:H852348 JC852329:JD852348 SY852329:SZ852348 ACU852329:ACV852348 AMQ852329:AMR852348 AWM852329:AWN852348 BGI852329:BGJ852348 BQE852329:BQF852348 CAA852329:CAB852348 CJW852329:CJX852348 CTS852329:CTT852348 DDO852329:DDP852348 DNK852329:DNL852348 DXG852329:DXH852348 EHC852329:EHD852348 EQY852329:EQZ852348 FAU852329:FAV852348 FKQ852329:FKR852348 FUM852329:FUN852348 GEI852329:GEJ852348 GOE852329:GOF852348 GYA852329:GYB852348 HHW852329:HHX852348 HRS852329:HRT852348 IBO852329:IBP852348 ILK852329:ILL852348 IVG852329:IVH852348 JFC852329:JFD852348 JOY852329:JOZ852348 JYU852329:JYV852348 KIQ852329:KIR852348 KSM852329:KSN852348 LCI852329:LCJ852348 LME852329:LMF852348 LWA852329:LWB852348 MFW852329:MFX852348 MPS852329:MPT852348 MZO852329:MZP852348 NJK852329:NJL852348 NTG852329:NTH852348 ODC852329:ODD852348 OMY852329:OMZ852348 OWU852329:OWV852348 PGQ852329:PGR852348 PQM852329:PQN852348 QAI852329:QAJ852348 QKE852329:QKF852348 QUA852329:QUB852348 RDW852329:RDX852348 RNS852329:RNT852348 RXO852329:RXP852348 SHK852329:SHL852348 SRG852329:SRH852348 TBC852329:TBD852348 TKY852329:TKZ852348 TUU852329:TUV852348 UEQ852329:UER852348 UOM852329:UON852348 UYI852329:UYJ852348 VIE852329:VIF852348 VSA852329:VSB852348 WBW852329:WBX852348 WLS852329:WLT852348 WVO852329:WVP852348 G917865:H917884 JC917865:JD917884 SY917865:SZ917884 ACU917865:ACV917884 AMQ917865:AMR917884 AWM917865:AWN917884 BGI917865:BGJ917884 BQE917865:BQF917884 CAA917865:CAB917884 CJW917865:CJX917884 CTS917865:CTT917884 DDO917865:DDP917884 DNK917865:DNL917884 DXG917865:DXH917884 EHC917865:EHD917884 EQY917865:EQZ917884 FAU917865:FAV917884 FKQ917865:FKR917884 FUM917865:FUN917884 GEI917865:GEJ917884 GOE917865:GOF917884 GYA917865:GYB917884 HHW917865:HHX917884 HRS917865:HRT917884 IBO917865:IBP917884 ILK917865:ILL917884 IVG917865:IVH917884 JFC917865:JFD917884 JOY917865:JOZ917884 JYU917865:JYV917884 KIQ917865:KIR917884 KSM917865:KSN917884 LCI917865:LCJ917884 LME917865:LMF917884 LWA917865:LWB917884 MFW917865:MFX917884 MPS917865:MPT917884 MZO917865:MZP917884 NJK917865:NJL917884 NTG917865:NTH917884 ODC917865:ODD917884 OMY917865:OMZ917884 OWU917865:OWV917884 PGQ917865:PGR917884 PQM917865:PQN917884 QAI917865:QAJ917884 QKE917865:QKF917884 QUA917865:QUB917884 RDW917865:RDX917884 RNS917865:RNT917884 RXO917865:RXP917884 SHK917865:SHL917884 SRG917865:SRH917884 TBC917865:TBD917884 TKY917865:TKZ917884 TUU917865:TUV917884 UEQ917865:UER917884 UOM917865:UON917884 UYI917865:UYJ917884 VIE917865:VIF917884 VSA917865:VSB917884 WBW917865:WBX917884 WLS917865:WLT917884 WVO917865:WVP917884 G983401:H983420 JC983401:JD983420 SY983401:SZ983420 ACU983401:ACV983420 AMQ983401:AMR983420 AWM983401:AWN983420 BGI983401:BGJ983420 BQE983401:BQF983420 CAA983401:CAB983420 CJW983401:CJX983420 CTS983401:CTT983420 DDO983401:DDP983420 DNK983401:DNL983420 DXG983401:DXH983420 EHC983401:EHD983420 EQY983401:EQZ983420 FAU983401:FAV983420 FKQ983401:FKR983420 FUM983401:FUN983420 GEI983401:GEJ983420 GOE983401:GOF983420 GYA983401:GYB983420 HHW983401:HHX983420 HRS983401:HRT983420 IBO983401:IBP983420 ILK983401:ILL983420 IVG983401:IVH983420 JFC983401:JFD983420 JOY983401:JOZ983420 JYU983401:JYV983420 KIQ983401:KIR983420 KSM983401:KSN983420 LCI983401:LCJ983420 LME983401:LMF983420 LWA983401:LWB983420 MFW983401:MFX983420 MPS983401:MPT983420 MZO983401:MZP983420 NJK983401:NJL983420 NTG983401:NTH983420 ODC983401:ODD983420 OMY983401:OMZ983420 OWU983401:OWV983420 PGQ983401:PGR983420 PQM983401:PQN983420 QAI983401:QAJ983420 QKE983401:QKF983420 QUA983401:QUB983420 RDW983401:RDX983420 RNS983401:RNT983420 RXO983401:RXP983420 SHK983401:SHL983420 SRG983401:SRH983420 TBC983401:TBD983420 TKY983401:TKZ983420 TUU983401:TUV983420 UEQ983401:UER983420 UOM983401:UON983420 UYI983401:UYJ983420 VIE983401:VIF983420 VSA983401:VSB983420 WBW983401:WBX983420 WLS983401:WLT983420 WVO983401:WVP983420">
      <formula1>$J$360:$J$364</formula1>
    </dataValidation>
    <dataValidation type="list" allowBlank="1" showInputMessage="1" showErrorMessage="1" sqref="WVN983186 JB146 SX146 ACT146 AMP146 AWL146 BGH146 BQD146 BZZ146 CJV146 CTR146 DDN146 DNJ146 DXF146 EHB146 EQX146 FAT146 FKP146 FUL146 GEH146 GOD146 GXZ146 HHV146 HRR146 IBN146 ILJ146 IVF146 JFB146 JOX146 JYT146 KIP146 KSL146 LCH146 LMD146 LVZ146 MFV146 MPR146 MZN146 NJJ146 NTF146 ODB146 OMX146 OWT146 PGP146 PQL146 QAH146 QKD146 QTZ146 RDV146 RNR146 RXN146 SHJ146 SRF146 TBB146 TKX146 TUT146 UEP146 UOL146 UYH146 VID146 VRZ146 WBV146 WLR146 WVN146 F65682 JB65682 SX65682 ACT65682 AMP65682 AWL65682 BGH65682 BQD65682 BZZ65682 CJV65682 CTR65682 DDN65682 DNJ65682 DXF65682 EHB65682 EQX65682 FAT65682 FKP65682 FUL65682 GEH65682 GOD65682 GXZ65682 HHV65682 HRR65682 IBN65682 ILJ65682 IVF65682 JFB65682 JOX65682 JYT65682 KIP65682 KSL65682 LCH65682 LMD65682 LVZ65682 MFV65682 MPR65682 MZN65682 NJJ65682 NTF65682 ODB65682 OMX65682 OWT65682 PGP65682 PQL65682 QAH65682 QKD65682 QTZ65682 RDV65682 RNR65682 RXN65682 SHJ65682 SRF65682 TBB65682 TKX65682 TUT65682 UEP65682 UOL65682 UYH65682 VID65682 VRZ65682 WBV65682 WLR65682 WVN65682 F131218 JB131218 SX131218 ACT131218 AMP131218 AWL131218 BGH131218 BQD131218 BZZ131218 CJV131218 CTR131218 DDN131218 DNJ131218 DXF131218 EHB131218 EQX131218 FAT131218 FKP131218 FUL131218 GEH131218 GOD131218 GXZ131218 HHV131218 HRR131218 IBN131218 ILJ131218 IVF131218 JFB131218 JOX131218 JYT131218 KIP131218 KSL131218 LCH131218 LMD131218 LVZ131218 MFV131218 MPR131218 MZN131218 NJJ131218 NTF131218 ODB131218 OMX131218 OWT131218 PGP131218 PQL131218 QAH131218 QKD131218 QTZ131218 RDV131218 RNR131218 RXN131218 SHJ131218 SRF131218 TBB131218 TKX131218 TUT131218 UEP131218 UOL131218 UYH131218 VID131218 VRZ131218 WBV131218 WLR131218 WVN131218 F196754 JB196754 SX196754 ACT196754 AMP196754 AWL196754 BGH196754 BQD196754 BZZ196754 CJV196754 CTR196754 DDN196754 DNJ196754 DXF196754 EHB196754 EQX196754 FAT196754 FKP196754 FUL196754 GEH196754 GOD196754 GXZ196754 HHV196754 HRR196754 IBN196754 ILJ196754 IVF196754 JFB196754 JOX196754 JYT196754 KIP196754 KSL196754 LCH196754 LMD196754 LVZ196754 MFV196754 MPR196754 MZN196754 NJJ196754 NTF196754 ODB196754 OMX196754 OWT196754 PGP196754 PQL196754 QAH196754 QKD196754 QTZ196754 RDV196754 RNR196754 RXN196754 SHJ196754 SRF196754 TBB196754 TKX196754 TUT196754 UEP196754 UOL196754 UYH196754 VID196754 VRZ196754 WBV196754 WLR196754 WVN196754 F262290 JB262290 SX262290 ACT262290 AMP262290 AWL262290 BGH262290 BQD262290 BZZ262290 CJV262290 CTR262290 DDN262290 DNJ262290 DXF262290 EHB262290 EQX262290 FAT262290 FKP262290 FUL262290 GEH262290 GOD262290 GXZ262290 HHV262290 HRR262290 IBN262290 ILJ262290 IVF262290 JFB262290 JOX262290 JYT262290 KIP262290 KSL262290 LCH262290 LMD262290 LVZ262290 MFV262290 MPR262290 MZN262290 NJJ262290 NTF262290 ODB262290 OMX262290 OWT262290 PGP262290 PQL262290 QAH262290 QKD262290 QTZ262290 RDV262290 RNR262290 RXN262290 SHJ262290 SRF262290 TBB262290 TKX262290 TUT262290 UEP262290 UOL262290 UYH262290 VID262290 VRZ262290 WBV262290 WLR262290 WVN262290 F327826 JB327826 SX327826 ACT327826 AMP327826 AWL327826 BGH327826 BQD327826 BZZ327826 CJV327826 CTR327826 DDN327826 DNJ327826 DXF327826 EHB327826 EQX327826 FAT327826 FKP327826 FUL327826 GEH327826 GOD327826 GXZ327826 HHV327826 HRR327826 IBN327826 ILJ327826 IVF327826 JFB327826 JOX327826 JYT327826 KIP327826 KSL327826 LCH327826 LMD327826 LVZ327826 MFV327826 MPR327826 MZN327826 NJJ327826 NTF327826 ODB327826 OMX327826 OWT327826 PGP327826 PQL327826 QAH327826 QKD327826 QTZ327826 RDV327826 RNR327826 RXN327826 SHJ327826 SRF327826 TBB327826 TKX327826 TUT327826 UEP327826 UOL327826 UYH327826 VID327826 VRZ327826 WBV327826 WLR327826 WVN327826 F393362 JB393362 SX393362 ACT393362 AMP393362 AWL393362 BGH393362 BQD393362 BZZ393362 CJV393362 CTR393362 DDN393362 DNJ393362 DXF393362 EHB393362 EQX393362 FAT393362 FKP393362 FUL393362 GEH393362 GOD393362 GXZ393362 HHV393362 HRR393362 IBN393362 ILJ393362 IVF393362 JFB393362 JOX393362 JYT393362 KIP393362 KSL393362 LCH393362 LMD393362 LVZ393362 MFV393362 MPR393362 MZN393362 NJJ393362 NTF393362 ODB393362 OMX393362 OWT393362 PGP393362 PQL393362 QAH393362 QKD393362 QTZ393362 RDV393362 RNR393362 RXN393362 SHJ393362 SRF393362 TBB393362 TKX393362 TUT393362 UEP393362 UOL393362 UYH393362 VID393362 VRZ393362 WBV393362 WLR393362 WVN393362 F458898 JB458898 SX458898 ACT458898 AMP458898 AWL458898 BGH458898 BQD458898 BZZ458898 CJV458898 CTR458898 DDN458898 DNJ458898 DXF458898 EHB458898 EQX458898 FAT458898 FKP458898 FUL458898 GEH458898 GOD458898 GXZ458898 HHV458898 HRR458898 IBN458898 ILJ458898 IVF458898 JFB458898 JOX458898 JYT458898 KIP458898 KSL458898 LCH458898 LMD458898 LVZ458898 MFV458898 MPR458898 MZN458898 NJJ458898 NTF458898 ODB458898 OMX458898 OWT458898 PGP458898 PQL458898 QAH458898 QKD458898 QTZ458898 RDV458898 RNR458898 RXN458898 SHJ458898 SRF458898 TBB458898 TKX458898 TUT458898 UEP458898 UOL458898 UYH458898 VID458898 VRZ458898 WBV458898 WLR458898 WVN458898 F524434 JB524434 SX524434 ACT524434 AMP524434 AWL524434 BGH524434 BQD524434 BZZ524434 CJV524434 CTR524434 DDN524434 DNJ524434 DXF524434 EHB524434 EQX524434 FAT524434 FKP524434 FUL524434 GEH524434 GOD524434 GXZ524434 HHV524434 HRR524434 IBN524434 ILJ524434 IVF524434 JFB524434 JOX524434 JYT524434 KIP524434 KSL524434 LCH524434 LMD524434 LVZ524434 MFV524434 MPR524434 MZN524434 NJJ524434 NTF524434 ODB524434 OMX524434 OWT524434 PGP524434 PQL524434 QAH524434 QKD524434 QTZ524434 RDV524434 RNR524434 RXN524434 SHJ524434 SRF524434 TBB524434 TKX524434 TUT524434 UEP524434 UOL524434 UYH524434 VID524434 VRZ524434 WBV524434 WLR524434 WVN524434 F589970 JB589970 SX589970 ACT589970 AMP589970 AWL589970 BGH589970 BQD589970 BZZ589970 CJV589970 CTR589970 DDN589970 DNJ589970 DXF589970 EHB589970 EQX589970 FAT589970 FKP589970 FUL589970 GEH589970 GOD589970 GXZ589970 HHV589970 HRR589970 IBN589970 ILJ589970 IVF589970 JFB589970 JOX589970 JYT589970 KIP589970 KSL589970 LCH589970 LMD589970 LVZ589970 MFV589970 MPR589970 MZN589970 NJJ589970 NTF589970 ODB589970 OMX589970 OWT589970 PGP589970 PQL589970 QAH589970 QKD589970 QTZ589970 RDV589970 RNR589970 RXN589970 SHJ589970 SRF589970 TBB589970 TKX589970 TUT589970 UEP589970 UOL589970 UYH589970 VID589970 VRZ589970 WBV589970 WLR589970 WVN589970 F655506 JB655506 SX655506 ACT655506 AMP655506 AWL655506 BGH655506 BQD655506 BZZ655506 CJV655506 CTR655506 DDN655506 DNJ655506 DXF655506 EHB655506 EQX655506 FAT655506 FKP655506 FUL655506 GEH655506 GOD655506 GXZ655506 HHV655506 HRR655506 IBN655506 ILJ655506 IVF655506 JFB655506 JOX655506 JYT655506 KIP655506 KSL655506 LCH655506 LMD655506 LVZ655506 MFV655506 MPR655506 MZN655506 NJJ655506 NTF655506 ODB655506 OMX655506 OWT655506 PGP655506 PQL655506 QAH655506 QKD655506 QTZ655506 RDV655506 RNR655506 RXN655506 SHJ655506 SRF655506 TBB655506 TKX655506 TUT655506 UEP655506 UOL655506 UYH655506 VID655506 VRZ655506 WBV655506 WLR655506 WVN655506 F721042 JB721042 SX721042 ACT721042 AMP721042 AWL721042 BGH721042 BQD721042 BZZ721042 CJV721042 CTR721042 DDN721042 DNJ721042 DXF721042 EHB721042 EQX721042 FAT721042 FKP721042 FUL721042 GEH721042 GOD721042 GXZ721042 HHV721042 HRR721042 IBN721042 ILJ721042 IVF721042 JFB721042 JOX721042 JYT721042 KIP721042 KSL721042 LCH721042 LMD721042 LVZ721042 MFV721042 MPR721042 MZN721042 NJJ721042 NTF721042 ODB721042 OMX721042 OWT721042 PGP721042 PQL721042 QAH721042 QKD721042 QTZ721042 RDV721042 RNR721042 RXN721042 SHJ721042 SRF721042 TBB721042 TKX721042 TUT721042 UEP721042 UOL721042 UYH721042 VID721042 VRZ721042 WBV721042 WLR721042 WVN721042 F786578 JB786578 SX786578 ACT786578 AMP786578 AWL786578 BGH786578 BQD786578 BZZ786578 CJV786578 CTR786578 DDN786578 DNJ786578 DXF786578 EHB786578 EQX786578 FAT786578 FKP786578 FUL786578 GEH786578 GOD786578 GXZ786578 HHV786578 HRR786578 IBN786578 ILJ786578 IVF786578 JFB786578 JOX786578 JYT786578 KIP786578 KSL786578 LCH786578 LMD786578 LVZ786578 MFV786578 MPR786578 MZN786578 NJJ786578 NTF786578 ODB786578 OMX786578 OWT786578 PGP786578 PQL786578 QAH786578 QKD786578 QTZ786578 RDV786578 RNR786578 RXN786578 SHJ786578 SRF786578 TBB786578 TKX786578 TUT786578 UEP786578 UOL786578 UYH786578 VID786578 VRZ786578 WBV786578 WLR786578 WVN786578 F852114 JB852114 SX852114 ACT852114 AMP852114 AWL852114 BGH852114 BQD852114 BZZ852114 CJV852114 CTR852114 DDN852114 DNJ852114 DXF852114 EHB852114 EQX852114 FAT852114 FKP852114 FUL852114 GEH852114 GOD852114 GXZ852114 HHV852114 HRR852114 IBN852114 ILJ852114 IVF852114 JFB852114 JOX852114 JYT852114 KIP852114 KSL852114 LCH852114 LMD852114 LVZ852114 MFV852114 MPR852114 MZN852114 NJJ852114 NTF852114 ODB852114 OMX852114 OWT852114 PGP852114 PQL852114 QAH852114 QKD852114 QTZ852114 RDV852114 RNR852114 RXN852114 SHJ852114 SRF852114 TBB852114 TKX852114 TUT852114 UEP852114 UOL852114 UYH852114 VID852114 VRZ852114 WBV852114 WLR852114 WVN852114 F917650 JB917650 SX917650 ACT917650 AMP917650 AWL917650 BGH917650 BQD917650 BZZ917650 CJV917650 CTR917650 DDN917650 DNJ917650 DXF917650 EHB917650 EQX917650 FAT917650 FKP917650 FUL917650 GEH917650 GOD917650 GXZ917650 HHV917650 HRR917650 IBN917650 ILJ917650 IVF917650 JFB917650 JOX917650 JYT917650 KIP917650 KSL917650 LCH917650 LMD917650 LVZ917650 MFV917650 MPR917650 MZN917650 NJJ917650 NTF917650 ODB917650 OMX917650 OWT917650 PGP917650 PQL917650 QAH917650 QKD917650 QTZ917650 RDV917650 RNR917650 RXN917650 SHJ917650 SRF917650 TBB917650 TKX917650 TUT917650 UEP917650 UOL917650 UYH917650 VID917650 VRZ917650 WBV917650 WLR917650 WVN917650 F983186 JB983186 SX983186 ACT983186 AMP983186 AWL983186 BGH983186 BQD983186 BZZ983186 CJV983186 CTR983186 DDN983186 DNJ983186 DXF983186 EHB983186 EQX983186 FAT983186 FKP983186 FUL983186 GEH983186 GOD983186 GXZ983186 HHV983186 HRR983186 IBN983186 ILJ983186 IVF983186 JFB983186 JOX983186 JYT983186 KIP983186 KSL983186 LCH983186 LMD983186 LVZ983186 MFV983186 MPR983186 MZN983186 NJJ983186 NTF983186 ODB983186 OMX983186 OWT983186 PGP983186 PQL983186 QAH983186 QKD983186 QTZ983186 RDV983186 RNR983186 RXN983186 SHJ983186 SRF983186 TBB983186 TKX983186 TUT983186 UEP983186 UOL983186 UYH983186 VID983186 VRZ983186 WBV983186 WLR983186">
      <formula1>$I$146:$I$149</formula1>
    </dataValidation>
    <dataValidation type="list" allowBlank="1" showInputMessage="1" showErrorMessage="1" sqref="I84:I93 JE84:JE93 TA84:TA93 ACW84:ACW93 AMS84:AMS93 AWO84:AWO93 BGK84:BGK93 BQG84:BQG93 CAC84:CAC93 CJY84:CJY93 CTU84:CTU93 DDQ84:DDQ93 DNM84:DNM93 DXI84:DXI93 EHE84:EHE93 ERA84:ERA93 FAW84:FAW93 FKS84:FKS93 FUO84:FUO93 GEK84:GEK93 GOG84:GOG93 GYC84:GYC93 HHY84:HHY93 HRU84:HRU93 IBQ84:IBQ93 ILM84:ILM93 IVI84:IVI93 JFE84:JFE93 JPA84:JPA93 JYW84:JYW93 KIS84:KIS93 KSO84:KSO93 LCK84:LCK93 LMG84:LMG93 LWC84:LWC93 MFY84:MFY93 MPU84:MPU93 MZQ84:MZQ93 NJM84:NJM93 NTI84:NTI93 ODE84:ODE93 ONA84:ONA93 OWW84:OWW93 PGS84:PGS93 PQO84:PQO93 QAK84:QAK93 QKG84:QKG93 QUC84:QUC93 RDY84:RDY93 RNU84:RNU93 RXQ84:RXQ93 SHM84:SHM93 SRI84:SRI93 TBE84:TBE93 TLA84:TLA93 TUW84:TUW93 UES84:UES93 UOO84:UOO93 UYK84:UYK93 VIG84:VIG93 VSC84:VSC93 WBY84:WBY93 WLU84:WLU93 WVQ84:WVQ93 I65620:I65629 JE65620:JE65629 TA65620:TA65629 ACW65620:ACW65629 AMS65620:AMS65629 AWO65620:AWO65629 BGK65620:BGK65629 BQG65620:BQG65629 CAC65620:CAC65629 CJY65620:CJY65629 CTU65620:CTU65629 DDQ65620:DDQ65629 DNM65620:DNM65629 DXI65620:DXI65629 EHE65620:EHE65629 ERA65620:ERA65629 FAW65620:FAW65629 FKS65620:FKS65629 FUO65620:FUO65629 GEK65620:GEK65629 GOG65620:GOG65629 GYC65620:GYC65629 HHY65620:HHY65629 HRU65620:HRU65629 IBQ65620:IBQ65629 ILM65620:ILM65629 IVI65620:IVI65629 JFE65620:JFE65629 JPA65620:JPA65629 JYW65620:JYW65629 KIS65620:KIS65629 KSO65620:KSO65629 LCK65620:LCK65629 LMG65620:LMG65629 LWC65620:LWC65629 MFY65620:MFY65629 MPU65620:MPU65629 MZQ65620:MZQ65629 NJM65620:NJM65629 NTI65620:NTI65629 ODE65620:ODE65629 ONA65620:ONA65629 OWW65620:OWW65629 PGS65620:PGS65629 PQO65620:PQO65629 QAK65620:QAK65629 QKG65620:QKG65629 QUC65620:QUC65629 RDY65620:RDY65629 RNU65620:RNU65629 RXQ65620:RXQ65629 SHM65620:SHM65629 SRI65620:SRI65629 TBE65620:TBE65629 TLA65620:TLA65629 TUW65620:TUW65629 UES65620:UES65629 UOO65620:UOO65629 UYK65620:UYK65629 VIG65620:VIG65629 VSC65620:VSC65629 WBY65620:WBY65629 WLU65620:WLU65629 WVQ65620:WVQ65629 I131156:I131165 JE131156:JE131165 TA131156:TA131165 ACW131156:ACW131165 AMS131156:AMS131165 AWO131156:AWO131165 BGK131156:BGK131165 BQG131156:BQG131165 CAC131156:CAC131165 CJY131156:CJY131165 CTU131156:CTU131165 DDQ131156:DDQ131165 DNM131156:DNM131165 DXI131156:DXI131165 EHE131156:EHE131165 ERA131156:ERA131165 FAW131156:FAW131165 FKS131156:FKS131165 FUO131156:FUO131165 GEK131156:GEK131165 GOG131156:GOG131165 GYC131156:GYC131165 HHY131156:HHY131165 HRU131156:HRU131165 IBQ131156:IBQ131165 ILM131156:ILM131165 IVI131156:IVI131165 JFE131156:JFE131165 JPA131156:JPA131165 JYW131156:JYW131165 KIS131156:KIS131165 KSO131156:KSO131165 LCK131156:LCK131165 LMG131156:LMG131165 LWC131156:LWC131165 MFY131156:MFY131165 MPU131156:MPU131165 MZQ131156:MZQ131165 NJM131156:NJM131165 NTI131156:NTI131165 ODE131156:ODE131165 ONA131156:ONA131165 OWW131156:OWW131165 PGS131156:PGS131165 PQO131156:PQO131165 QAK131156:QAK131165 QKG131156:QKG131165 QUC131156:QUC131165 RDY131156:RDY131165 RNU131156:RNU131165 RXQ131156:RXQ131165 SHM131156:SHM131165 SRI131156:SRI131165 TBE131156:TBE131165 TLA131156:TLA131165 TUW131156:TUW131165 UES131156:UES131165 UOO131156:UOO131165 UYK131156:UYK131165 VIG131156:VIG131165 VSC131156:VSC131165 WBY131156:WBY131165 WLU131156:WLU131165 WVQ131156:WVQ131165 I196692:I196701 JE196692:JE196701 TA196692:TA196701 ACW196692:ACW196701 AMS196692:AMS196701 AWO196692:AWO196701 BGK196692:BGK196701 BQG196692:BQG196701 CAC196692:CAC196701 CJY196692:CJY196701 CTU196692:CTU196701 DDQ196692:DDQ196701 DNM196692:DNM196701 DXI196692:DXI196701 EHE196692:EHE196701 ERA196692:ERA196701 FAW196692:FAW196701 FKS196692:FKS196701 FUO196692:FUO196701 GEK196692:GEK196701 GOG196692:GOG196701 GYC196692:GYC196701 HHY196692:HHY196701 HRU196692:HRU196701 IBQ196692:IBQ196701 ILM196692:ILM196701 IVI196692:IVI196701 JFE196692:JFE196701 JPA196692:JPA196701 JYW196692:JYW196701 KIS196692:KIS196701 KSO196692:KSO196701 LCK196692:LCK196701 LMG196692:LMG196701 LWC196692:LWC196701 MFY196692:MFY196701 MPU196692:MPU196701 MZQ196692:MZQ196701 NJM196692:NJM196701 NTI196692:NTI196701 ODE196692:ODE196701 ONA196692:ONA196701 OWW196692:OWW196701 PGS196692:PGS196701 PQO196692:PQO196701 QAK196692:QAK196701 QKG196692:QKG196701 QUC196692:QUC196701 RDY196692:RDY196701 RNU196692:RNU196701 RXQ196692:RXQ196701 SHM196692:SHM196701 SRI196692:SRI196701 TBE196692:TBE196701 TLA196692:TLA196701 TUW196692:TUW196701 UES196692:UES196701 UOO196692:UOO196701 UYK196692:UYK196701 VIG196692:VIG196701 VSC196692:VSC196701 WBY196692:WBY196701 WLU196692:WLU196701 WVQ196692:WVQ196701 I262228:I262237 JE262228:JE262237 TA262228:TA262237 ACW262228:ACW262237 AMS262228:AMS262237 AWO262228:AWO262237 BGK262228:BGK262237 BQG262228:BQG262237 CAC262228:CAC262237 CJY262228:CJY262237 CTU262228:CTU262237 DDQ262228:DDQ262237 DNM262228:DNM262237 DXI262228:DXI262237 EHE262228:EHE262237 ERA262228:ERA262237 FAW262228:FAW262237 FKS262228:FKS262237 FUO262228:FUO262237 GEK262228:GEK262237 GOG262228:GOG262237 GYC262228:GYC262237 HHY262228:HHY262237 HRU262228:HRU262237 IBQ262228:IBQ262237 ILM262228:ILM262237 IVI262228:IVI262237 JFE262228:JFE262237 JPA262228:JPA262237 JYW262228:JYW262237 KIS262228:KIS262237 KSO262228:KSO262237 LCK262228:LCK262237 LMG262228:LMG262237 LWC262228:LWC262237 MFY262228:MFY262237 MPU262228:MPU262237 MZQ262228:MZQ262237 NJM262228:NJM262237 NTI262228:NTI262237 ODE262228:ODE262237 ONA262228:ONA262237 OWW262228:OWW262237 PGS262228:PGS262237 PQO262228:PQO262237 QAK262228:QAK262237 QKG262228:QKG262237 QUC262228:QUC262237 RDY262228:RDY262237 RNU262228:RNU262237 RXQ262228:RXQ262237 SHM262228:SHM262237 SRI262228:SRI262237 TBE262228:TBE262237 TLA262228:TLA262237 TUW262228:TUW262237 UES262228:UES262237 UOO262228:UOO262237 UYK262228:UYK262237 VIG262228:VIG262237 VSC262228:VSC262237 WBY262228:WBY262237 WLU262228:WLU262237 WVQ262228:WVQ262237 I327764:I327773 JE327764:JE327773 TA327764:TA327773 ACW327764:ACW327773 AMS327764:AMS327773 AWO327764:AWO327773 BGK327764:BGK327773 BQG327764:BQG327773 CAC327764:CAC327773 CJY327764:CJY327773 CTU327764:CTU327773 DDQ327764:DDQ327773 DNM327764:DNM327773 DXI327764:DXI327773 EHE327764:EHE327773 ERA327764:ERA327773 FAW327764:FAW327773 FKS327764:FKS327773 FUO327764:FUO327773 GEK327764:GEK327773 GOG327764:GOG327773 GYC327764:GYC327773 HHY327764:HHY327773 HRU327764:HRU327773 IBQ327764:IBQ327773 ILM327764:ILM327773 IVI327764:IVI327773 JFE327764:JFE327773 JPA327764:JPA327773 JYW327764:JYW327773 KIS327764:KIS327773 KSO327764:KSO327773 LCK327764:LCK327773 LMG327764:LMG327773 LWC327764:LWC327773 MFY327764:MFY327773 MPU327764:MPU327773 MZQ327764:MZQ327773 NJM327764:NJM327773 NTI327764:NTI327773 ODE327764:ODE327773 ONA327764:ONA327773 OWW327764:OWW327773 PGS327764:PGS327773 PQO327764:PQO327773 QAK327764:QAK327773 QKG327764:QKG327773 QUC327764:QUC327773 RDY327764:RDY327773 RNU327764:RNU327773 RXQ327764:RXQ327773 SHM327764:SHM327773 SRI327764:SRI327773 TBE327764:TBE327773 TLA327764:TLA327773 TUW327764:TUW327773 UES327764:UES327773 UOO327764:UOO327773 UYK327764:UYK327773 VIG327764:VIG327773 VSC327764:VSC327773 WBY327764:WBY327773 WLU327764:WLU327773 WVQ327764:WVQ327773 I393300:I393309 JE393300:JE393309 TA393300:TA393309 ACW393300:ACW393309 AMS393300:AMS393309 AWO393300:AWO393309 BGK393300:BGK393309 BQG393300:BQG393309 CAC393300:CAC393309 CJY393300:CJY393309 CTU393300:CTU393309 DDQ393300:DDQ393309 DNM393300:DNM393309 DXI393300:DXI393309 EHE393300:EHE393309 ERA393300:ERA393309 FAW393300:FAW393309 FKS393300:FKS393309 FUO393300:FUO393309 GEK393300:GEK393309 GOG393300:GOG393309 GYC393300:GYC393309 HHY393300:HHY393309 HRU393300:HRU393309 IBQ393300:IBQ393309 ILM393300:ILM393309 IVI393300:IVI393309 JFE393300:JFE393309 JPA393300:JPA393309 JYW393300:JYW393309 KIS393300:KIS393309 KSO393300:KSO393309 LCK393300:LCK393309 LMG393300:LMG393309 LWC393300:LWC393309 MFY393300:MFY393309 MPU393300:MPU393309 MZQ393300:MZQ393309 NJM393300:NJM393309 NTI393300:NTI393309 ODE393300:ODE393309 ONA393300:ONA393309 OWW393300:OWW393309 PGS393300:PGS393309 PQO393300:PQO393309 QAK393300:QAK393309 QKG393300:QKG393309 QUC393300:QUC393309 RDY393300:RDY393309 RNU393300:RNU393309 RXQ393300:RXQ393309 SHM393300:SHM393309 SRI393300:SRI393309 TBE393300:TBE393309 TLA393300:TLA393309 TUW393300:TUW393309 UES393300:UES393309 UOO393300:UOO393309 UYK393300:UYK393309 VIG393300:VIG393309 VSC393300:VSC393309 WBY393300:WBY393309 WLU393300:WLU393309 WVQ393300:WVQ393309 I458836:I458845 JE458836:JE458845 TA458836:TA458845 ACW458836:ACW458845 AMS458836:AMS458845 AWO458836:AWO458845 BGK458836:BGK458845 BQG458836:BQG458845 CAC458836:CAC458845 CJY458836:CJY458845 CTU458836:CTU458845 DDQ458836:DDQ458845 DNM458836:DNM458845 DXI458836:DXI458845 EHE458836:EHE458845 ERA458836:ERA458845 FAW458836:FAW458845 FKS458836:FKS458845 FUO458836:FUO458845 GEK458836:GEK458845 GOG458836:GOG458845 GYC458836:GYC458845 HHY458836:HHY458845 HRU458836:HRU458845 IBQ458836:IBQ458845 ILM458836:ILM458845 IVI458836:IVI458845 JFE458836:JFE458845 JPA458836:JPA458845 JYW458836:JYW458845 KIS458836:KIS458845 KSO458836:KSO458845 LCK458836:LCK458845 LMG458836:LMG458845 LWC458836:LWC458845 MFY458836:MFY458845 MPU458836:MPU458845 MZQ458836:MZQ458845 NJM458836:NJM458845 NTI458836:NTI458845 ODE458836:ODE458845 ONA458836:ONA458845 OWW458836:OWW458845 PGS458836:PGS458845 PQO458836:PQO458845 QAK458836:QAK458845 QKG458836:QKG458845 QUC458836:QUC458845 RDY458836:RDY458845 RNU458836:RNU458845 RXQ458836:RXQ458845 SHM458836:SHM458845 SRI458836:SRI458845 TBE458836:TBE458845 TLA458836:TLA458845 TUW458836:TUW458845 UES458836:UES458845 UOO458836:UOO458845 UYK458836:UYK458845 VIG458836:VIG458845 VSC458836:VSC458845 WBY458836:WBY458845 WLU458836:WLU458845 WVQ458836:WVQ458845 I524372:I524381 JE524372:JE524381 TA524372:TA524381 ACW524372:ACW524381 AMS524372:AMS524381 AWO524372:AWO524381 BGK524372:BGK524381 BQG524372:BQG524381 CAC524372:CAC524381 CJY524372:CJY524381 CTU524372:CTU524381 DDQ524372:DDQ524381 DNM524372:DNM524381 DXI524372:DXI524381 EHE524372:EHE524381 ERA524372:ERA524381 FAW524372:FAW524381 FKS524372:FKS524381 FUO524372:FUO524381 GEK524372:GEK524381 GOG524372:GOG524381 GYC524372:GYC524381 HHY524372:HHY524381 HRU524372:HRU524381 IBQ524372:IBQ524381 ILM524372:ILM524381 IVI524372:IVI524381 JFE524372:JFE524381 JPA524372:JPA524381 JYW524372:JYW524381 KIS524372:KIS524381 KSO524372:KSO524381 LCK524372:LCK524381 LMG524372:LMG524381 LWC524372:LWC524381 MFY524372:MFY524381 MPU524372:MPU524381 MZQ524372:MZQ524381 NJM524372:NJM524381 NTI524372:NTI524381 ODE524372:ODE524381 ONA524372:ONA524381 OWW524372:OWW524381 PGS524372:PGS524381 PQO524372:PQO524381 QAK524372:QAK524381 QKG524372:QKG524381 QUC524372:QUC524381 RDY524372:RDY524381 RNU524372:RNU524381 RXQ524372:RXQ524381 SHM524372:SHM524381 SRI524372:SRI524381 TBE524372:TBE524381 TLA524372:TLA524381 TUW524372:TUW524381 UES524372:UES524381 UOO524372:UOO524381 UYK524372:UYK524381 VIG524372:VIG524381 VSC524372:VSC524381 WBY524372:WBY524381 WLU524372:WLU524381 WVQ524372:WVQ524381 I589908:I589917 JE589908:JE589917 TA589908:TA589917 ACW589908:ACW589917 AMS589908:AMS589917 AWO589908:AWO589917 BGK589908:BGK589917 BQG589908:BQG589917 CAC589908:CAC589917 CJY589908:CJY589917 CTU589908:CTU589917 DDQ589908:DDQ589917 DNM589908:DNM589917 DXI589908:DXI589917 EHE589908:EHE589917 ERA589908:ERA589917 FAW589908:FAW589917 FKS589908:FKS589917 FUO589908:FUO589917 GEK589908:GEK589917 GOG589908:GOG589917 GYC589908:GYC589917 HHY589908:HHY589917 HRU589908:HRU589917 IBQ589908:IBQ589917 ILM589908:ILM589917 IVI589908:IVI589917 JFE589908:JFE589917 JPA589908:JPA589917 JYW589908:JYW589917 KIS589908:KIS589917 KSO589908:KSO589917 LCK589908:LCK589917 LMG589908:LMG589917 LWC589908:LWC589917 MFY589908:MFY589917 MPU589908:MPU589917 MZQ589908:MZQ589917 NJM589908:NJM589917 NTI589908:NTI589917 ODE589908:ODE589917 ONA589908:ONA589917 OWW589908:OWW589917 PGS589908:PGS589917 PQO589908:PQO589917 QAK589908:QAK589917 QKG589908:QKG589917 QUC589908:QUC589917 RDY589908:RDY589917 RNU589908:RNU589917 RXQ589908:RXQ589917 SHM589908:SHM589917 SRI589908:SRI589917 TBE589908:TBE589917 TLA589908:TLA589917 TUW589908:TUW589917 UES589908:UES589917 UOO589908:UOO589917 UYK589908:UYK589917 VIG589908:VIG589917 VSC589908:VSC589917 WBY589908:WBY589917 WLU589908:WLU589917 WVQ589908:WVQ589917 I655444:I655453 JE655444:JE655453 TA655444:TA655453 ACW655444:ACW655453 AMS655444:AMS655453 AWO655444:AWO655453 BGK655444:BGK655453 BQG655444:BQG655453 CAC655444:CAC655453 CJY655444:CJY655453 CTU655444:CTU655453 DDQ655444:DDQ655453 DNM655444:DNM655453 DXI655444:DXI655453 EHE655444:EHE655453 ERA655444:ERA655453 FAW655444:FAW655453 FKS655444:FKS655453 FUO655444:FUO655453 GEK655444:GEK655453 GOG655444:GOG655453 GYC655444:GYC655453 HHY655444:HHY655453 HRU655444:HRU655453 IBQ655444:IBQ655453 ILM655444:ILM655453 IVI655444:IVI655453 JFE655444:JFE655453 JPA655444:JPA655453 JYW655444:JYW655453 KIS655444:KIS655453 KSO655444:KSO655453 LCK655444:LCK655453 LMG655444:LMG655453 LWC655444:LWC655453 MFY655444:MFY655453 MPU655444:MPU655453 MZQ655444:MZQ655453 NJM655444:NJM655453 NTI655444:NTI655453 ODE655444:ODE655453 ONA655444:ONA655453 OWW655444:OWW655453 PGS655444:PGS655453 PQO655444:PQO655453 QAK655444:QAK655453 QKG655444:QKG655453 QUC655444:QUC655453 RDY655444:RDY655453 RNU655444:RNU655453 RXQ655444:RXQ655453 SHM655444:SHM655453 SRI655444:SRI655453 TBE655444:TBE655453 TLA655444:TLA655453 TUW655444:TUW655453 UES655444:UES655453 UOO655444:UOO655453 UYK655444:UYK655453 VIG655444:VIG655453 VSC655444:VSC655453 WBY655444:WBY655453 WLU655444:WLU655453 WVQ655444:WVQ655453 I720980:I720989 JE720980:JE720989 TA720980:TA720989 ACW720980:ACW720989 AMS720980:AMS720989 AWO720980:AWO720989 BGK720980:BGK720989 BQG720980:BQG720989 CAC720980:CAC720989 CJY720980:CJY720989 CTU720980:CTU720989 DDQ720980:DDQ720989 DNM720980:DNM720989 DXI720980:DXI720989 EHE720980:EHE720989 ERA720980:ERA720989 FAW720980:FAW720989 FKS720980:FKS720989 FUO720980:FUO720989 GEK720980:GEK720989 GOG720980:GOG720989 GYC720980:GYC720989 HHY720980:HHY720989 HRU720980:HRU720989 IBQ720980:IBQ720989 ILM720980:ILM720989 IVI720980:IVI720989 JFE720980:JFE720989 JPA720980:JPA720989 JYW720980:JYW720989 KIS720980:KIS720989 KSO720980:KSO720989 LCK720980:LCK720989 LMG720980:LMG720989 LWC720980:LWC720989 MFY720980:MFY720989 MPU720980:MPU720989 MZQ720980:MZQ720989 NJM720980:NJM720989 NTI720980:NTI720989 ODE720980:ODE720989 ONA720980:ONA720989 OWW720980:OWW720989 PGS720980:PGS720989 PQO720980:PQO720989 QAK720980:QAK720989 QKG720980:QKG720989 QUC720980:QUC720989 RDY720980:RDY720989 RNU720980:RNU720989 RXQ720980:RXQ720989 SHM720980:SHM720989 SRI720980:SRI720989 TBE720980:TBE720989 TLA720980:TLA720989 TUW720980:TUW720989 UES720980:UES720989 UOO720980:UOO720989 UYK720980:UYK720989 VIG720980:VIG720989 VSC720980:VSC720989 WBY720980:WBY720989 WLU720980:WLU720989 WVQ720980:WVQ720989 I786516:I786525 JE786516:JE786525 TA786516:TA786525 ACW786516:ACW786525 AMS786516:AMS786525 AWO786516:AWO786525 BGK786516:BGK786525 BQG786516:BQG786525 CAC786516:CAC786525 CJY786516:CJY786525 CTU786516:CTU786525 DDQ786516:DDQ786525 DNM786516:DNM786525 DXI786516:DXI786525 EHE786516:EHE786525 ERA786516:ERA786525 FAW786516:FAW786525 FKS786516:FKS786525 FUO786516:FUO786525 GEK786516:GEK786525 GOG786516:GOG786525 GYC786516:GYC786525 HHY786516:HHY786525 HRU786516:HRU786525 IBQ786516:IBQ786525 ILM786516:ILM786525 IVI786516:IVI786525 JFE786516:JFE786525 JPA786516:JPA786525 JYW786516:JYW786525 KIS786516:KIS786525 KSO786516:KSO786525 LCK786516:LCK786525 LMG786516:LMG786525 LWC786516:LWC786525 MFY786516:MFY786525 MPU786516:MPU786525 MZQ786516:MZQ786525 NJM786516:NJM786525 NTI786516:NTI786525 ODE786516:ODE786525 ONA786516:ONA786525 OWW786516:OWW786525 PGS786516:PGS786525 PQO786516:PQO786525 QAK786516:QAK786525 QKG786516:QKG786525 QUC786516:QUC786525 RDY786516:RDY786525 RNU786516:RNU786525 RXQ786516:RXQ786525 SHM786516:SHM786525 SRI786516:SRI786525 TBE786516:TBE786525 TLA786516:TLA786525 TUW786516:TUW786525 UES786516:UES786525 UOO786516:UOO786525 UYK786516:UYK786525 VIG786516:VIG786525 VSC786516:VSC786525 WBY786516:WBY786525 WLU786516:WLU786525 WVQ786516:WVQ786525 I852052:I852061 JE852052:JE852061 TA852052:TA852061 ACW852052:ACW852061 AMS852052:AMS852061 AWO852052:AWO852061 BGK852052:BGK852061 BQG852052:BQG852061 CAC852052:CAC852061 CJY852052:CJY852061 CTU852052:CTU852061 DDQ852052:DDQ852061 DNM852052:DNM852061 DXI852052:DXI852061 EHE852052:EHE852061 ERA852052:ERA852061 FAW852052:FAW852061 FKS852052:FKS852061 FUO852052:FUO852061 GEK852052:GEK852061 GOG852052:GOG852061 GYC852052:GYC852061 HHY852052:HHY852061 HRU852052:HRU852061 IBQ852052:IBQ852061 ILM852052:ILM852061 IVI852052:IVI852061 JFE852052:JFE852061 JPA852052:JPA852061 JYW852052:JYW852061 KIS852052:KIS852061 KSO852052:KSO852061 LCK852052:LCK852061 LMG852052:LMG852061 LWC852052:LWC852061 MFY852052:MFY852061 MPU852052:MPU852061 MZQ852052:MZQ852061 NJM852052:NJM852061 NTI852052:NTI852061 ODE852052:ODE852061 ONA852052:ONA852061 OWW852052:OWW852061 PGS852052:PGS852061 PQO852052:PQO852061 QAK852052:QAK852061 QKG852052:QKG852061 QUC852052:QUC852061 RDY852052:RDY852061 RNU852052:RNU852061 RXQ852052:RXQ852061 SHM852052:SHM852061 SRI852052:SRI852061 TBE852052:TBE852061 TLA852052:TLA852061 TUW852052:TUW852061 UES852052:UES852061 UOO852052:UOO852061 UYK852052:UYK852061 VIG852052:VIG852061 VSC852052:VSC852061 WBY852052:WBY852061 WLU852052:WLU852061 WVQ852052:WVQ852061 I917588:I917597 JE917588:JE917597 TA917588:TA917597 ACW917588:ACW917597 AMS917588:AMS917597 AWO917588:AWO917597 BGK917588:BGK917597 BQG917588:BQG917597 CAC917588:CAC917597 CJY917588:CJY917597 CTU917588:CTU917597 DDQ917588:DDQ917597 DNM917588:DNM917597 DXI917588:DXI917597 EHE917588:EHE917597 ERA917588:ERA917597 FAW917588:FAW917597 FKS917588:FKS917597 FUO917588:FUO917597 GEK917588:GEK917597 GOG917588:GOG917597 GYC917588:GYC917597 HHY917588:HHY917597 HRU917588:HRU917597 IBQ917588:IBQ917597 ILM917588:ILM917597 IVI917588:IVI917597 JFE917588:JFE917597 JPA917588:JPA917597 JYW917588:JYW917597 KIS917588:KIS917597 KSO917588:KSO917597 LCK917588:LCK917597 LMG917588:LMG917597 LWC917588:LWC917597 MFY917588:MFY917597 MPU917588:MPU917597 MZQ917588:MZQ917597 NJM917588:NJM917597 NTI917588:NTI917597 ODE917588:ODE917597 ONA917588:ONA917597 OWW917588:OWW917597 PGS917588:PGS917597 PQO917588:PQO917597 QAK917588:QAK917597 QKG917588:QKG917597 QUC917588:QUC917597 RDY917588:RDY917597 RNU917588:RNU917597 RXQ917588:RXQ917597 SHM917588:SHM917597 SRI917588:SRI917597 TBE917588:TBE917597 TLA917588:TLA917597 TUW917588:TUW917597 UES917588:UES917597 UOO917588:UOO917597 UYK917588:UYK917597 VIG917588:VIG917597 VSC917588:VSC917597 WBY917588:WBY917597 WLU917588:WLU917597 WVQ917588:WVQ917597 I983124:I983133 JE983124:JE983133 TA983124:TA983133 ACW983124:ACW983133 AMS983124:AMS983133 AWO983124:AWO983133 BGK983124:BGK983133 BQG983124:BQG983133 CAC983124:CAC983133 CJY983124:CJY983133 CTU983124:CTU983133 DDQ983124:DDQ983133 DNM983124:DNM983133 DXI983124:DXI983133 EHE983124:EHE983133 ERA983124:ERA983133 FAW983124:FAW983133 FKS983124:FKS983133 FUO983124:FUO983133 GEK983124:GEK983133 GOG983124:GOG983133 GYC983124:GYC983133 HHY983124:HHY983133 HRU983124:HRU983133 IBQ983124:IBQ983133 ILM983124:ILM983133 IVI983124:IVI983133 JFE983124:JFE983133 JPA983124:JPA983133 JYW983124:JYW983133 KIS983124:KIS983133 KSO983124:KSO983133 LCK983124:LCK983133 LMG983124:LMG983133 LWC983124:LWC983133 MFY983124:MFY983133 MPU983124:MPU983133 MZQ983124:MZQ983133 NJM983124:NJM983133 NTI983124:NTI983133 ODE983124:ODE983133 ONA983124:ONA983133 OWW983124:OWW983133 PGS983124:PGS983133 PQO983124:PQO983133 QAK983124:QAK983133 QKG983124:QKG983133 QUC983124:QUC983133 RDY983124:RDY983133 RNU983124:RNU983133 RXQ983124:RXQ983133 SHM983124:SHM983133 SRI983124:SRI983133 TBE983124:TBE983133 TLA983124:TLA983133 TUW983124:TUW983133 UES983124:UES983133 UOO983124:UOO983133 UYK983124:UYK983133 VIG983124:VIG983133 VSC983124:VSC983133 WBY983124:WBY983133 WLU983124:WLU983133 WVQ983124:WVQ983133">
      <formula1>$K$84:$K$87</formula1>
    </dataValidation>
  </dataValidations>
  <pageMargins left="0.75" right="0.75" top="1" bottom="1" header="0" footer="0"/>
  <pageSetup paperSize="9" orientation="portrait"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886"/>
  <sheetViews>
    <sheetView topLeftCell="A19" workbookViewId="0">
      <selection activeCell="O8" sqref="O8"/>
    </sheetView>
  </sheetViews>
  <sheetFormatPr baseColWidth="10" defaultRowHeight="14.4" outlineLevelCol="1" x14ac:dyDescent="0.3"/>
  <cols>
    <col min="1" max="1" width="5.88671875" style="279" customWidth="1" outlineLevel="1"/>
    <col min="2" max="2" width="33.109375" style="279" customWidth="1" outlineLevel="1"/>
    <col min="3" max="3" width="30.44140625" style="279" customWidth="1" outlineLevel="1"/>
    <col min="4" max="4" width="13.44140625" style="279" customWidth="1" outlineLevel="1"/>
    <col min="5" max="6" width="16.33203125" style="279" customWidth="1" outlineLevel="1"/>
    <col min="7" max="9" width="13.44140625" style="279" customWidth="1" outlineLevel="1"/>
  </cols>
  <sheetData>
    <row r="1" spans="1:9" x14ac:dyDescent="0.3">
      <c r="A1" s="283" t="s">
        <v>373</v>
      </c>
      <c r="B1" s="283" t="s">
        <v>1221</v>
      </c>
      <c r="C1" s="283" t="s">
        <v>1220</v>
      </c>
      <c r="D1" s="283" t="s">
        <v>1219</v>
      </c>
      <c r="E1" s="283" t="s">
        <v>1218</v>
      </c>
      <c r="F1" s="283" t="s">
        <v>1217</v>
      </c>
      <c r="G1" s="283" t="s">
        <v>1216</v>
      </c>
      <c r="H1" s="283" t="s">
        <v>1215</v>
      </c>
      <c r="I1" s="283" t="s">
        <v>1214</v>
      </c>
    </row>
    <row r="2" spans="1:9" x14ac:dyDescent="0.3">
      <c r="A2" s="325" t="s">
        <v>1213</v>
      </c>
      <c r="B2" s="282" t="s">
        <v>373</v>
      </c>
      <c r="C2" s="282" t="s">
        <v>373</v>
      </c>
      <c r="D2" s="282" t="s">
        <v>373</v>
      </c>
      <c r="E2" s="282" t="s">
        <v>373</v>
      </c>
      <c r="F2" s="282" t="s">
        <v>373</v>
      </c>
      <c r="G2" s="282" t="s">
        <v>373</v>
      </c>
      <c r="H2" s="282" t="s">
        <v>373</v>
      </c>
      <c r="I2" s="282" t="s">
        <v>373</v>
      </c>
    </row>
    <row r="3" spans="1:9" x14ac:dyDescent="0.3">
      <c r="A3" s="326"/>
      <c r="B3" s="325" t="s">
        <v>1212</v>
      </c>
      <c r="C3" s="282" t="s">
        <v>373</v>
      </c>
      <c r="D3" s="282" t="s">
        <v>373</v>
      </c>
      <c r="E3" s="282" t="s">
        <v>373</v>
      </c>
      <c r="F3" s="282" t="s">
        <v>373</v>
      </c>
      <c r="G3" s="282" t="s">
        <v>373</v>
      </c>
      <c r="H3" s="282" t="s">
        <v>373</v>
      </c>
      <c r="I3" s="282" t="s">
        <v>373</v>
      </c>
    </row>
    <row r="4" spans="1:9" x14ac:dyDescent="0.3">
      <c r="A4" s="326"/>
      <c r="B4" s="326"/>
      <c r="C4" s="282" t="s">
        <v>1211</v>
      </c>
      <c r="D4" s="282">
        <v>4571</v>
      </c>
      <c r="E4" s="280">
        <v>2972</v>
      </c>
      <c r="F4" s="280">
        <v>1.5</v>
      </c>
      <c r="G4" s="280">
        <v>5.2999999999999999E-2</v>
      </c>
      <c r="H4" s="281">
        <v>50</v>
      </c>
      <c r="I4" s="280">
        <v>2.65</v>
      </c>
    </row>
    <row r="5" spans="1:9" x14ac:dyDescent="0.3">
      <c r="A5" s="326"/>
      <c r="B5" s="326"/>
      <c r="C5" s="282" t="s">
        <v>1210</v>
      </c>
      <c r="D5" s="282">
        <v>3102</v>
      </c>
      <c r="E5" s="280">
        <v>108800</v>
      </c>
      <c r="F5" s="280">
        <v>59.78</v>
      </c>
      <c r="G5" s="280">
        <v>36.6</v>
      </c>
      <c r="H5" s="281">
        <v>1</v>
      </c>
      <c r="I5" s="280">
        <v>14.3</v>
      </c>
    </row>
    <row r="6" spans="1:9" ht="20.399999999999999" x14ac:dyDescent="0.3">
      <c r="A6" s="326"/>
      <c r="B6" s="326"/>
      <c r="C6" s="282" t="s">
        <v>1209</v>
      </c>
      <c r="D6" s="282">
        <v>17719</v>
      </c>
      <c r="E6" s="280">
        <v>0</v>
      </c>
      <c r="F6" s="280">
        <v>0</v>
      </c>
      <c r="G6" s="280">
        <v>1</v>
      </c>
      <c r="H6" s="282"/>
      <c r="I6" s="282"/>
    </row>
    <row r="7" spans="1:9" x14ac:dyDescent="0.3">
      <c r="A7" s="326"/>
      <c r="B7" s="326"/>
      <c r="C7" s="282" t="s">
        <v>1208</v>
      </c>
      <c r="D7" s="282">
        <v>18050</v>
      </c>
      <c r="E7" s="280">
        <v>64418</v>
      </c>
      <c r="F7" s="280">
        <v>33</v>
      </c>
      <c r="G7" s="280">
        <v>7</v>
      </c>
      <c r="H7" s="281">
        <v>0</v>
      </c>
      <c r="I7" s="280">
        <v>0</v>
      </c>
    </row>
    <row r="8" spans="1:9" ht="20.399999999999999" x14ac:dyDescent="0.3">
      <c r="A8" s="326"/>
      <c r="B8" s="326"/>
      <c r="C8" s="282" t="s">
        <v>1207</v>
      </c>
      <c r="D8" s="282">
        <v>27371</v>
      </c>
      <c r="E8" s="280">
        <v>2750</v>
      </c>
      <c r="F8" s="280">
        <v>1.4</v>
      </c>
      <c r="G8" s="280">
        <v>0</v>
      </c>
      <c r="H8" s="281">
        <v>0</v>
      </c>
      <c r="I8" s="280">
        <v>0</v>
      </c>
    </row>
    <row r="9" spans="1:9" x14ac:dyDescent="0.3">
      <c r="A9" s="326"/>
      <c r="B9" s="326"/>
      <c r="C9" s="282" t="s">
        <v>1206</v>
      </c>
      <c r="D9" s="282">
        <v>2652</v>
      </c>
      <c r="E9" s="280">
        <v>15079</v>
      </c>
      <c r="F9" s="280">
        <v>7.73</v>
      </c>
      <c r="G9" s="280">
        <v>1</v>
      </c>
      <c r="H9" s="281">
        <v>0</v>
      </c>
      <c r="I9" s="280">
        <v>0</v>
      </c>
    </row>
    <row r="10" spans="1:9" x14ac:dyDescent="0.3">
      <c r="A10" s="326"/>
      <c r="B10" s="326"/>
      <c r="C10" s="282" t="s">
        <v>1205</v>
      </c>
      <c r="D10" s="282">
        <v>11912</v>
      </c>
      <c r="E10" s="280">
        <v>88600</v>
      </c>
      <c r="F10" s="280">
        <v>45.4</v>
      </c>
      <c r="G10" s="280">
        <v>12.9</v>
      </c>
      <c r="H10" s="281">
        <v>0</v>
      </c>
      <c r="I10" s="280">
        <v>0</v>
      </c>
    </row>
    <row r="11" spans="1:9" x14ac:dyDescent="0.3">
      <c r="A11" s="326"/>
      <c r="B11" s="326"/>
      <c r="C11" s="282" t="s">
        <v>1204</v>
      </c>
      <c r="D11" s="282">
        <v>20870</v>
      </c>
      <c r="E11" s="280">
        <v>36683</v>
      </c>
      <c r="F11" s="280">
        <v>16.670000000000002</v>
      </c>
      <c r="G11" s="280">
        <v>3.8</v>
      </c>
      <c r="H11" s="281">
        <v>0</v>
      </c>
      <c r="I11" s="280">
        <v>0</v>
      </c>
    </row>
    <row r="12" spans="1:9" x14ac:dyDescent="0.3">
      <c r="A12" s="326"/>
      <c r="B12" s="326"/>
      <c r="C12" s="282" t="s">
        <v>1203</v>
      </c>
      <c r="D12" s="282">
        <v>8749</v>
      </c>
      <c r="E12" s="280">
        <v>42300</v>
      </c>
      <c r="F12" s="280">
        <v>21.7</v>
      </c>
      <c r="G12" s="280">
        <v>5</v>
      </c>
      <c r="H12" s="281">
        <v>0</v>
      </c>
      <c r="I12" s="280">
        <v>0</v>
      </c>
    </row>
    <row r="13" spans="1:9" ht="20.399999999999999" x14ac:dyDescent="0.3">
      <c r="A13" s="326"/>
      <c r="B13" s="326"/>
      <c r="C13" s="282" t="s">
        <v>1202</v>
      </c>
      <c r="D13" s="282">
        <v>17995</v>
      </c>
      <c r="E13" s="280">
        <v>6920</v>
      </c>
      <c r="F13" s="280">
        <v>3.46</v>
      </c>
      <c r="G13" s="280">
        <v>0.34</v>
      </c>
      <c r="H13" s="281">
        <v>0</v>
      </c>
      <c r="I13" s="280">
        <v>0</v>
      </c>
    </row>
    <row r="14" spans="1:9" ht="20.399999999999999" x14ac:dyDescent="0.3">
      <c r="A14" s="326"/>
      <c r="B14" s="326"/>
      <c r="C14" s="282" t="s">
        <v>1201</v>
      </c>
      <c r="D14" s="282">
        <v>5382</v>
      </c>
      <c r="E14" s="280">
        <v>28578</v>
      </c>
      <c r="F14" s="280">
        <v>15.88</v>
      </c>
      <c r="G14" s="280">
        <v>1</v>
      </c>
      <c r="H14" s="281">
        <v>0</v>
      </c>
      <c r="I14" s="280">
        <v>0</v>
      </c>
    </row>
    <row r="15" spans="1:9" ht="20.399999999999999" x14ac:dyDescent="0.3">
      <c r="A15" s="326"/>
      <c r="B15" s="326"/>
      <c r="C15" s="282" t="s">
        <v>1200</v>
      </c>
      <c r="D15" s="282">
        <v>15256</v>
      </c>
      <c r="E15" s="280">
        <v>0</v>
      </c>
      <c r="F15" s="280">
        <v>0</v>
      </c>
      <c r="G15" s="280">
        <v>1</v>
      </c>
      <c r="H15" s="282"/>
      <c r="I15" s="282"/>
    </row>
    <row r="16" spans="1:9" x14ac:dyDescent="0.3">
      <c r="A16" s="326"/>
      <c r="B16" s="326"/>
      <c r="C16" s="282" t="s">
        <v>1199</v>
      </c>
      <c r="D16" s="282">
        <v>4493</v>
      </c>
      <c r="E16" s="280">
        <v>80021</v>
      </c>
      <c r="F16" s="280">
        <v>44.46</v>
      </c>
      <c r="G16" s="280">
        <v>4.62</v>
      </c>
      <c r="H16" s="281">
        <v>0</v>
      </c>
      <c r="I16" s="280">
        <v>0</v>
      </c>
    </row>
    <row r="17" spans="1:9" x14ac:dyDescent="0.3">
      <c r="A17" s="326"/>
      <c r="B17" s="326"/>
      <c r="C17" s="282" t="s">
        <v>1198</v>
      </c>
      <c r="D17" s="282">
        <v>4497</v>
      </c>
      <c r="E17" s="280">
        <v>8100</v>
      </c>
      <c r="F17" s="280">
        <v>4.2</v>
      </c>
      <c r="G17" s="280">
        <v>1.62</v>
      </c>
      <c r="H17" s="281">
        <v>0</v>
      </c>
      <c r="I17" s="280">
        <v>0</v>
      </c>
    </row>
    <row r="18" spans="1:9" x14ac:dyDescent="0.3">
      <c r="A18" s="326"/>
      <c r="B18" s="326"/>
      <c r="C18" s="282" t="s">
        <v>1197</v>
      </c>
      <c r="D18" s="282">
        <v>19763</v>
      </c>
      <c r="E18" s="280">
        <v>188444</v>
      </c>
      <c r="F18" s="280">
        <v>93.19</v>
      </c>
      <c r="G18" s="280">
        <v>23.19999</v>
      </c>
      <c r="H18" s="281">
        <v>0</v>
      </c>
      <c r="I18" s="280">
        <v>0</v>
      </c>
    </row>
    <row r="19" spans="1:9" x14ac:dyDescent="0.3">
      <c r="A19" s="326"/>
      <c r="B19" s="326"/>
      <c r="C19" s="282" t="s">
        <v>1196</v>
      </c>
      <c r="D19" s="282">
        <v>6228</v>
      </c>
      <c r="E19" s="280">
        <v>223799</v>
      </c>
      <c r="F19" s="280">
        <v>124.33</v>
      </c>
      <c r="G19" s="280">
        <v>0</v>
      </c>
      <c r="H19" s="281">
        <v>0</v>
      </c>
      <c r="I19" s="280">
        <v>0</v>
      </c>
    </row>
    <row r="20" spans="1:9" x14ac:dyDescent="0.3">
      <c r="A20" s="326"/>
      <c r="B20" s="326"/>
      <c r="C20" s="282" t="s">
        <v>1195</v>
      </c>
      <c r="D20" s="282">
        <v>19328</v>
      </c>
      <c r="E20" s="280">
        <v>0</v>
      </c>
      <c r="F20" s="280">
        <v>0</v>
      </c>
      <c r="G20" s="280">
        <v>6.6299999999999996E-3</v>
      </c>
      <c r="H20" s="281">
        <v>0</v>
      </c>
      <c r="I20" s="280">
        <v>0</v>
      </c>
    </row>
    <row r="21" spans="1:9" x14ac:dyDescent="0.3">
      <c r="A21" s="326"/>
      <c r="B21" s="326"/>
      <c r="C21" s="282" t="s">
        <v>1194</v>
      </c>
      <c r="D21" s="282">
        <v>12</v>
      </c>
      <c r="E21" s="280">
        <v>74.61</v>
      </c>
      <c r="F21" s="280">
        <v>0.04</v>
      </c>
      <c r="G21" s="280">
        <v>0.1</v>
      </c>
      <c r="H21" s="281">
        <v>0</v>
      </c>
      <c r="I21" s="280">
        <v>0</v>
      </c>
    </row>
    <row r="22" spans="1:9" x14ac:dyDescent="0.3">
      <c r="A22" s="326"/>
      <c r="B22" s="326"/>
      <c r="C22" s="282" t="s">
        <v>1193</v>
      </c>
      <c r="D22" s="282">
        <v>1154</v>
      </c>
      <c r="E22" s="280">
        <v>1980</v>
      </c>
      <c r="F22" s="280">
        <v>1</v>
      </c>
      <c r="G22" s="280">
        <v>0.18140000000000001</v>
      </c>
      <c r="H22" s="281">
        <v>0</v>
      </c>
      <c r="I22" s="280">
        <v>0</v>
      </c>
    </row>
    <row r="23" spans="1:9" x14ac:dyDescent="0.3">
      <c r="A23" s="326"/>
      <c r="B23" s="326"/>
      <c r="C23" s="282" t="s">
        <v>1192</v>
      </c>
      <c r="D23" s="282">
        <v>1153</v>
      </c>
      <c r="E23" s="280">
        <v>386</v>
      </c>
      <c r="F23" s="280">
        <v>0.18</v>
      </c>
      <c r="G23" s="280">
        <v>0</v>
      </c>
      <c r="H23" s="281">
        <v>0</v>
      </c>
      <c r="I23" s="280">
        <v>0</v>
      </c>
    </row>
    <row r="24" spans="1:9" ht="20.399999999999999" x14ac:dyDescent="0.3">
      <c r="A24" s="326"/>
      <c r="B24" s="326"/>
      <c r="C24" s="282" t="s">
        <v>1191</v>
      </c>
      <c r="D24" s="282">
        <v>2651</v>
      </c>
      <c r="E24" s="280">
        <v>853</v>
      </c>
      <c r="F24" s="280">
        <v>0.46</v>
      </c>
      <c r="G24" s="280">
        <v>0.15129999999999999</v>
      </c>
      <c r="H24" s="281">
        <v>0</v>
      </c>
      <c r="I24" s="280">
        <v>0</v>
      </c>
    </row>
    <row r="25" spans="1:9" ht="20.399999999999999" x14ac:dyDescent="0.3">
      <c r="A25" s="326"/>
      <c r="B25" s="326"/>
      <c r="C25" s="282" t="s">
        <v>1190</v>
      </c>
      <c r="D25" s="282">
        <v>22715</v>
      </c>
      <c r="E25" s="280">
        <v>0</v>
      </c>
      <c r="F25" s="280">
        <v>0</v>
      </c>
      <c r="G25" s="280">
        <v>0</v>
      </c>
      <c r="H25" s="281">
        <v>0</v>
      </c>
      <c r="I25" s="280">
        <v>0</v>
      </c>
    </row>
    <row r="26" spans="1:9" ht="20.399999999999999" x14ac:dyDescent="0.3">
      <c r="A26" s="326"/>
      <c r="B26" s="326"/>
      <c r="C26" s="282" t="s">
        <v>1189</v>
      </c>
      <c r="D26" s="282">
        <v>21257</v>
      </c>
      <c r="E26" s="280">
        <v>1286</v>
      </c>
      <c r="F26" s="280">
        <v>1</v>
      </c>
      <c r="G26" s="280">
        <v>0</v>
      </c>
      <c r="H26" s="281">
        <v>0</v>
      </c>
      <c r="I26" s="280">
        <v>0</v>
      </c>
    </row>
    <row r="27" spans="1:9" ht="20.399999999999999" x14ac:dyDescent="0.3">
      <c r="A27" s="326"/>
      <c r="B27" s="326"/>
      <c r="C27" s="282" t="s">
        <v>1188</v>
      </c>
      <c r="D27" s="282">
        <v>21254</v>
      </c>
      <c r="E27" s="280">
        <v>1841</v>
      </c>
      <c r="F27" s="280">
        <v>1</v>
      </c>
      <c r="G27" s="280">
        <v>0</v>
      </c>
      <c r="H27" s="281">
        <v>0</v>
      </c>
      <c r="I27" s="280">
        <v>0</v>
      </c>
    </row>
    <row r="28" spans="1:9" ht="20.399999999999999" x14ac:dyDescent="0.3">
      <c r="A28" s="326"/>
      <c r="B28" s="326"/>
      <c r="C28" s="282" t="s">
        <v>1187</v>
      </c>
      <c r="D28" s="282">
        <v>12092</v>
      </c>
      <c r="E28" s="280">
        <v>73528</v>
      </c>
      <c r="F28" s="280">
        <v>38</v>
      </c>
      <c r="G28" s="280">
        <v>1</v>
      </c>
      <c r="H28" s="281">
        <v>0</v>
      </c>
      <c r="I28" s="280">
        <v>0</v>
      </c>
    </row>
    <row r="29" spans="1:9" x14ac:dyDescent="0.3">
      <c r="A29" s="326"/>
      <c r="B29" s="327"/>
      <c r="C29" s="282" t="s">
        <v>1186</v>
      </c>
      <c r="D29" s="282">
        <v>9141</v>
      </c>
      <c r="E29" s="280">
        <v>21600</v>
      </c>
      <c r="F29" s="280">
        <v>11</v>
      </c>
      <c r="G29" s="280">
        <v>0.8</v>
      </c>
      <c r="H29" s="281">
        <v>0</v>
      </c>
      <c r="I29" s="280">
        <v>0</v>
      </c>
    </row>
    <row r="30" spans="1:9" x14ac:dyDescent="0.3">
      <c r="A30" s="326"/>
      <c r="B30" s="325" t="s">
        <v>1185</v>
      </c>
      <c r="C30" s="282" t="s">
        <v>373</v>
      </c>
      <c r="D30" s="282" t="s">
        <v>373</v>
      </c>
      <c r="E30" s="282" t="s">
        <v>373</v>
      </c>
      <c r="F30" s="282" t="s">
        <v>373</v>
      </c>
      <c r="G30" s="282" t="s">
        <v>373</v>
      </c>
      <c r="H30" s="282" t="s">
        <v>373</v>
      </c>
      <c r="I30" s="282" t="s">
        <v>373</v>
      </c>
    </row>
    <row r="31" spans="1:9" x14ac:dyDescent="0.3">
      <c r="A31" s="326"/>
      <c r="B31" s="327"/>
      <c r="C31" s="282" t="s">
        <v>475</v>
      </c>
      <c r="D31" s="282">
        <v>1015</v>
      </c>
      <c r="E31" s="280">
        <v>60000</v>
      </c>
      <c r="F31" s="280">
        <v>30.8</v>
      </c>
      <c r="G31" s="280">
        <v>7.1</v>
      </c>
      <c r="H31" s="281">
        <v>1</v>
      </c>
      <c r="I31" s="280">
        <v>5.0999999999999996</v>
      </c>
    </row>
    <row r="32" spans="1:9" x14ac:dyDescent="0.3">
      <c r="A32" s="326"/>
      <c r="B32" s="325" t="s">
        <v>1184</v>
      </c>
      <c r="C32" s="282" t="s">
        <v>373</v>
      </c>
      <c r="D32" s="282" t="s">
        <v>373</v>
      </c>
      <c r="E32" s="282" t="s">
        <v>373</v>
      </c>
      <c r="F32" s="282" t="s">
        <v>373</v>
      </c>
      <c r="G32" s="282" t="s">
        <v>373</v>
      </c>
      <c r="H32" s="282" t="s">
        <v>373</v>
      </c>
      <c r="I32" s="282" t="s">
        <v>373</v>
      </c>
    </row>
    <row r="33" spans="1:9" x14ac:dyDescent="0.3">
      <c r="A33" s="326"/>
      <c r="B33" s="326"/>
      <c r="C33" s="282" t="s">
        <v>1183</v>
      </c>
      <c r="D33" s="282">
        <v>17072</v>
      </c>
      <c r="E33" s="280">
        <v>32000</v>
      </c>
      <c r="F33" s="280">
        <v>16.399999999999999</v>
      </c>
      <c r="G33" s="280">
        <v>1</v>
      </c>
      <c r="H33" s="281">
        <v>0</v>
      </c>
      <c r="I33" s="280">
        <v>0</v>
      </c>
    </row>
    <row r="34" spans="1:9" x14ac:dyDescent="0.3">
      <c r="A34" s="326"/>
      <c r="B34" s="326"/>
      <c r="C34" s="282" t="s">
        <v>1182</v>
      </c>
      <c r="D34" s="282">
        <v>6216</v>
      </c>
      <c r="E34" s="280">
        <v>40050</v>
      </c>
      <c r="F34" s="280">
        <v>20.5</v>
      </c>
      <c r="G34" s="280">
        <v>4</v>
      </c>
      <c r="H34" s="281">
        <v>1</v>
      </c>
      <c r="I34" s="280">
        <v>4</v>
      </c>
    </row>
    <row r="35" spans="1:9" x14ac:dyDescent="0.3">
      <c r="A35" s="326"/>
      <c r="B35" s="326"/>
      <c r="C35" s="282" t="s">
        <v>1181</v>
      </c>
      <c r="D35" s="282">
        <v>6215</v>
      </c>
      <c r="E35" s="280">
        <v>62760</v>
      </c>
      <c r="F35" s="280">
        <v>32.200000000000003</v>
      </c>
      <c r="G35" s="280">
        <v>6</v>
      </c>
      <c r="H35" s="281">
        <v>1</v>
      </c>
      <c r="I35" s="280">
        <v>6</v>
      </c>
    </row>
    <row r="36" spans="1:9" x14ac:dyDescent="0.3">
      <c r="A36" s="326"/>
      <c r="B36" s="326"/>
      <c r="C36" s="282" t="s">
        <v>1180</v>
      </c>
      <c r="D36" s="282">
        <v>22935</v>
      </c>
      <c r="E36" s="280">
        <v>75447</v>
      </c>
      <c r="F36" s="280">
        <v>38.700000000000003</v>
      </c>
      <c r="G36" s="280">
        <v>0</v>
      </c>
      <c r="H36" s="281">
        <v>0</v>
      </c>
      <c r="I36" s="280">
        <v>0</v>
      </c>
    </row>
    <row r="37" spans="1:9" x14ac:dyDescent="0.3">
      <c r="A37" s="326"/>
      <c r="B37" s="326"/>
      <c r="C37" s="282" t="s">
        <v>1179</v>
      </c>
      <c r="D37" s="282">
        <v>8084</v>
      </c>
      <c r="E37" s="280">
        <v>75447</v>
      </c>
      <c r="F37" s="280">
        <v>38.700000000000003</v>
      </c>
      <c r="G37" s="280">
        <v>1</v>
      </c>
      <c r="H37" s="281">
        <v>0</v>
      </c>
      <c r="I37" s="280">
        <v>0</v>
      </c>
    </row>
    <row r="38" spans="1:9" x14ac:dyDescent="0.3">
      <c r="A38" s="326"/>
      <c r="B38" s="326"/>
      <c r="C38" s="282" t="s">
        <v>1178</v>
      </c>
      <c r="D38" s="282">
        <v>22936</v>
      </c>
      <c r="E38" s="280">
        <v>0</v>
      </c>
      <c r="F38" s="280">
        <v>0</v>
      </c>
      <c r="G38" s="280">
        <v>0</v>
      </c>
      <c r="H38" s="281">
        <v>0</v>
      </c>
      <c r="I38" s="280">
        <v>0</v>
      </c>
    </row>
    <row r="39" spans="1:9" x14ac:dyDescent="0.3">
      <c r="A39" s="326"/>
      <c r="B39" s="326"/>
      <c r="C39" s="282" t="s">
        <v>1177</v>
      </c>
      <c r="D39" s="282">
        <v>6213</v>
      </c>
      <c r="E39" s="280">
        <v>86421</v>
      </c>
      <c r="F39" s="280">
        <v>44.3</v>
      </c>
      <c r="G39" s="280">
        <v>17.399899999999999</v>
      </c>
      <c r="H39" s="281">
        <v>1</v>
      </c>
      <c r="I39" s="280">
        <v>9.9</v>
      </c>
    </row>
    <row r="40" spans="1:9" x14ac:dyDescent="0.3">
      <c r="A40" s="326"/>
      <c r="B40" s="326"/>
      <c r="C40" s="282" t="s">
        <v>1176</v>
      </c>
      <c r="D40" s="282">
        <v>6217</v>
      </c>
      <c r="E40" s="280">
        <v>98423</v>
      </c>
      <c r="F40" s="280">
        <v>50.5</v>
      </c>
      <c r="G40" s="280">
        <v>11.8</v>
      </c>
      <c r="H40" s="281">
        <v>1</v>
      </c>
      <c r="I40" s="280">
        <v>11.8</v>
      </c>
    </row>
    <row r="41" spans="1:9" x14ac:dyDescent="0.3">
      <c r="A41" s="326"/>
      <c r="B41" s="326"/>
      <c r="C41" s="282" t="s">
        <v>1175</v>
      </c>
      <c r="D41" s="282">
        <v>6212</v>
      </c>
      <c r="E41" s="280">
        <v>140297</v>
      </c>
      <c r="F41" s="280">
        <v>71.900000000000006</v>
      </c>
      <c r="G41" s="280">
        <v>15</v>
      </c>
      <c r="H41" s="281">
        <v>1</v>
      </c>
      <c r="I41" s="280">
        <v>13.8</v>
      </c>
    </row>
    <row r="42" spans="1:9" x14ac:dyDescent="0.3">
      <c r="A42" s="326"/>
      <c r="B42" s="326"/>
      <c r="C42" s="282" t="s">
        <v>1174</v>
      </c>
      <c r="D42" s="282">
        <v>6211</v>
      </c>
      <c r="E42" s="280">
        <v>152299</v>
      </c>
      <c r="F42" s="280">
        <v>78.099999999999994</v>
      </c>
      <c r="G42" s="280">
        <v>15.8</v>
      </c>
      <c r="H42" s="281">
        <v>1</v>
      </c>
      <c r="I42" s="280">
        <v>15.8</v>
      </c>
    </row>
    <row r="43" spans="1:9" x14ac:dyDescent="0.3">
      <c r="A43" s="326"/>
      <c r="B43" s="326"/>
      <c r="C43" s="282" t="s">
        <v>1173</v>
      </c>
      <c r="D43" s="282">
        <v>14802</v>
      </c>
      <c r="E43" s="280">
        <v>176254</v>
      </c>
      <c r="F43" s="280">
        <v>90.4</v>
      </c>
      <c r="G43" s="280">
        <v>1</v>
      </c>
      <c r="H43" s="281">
        <v>0</v>
      </c>
      <c r="I43" s="280">
        <v>0</v>
      </c>
    </row>
    <row r="44" spans="1:9" x14ac:dyDescent="0.3">
      <c r="A44" s="326"/>
      <c r="B44" s="326"/>
      <c r="C44" s="282" t="s">
        <v>1172</v>
      </c>
      <c r="D44" s="282">
        <v>17153</v>
      </c>
      <c r="E44" s="280">
        <v>188305</v>
      </c>
      <c r="F44" s="280">
        <v>96.6</v>
      </c>
      <c r="G44" s="280">
        <v>1</v>
      </c>
      <c r="H44" s="281">
        <v>0</v>
      </c>
      <c r="I44" s="280">
        <v>0</v>
      </c>
    </row>
    <row r="45" spans="1:9" x14ac:dyDescent="0.3">
      <c r="A45" s="326"/>
      <c r="B45" s="327"/>
      <c r="C45" s="282" t="s">
        <v>1171</v>
      </c>
      <c r="D45" s="282">
        <v>17154</v>
      </c>
      <c r="E45" s="280">
        <v>200307</v>
      </c>
      <c r="F45" s="280">
        <v>102.7</v>
      </c>
      <c r="G45" s="280">
        <v>1</v>
      </c>
      <c r="H45" s="281">
        <v>0</v>
      </c>
      <c r="I45" s="280">
        <v>0</v>
      </c>
    </row>
    <row r="46" spans="1:9" x14ac:dyDescent="0.3">
      <c r="A46" s="326"/>
      <c r="B46" s="325" t="s">
        <v>1170</v>
      </c>
      <c r="C46" s="282" t="s">
        <v>373</v>
      </c>
      <c r="D46" s="282" t="s">
        <v>373</v>
      </c>
      <c r="E46" s="282" t="s">
        <v>373</v>
      </c>
      <c r="F46" s="282" t="s">
        <v>373</v>
      </c>
      <c r="G46" s="282" t="s">
        <v>373</v>
      </c>
      <c r="H46" s="282" t="s">
        <v>373</v>
      </c>
      <c r="I46" s="282" t="s">
        <v>373</v>
      </c>
    </row>
    <row r="47" spans="1:9" x14ac:dyDescent="0.3">
      <c r="A47" s="326"/>
      <c r="B47" s="326"/>
      <c r="C47" s="282" t="s">
        <v>1169</v>
      </c>
      <c r="D47" s="282">
        <v>17768</v>
      </c>
      <c r="E47" s="280">
        <v>84000</v>
      </c>
      <c r="F47" s="280">
        <v>43.1</v>
      </c>
      <c r="G47" s="280">
        <v>1</v>
      </c>
      <c r="H47" s="281">
        <v>0</v>
      </c>
      <c r="I47" s="280">
        <v>0</v>
      </c>
    </row>
    <row r="48" spans="1:9" x14ac:dyDescent="0.3">
      <c r="A48" s="326"/>
      <c r="B48" s="326"/>
      <c r="C48" s="282" t="s">
        <v>1168</v>
      </c>
      <c r="D48" s="282">
        <v>25668</v>
      </c>
      <c r="E48" s="280">
        <v>94000</v>
      </c>
      <c r="F48" s="280">
        <v>48.2</v>
      </c>
      <c r="G48" s="280">
        <v>0</v>
      </c>
      <c r="H48" s="281">
        <v>0</v>
      </c>
      <c r="I48" s="280">
        <v>0</v>
      </c>
    </row>
    <row r="49" spans="1:9" x14ac:dyDescent="0.3">
      <c r="A49" s="326"/>
      <c r="B49" s="326"/>
      <c r="C49" s="282" t="s">
        <v>1167</v>
      </c>
      <c r="D49" s="282">
        <v>21441</v>
      </c>
      <c r="E49" s="280">
        <v>104000</v>
      </c>
      <c r="F49" s="280">
        <v>53.3</v>
      </c>
      <c r="G49" s="280">
        <v>0.182</v>
      </c>
      <c r="H49" s="281">
        <v>0</v>
      </c>
      <c r="I49" s="280">
        <v>0</v>
      </c>
    </row>
    <row r="50" spans="1:9" x14ac:dyDescent="0.3">
      <c r="A50" s="326"/>
      <c r="B50" s="326"/>
      <c r="C50" s="282" t="s">
        <v>1166</v>
      </c>
      <c r="D50" s="282">
        <v>19620</v>
      </c>
      <c r="E50" s="280">
        <v>131000</v>
      </c>
      <c r="F50" s="280">
        <v>67.2</v>
      </c>
      <c r="G50" s="280">
        <v>1</v>
      </c>
      <c r="H50" s="281">
        <v>0</v>
      </c>
      <c r="I50" s="280">
        <v>0</v>
      </c>
    </row>
    <row r="51" spans="1:9" x14ac:dyDescent="0.3">
      <c r="A51" s="326"/>
      <c r="B51" s="326"/>
      <c r="C51" s="282" t="s">
        <v>1165</v>
      </c>
      <c r="D51" s="282">
        <v>28221</v>
      </c>
      <c r="E51" s="280">
        <v>0</v>
      </c>
      <c r="F51" s="280">
        <v>0</v>
      </c>
      <c r="G51" s="280">
        <v>0</v>
      </c>
      <c r="H51" s="281">
        <v>0</v>
      </c>
      <c r="I51" s="280">
        <v>0</v>
      </c>
    </row>
    <row r="52" spans="1:9" x14ac:dyDescent="0.3">
      <c r="A52" s="326"/>
      <c r="B52" s="326"/>
      <c r="C52" s="282" t="s">
        <v>1164</v>
      </c>
      <c r="D52" s="282">
        <v>28222</v>
      </c>
      <c r="E52" s="280">
        <v>0</v>
      </c>
      <c r="F52" s="280">
        <v>0</v>
      </c>
      <c r="G52" s="280">
        <v>0</v>
      </c>
      <c r="H52" s="281">
        <v>0</v>
      </c>
      <c r="I52" s="280">
        <v>0</v>
      </c>
    </row>
    <row r="53" spans="1:9" x14ac:dyDescent="0.3">
      <c r="A53" s="326"/>
      <c r="B53" s="326"/>
      <c r="C53" s="282" t="s">
        <v>1163</v>
      </c>
      <c r="D53" s="282">
        <v>17769</v>
      </c>
      <c r="E53" s="280">
        <v>191000</v>
      </c>
      <c r="F53" s="280">
        <v>97.9</v>
      </c>
      <c r="G53" s="280">
        <v>64.400000000000006</v>
      </c>
      <c r="H53" s="281">
        <v>0</v>
      </c>
      <c r="I53" s="280">
        <v>0</v>
      </c>
    </row>
    <row r="54" spans="1:9" x14ac:dyDescent="0.3">
      <c r="A54" s="326"/>
      <c r="B54" s="326"/>
      <c r="C54" s="282" t="s">
        <v>1162</v>
      </c>
      <c r="D54" s="282">
        <v>14998</v>
      </c>
      <c r="E54" s="280">
        <v>132000</v>
      </c>
      <c r="F54" s="280">
        <v>67.7</v>
      </c>
      <c r="G54" s="280">
        <v>18</v>
      </c>
      <c r="H54" s="281">
        <v>0</v>
      </c>
      <c r="I54" s="280">
        <v>0</v>
      </c>
    </row>
    <row r="55" spans="1:9" x14ac:dyDescent="0.3">
      <c r="A55" s="326"/>
      <c r="B55" s="326"/>
      <c r="C55" s="282" t="s">
        <v>1161</v>
      </c>
      <c r="D55" s="282">
        <v>14999</v>
      </c>
      <c r="E55" s="280">
        <v>154500</v>
      </c>
      <c r="F55" s="280">
        <v>79.2</v>
      </c>
      <c r="G55" s="280">
        <v>27.19999</v>
      </c>
      <c r="H55" s="281">
        <v>0</v>
      </c>
      <c r="I55" s="280">
        <v>0</v>
      </c>
    </row>
    <row r="56" spans="1:9" x14ac:dyDescent="0.3">
      <c r="A56" s="326"/>
      <c r="B56" s="326"/>
      <c r="C56" s="282" t="s">
        <v>1160</v>
      </c>
      <c r="D56" s="282">
        <v>15000</v>
      </c>
      <c r="E56" s="280">
        <v>177000</v>
      </c>
      <c r="F56" s="280">
        <v>90.8</v>
      </c>
      <c r="G56" s="280">
        <v>1</v>
      </c>
      <c r="H56" s="281">
        <v>0</v>
      </c>
      <c r="I56" s="280">
        <v>0</v>
      </c>
    </row>
    <row r="57" spans="1:9" x14ac:dyDescent="0.3">
      <c r="A57" s="326"/>
      <c r="B57" s="327"/>
      <c r="C57" s="282" t="s">
        <v>1159</v>
      </c>
      <c r="D57" s="282">
        <v>15001</v>
      </c>
      <c r="E57" s="280">
        <v>206000</v>
      </c>
      <c r="F57" s="280">
        <v>105.6</v>
      </c>
      <c r="G57" s="280">
        <v>34.200000000000003</v>
      </c>
      <c r="H57" s="281">
        <v>0</v>
      </c>
      <c r="I57" s="280">
        <v>0</v>
      </c>
    </row>
    <row r="58" spans="1:9" x14ac:dyDescent="0.3">
      <c r="A58" s="326"/>
      <c r="B58" s="325" t="s">
        <v>1158</v>
      </c>
      <c r="C58" s="282" t="s">
        <v>373</v>
      </c>
      <c r="D58" s="282" t="s">
        <v>373</v>
      </c>
      <c r="E58" s="282" t="s">
        <v>373</v>
      </c>
      <c r="F58" s="282" t="s">
        <v>373</v>
      </c>
      <c r="G58" s="282" t="s">
        <v>373</v>
      </c>
      <c r="H58" s="282" t="s">
        <v>373</v>
      </c>
      <c r="I58" s="282" t="s">
        <v>373</v>
      </c>
    </row>
    <row r="59" spans="1:9" x14ac:dyDescent="0.3">
      <c r="A59" s="326"/>
      <c r="B59" s="326"/>
      <c r="C59" s="282" t="s">
        <v>475</v>
      </c>
      <c r="D59" s="282">
        <v>13497</v>
      </c>
      <c r="E59" s="280">
        <v>11100</v>
      </c>
      <c r="F59" s="280">
        <v>5.7</v>
      </c>
      <c r="G59" s="280">
        <v>1.6</v>
      </c>
      <c r="H59" s="281">
        <v>0</v>
      </c>
      <c r="I59" s="280">
        <v>0</v>
      </c>
    </row>
    <row r="60" spans="1:9" x14ac:dyDescent="0.3">
      <c r="A60" s="326"/>
      <c r="B60" s="327"/>
      <c r="C60" s="282" t="s">
        <v>1157</v>
      </c>
      <c r="D60" s="282">
        <v>13147</v>
      </c>
      <c r="E60" s="280">
        <v>4765</v>
      </c>
      <c r="F60" s="280">
        <v>2.38</v>
      </c>
      <c r="G60" s="280">
        <v>0.624</v>
      </c>
      <c r="H60" s="281">
        <v>0</v>
      </c>
      <c r="I60" s="280">
        <v>0</v>
      </c>
    </row>
    <row r="61" spans="1:9" x14ac:dyDescent="0.3">
      <c r="A61" s="326"/>
      <c r="B61" s="325" t="s">
        <v>1156</v>
      </c>
      <c r="C61" s="282" t="s">
        <v>373</v>
      </c>
      <c r="D61" s="282" t="s">
        <v>373</v>
      </c>
      <c r="E61" s="282" t="s">
        <v>373</v>
      </c>
      <c r="F61" s="282" t="s">
        <v>373</v>
      </c>
      <c r="G61" s="282" t="s">
        <v>373</v>
      </c>
      <c r="H61" s="282" t="s">
        <v>373</v>
      </c>
      <c r="I61" s="282" t="s">
        <v>373</v>
      </c>
    </row>
    <row r="62" spans="1:9" x14ac:dyDescent="0.3">
      <c r="A62" s="326"/>
      <c r="B62" s="327"/>
      <c r="C62" s="282" t="s">
        <v>1155</v>
      </c>
      <c r="D62" s="282">
        <v>966</v>
      </c>
      <c r="E62" s="280">
        <v>75622</v>
      </c>
      <c r="F62" s="280">
        <v>37.81</v>
      </c>
      <c r="G62" s="280">
        <v>8.9</v>
      </c>
      <c r="H62" s="281">
        <v>1</v>
      </c>
      <c r="I62" s="280">
        <v>7.9</v>
      </c>
    </row>
    <row r="63" spans="1:9" x14ac:dyDescent="0.3">
      <c r="A63" s="326"/>
      <c r="B63" s="325" t="s">
        <v>1154</v>
      </c>
      <c r="C63" s="282" t="s">
        <v>373</v>
      </c>
      <c r="D63" s="282" t="s">
        <v>373</v>
      </c>
      <c r="E63" s="282" t="s">
        <v>373</v>
      </c>
      <c r="F63" s="282" t="s">
        <v>373</v>
      </c>
      <c r="G63" s="282" t="s">
        <v>373</v>
      </c>
      <c r="H63" s="282" t="s">
        <v>373</v>
      </c>
      <c r="I63" s="282" t="s">
        <v>373</v>
      </c>
    </row>
    <row r="64" spans="1:9" x14ac:dyDescent="0.3">
      <c r="A64" s="326"/>
      <c r="B64" s="326"/>
      <c r="C64" s="282" t="s">
        <v>1153</v>
      </c>
      <c r="D64" s="282">
        <v>9729</v>
      </c>
      <c r="E64" s="280">
        <v>84988</v>
      </c>
      <c r="F64" s="280">
        <v>43.6</v>
      </c>
      <c r="G64" s="280">
        <v>0</v>
      </c>
      <c r="H64" s="281">
        <v>0</v>
      </c>
      <c r="I64" s="280">
        <v>0</v>
      </c>
    </row>
    <row r="65" spans="1:9" x14ac:dyDescent="0.3">
      <c r="A65" s="326"/>
      <c r="B65" s="327"/>
      <c r="C65" s="282" t="s">
        <v>1152</v>
      </c>
      <c r="D65" s="282">
        <v>9736</v>
      </c>
      <c r="E65" s="280">
        <v>92072</v>
      </c>
      <c r="F65" s="280">
        <v>47.2</v>
      </c>
      <c r="G65" s="280">
        <v>0</v>
      </c>
      <c r="H65" s="281">
        <v>0</v>
      </c>
      <c r="I65" s="280">
        <v>0</v>
      </c>
    </row>
    <row r="66" spans="1:9" x14ac:dyDescent="0.3">
      <c r="A66" s="326"/>
      <c r="B66" s="325" t="s">
        <v>1151</v>
      </c>
      <c r="C66" s="282" t="s">
        <v>373</v>
      </c>
      <c r="D66" s="282" t="s">
        <v>373</v>
      </c>
      <c r="E66" s="282" t="s">
        <v>373</v>
      </c>
      <c r="F66" s="282" t="s">
        <v>373</v>
      </c>
      <c r="G66" s="282" t="s">
        <v>373</v>
      </c>
      <c r="H66" s="282" t="s">
        <v>373</v>
      </c>
      <c r="I66" s="282" t="s">
        <v>373</v>
      </c>
    </row>
    <row r="67" spans="1:9" x14ac:dyDescent="0.3">
      <c r="A67" s="326"/>
      <c r="B67" s="326"/>
      <c r="C67" s="282" t="s">
        <v>1149</v>
      </c>
      <c r="D67" s="282">
        <v>23484</v>
      </c>
      <c r="E67" s="280">
        <v>35188</v>
      </c>
      <c r="F67" s="280">
        <v>18</v>
      </c>
      <c r="G67" s="280">
        <v>0</v>
      </c>
      <c r="H67" s="281">
        <v>0</v>
      </c>
      <c r="I67" s="282"/>
    </row>
    <row r="68" spans="1:9" x14ac:dyDescent="0.3">
      <c r="A68" s="326"/>
      <c r="B68" s="326"/>
      <c r="C68" s="282" t="s">
        <v>1143</v>
      </c>
      <c r="D68" s="282">
        <v>23483</v>
      </c>
      <c r="E68" s="280">
        <v>68263</v>
      </c>
      <c r="F68" s="280">
        <v>35</v>
      </c>
      <c r="G68" s="280">
        <v>0</v>
      </c>
      <c r="H68" s="281">
        <v>0</v>
      </c>
      <c r="I68" s="282"/>
    </row>
    <row r="69" spans="1:9" x14ac:dyDescent="0.3">
      <c r="A69" s="326"/>
      <c r="B69" s="327"/>
      <c r="C69" s="282" t="s">
        <v>1140</v>
      </c>
      <c r="D69" s="282">
        <v>23485</v>
      </c>
      <c r="E69" s="280">
        <v>21722</v>
      </c>
      <c r="F69" s="280">
        <v>11.1</v>
      </c>
      <c r="G69" s="280">
        <v>0</v>
      </c>
      <c r="H69" s="281">
        <v>0</v>
      </c>
      <c r="I69" s="282"/>
    </row>
    <row r="70" spans="1:9" x14ac:dyDescent="0.3">
      <c r="A70" s="326"/>
      <c r="B70" s="325" t="s">
        <v>1150</v>
      </c>
      <c r="C70" s="282" t="s">
        <v>373</v>
      </c>
      <c r="D70" s="282" t="s">
        <v>373</v>
      </c>
      <c r="E70" s="282" t="s">
        <v>373</v>
      </c>
      <c r="F70" s="282" t="s">
        <v>373</v>
      </c>
      <c r="G70" s="282" t="s">
        <v>373</v>
      </c>
      <c r="H70" s="282" t="s">
        <v>373</v>
      </c>
      <c r="I70" s="282" t="s">
        <v>373</v>
      </c>
    </row>
    <row r="71" spans="1:9" x14ac:dyDescent="0.3">
      <c r="A71" s="326"/>
      <c r="B71" s="326"/>
      <c r="C71" s="282" t="s">
        <v>1149</v>
      </c>
      <c r="D71" s="282">
        <v>14811</v>
      </c>
      <c r="E71" s="280">
        <v>49650</v>
      </c>
      <c r="F71" s="280">
        <v>25.5</v>
      </c>
      <c r="G71" s="280">
        <v>1</v>
      </c>
      <c r="H71" s="281">
        <v>0</v>
      </c>
      <c r="I71" s="280">
        <v>0</v>
      </c>
    </row>
    <row r="72" spans="1:9" x14ac:dyDescent="0.3">
      <c r="A72" s="326"/>
      <c r="B72" s="326"/>
      <c r="C72" s="282" t="s">
        <v>1148</v>
      </c>
      <c r="D72" s="282">
        <v>18150</v>
      </c>
      <c r="E72" s="280">
        <v>54400</v>
      </c>
      <c r="F72" s="280">
        <v>27.9</v>
      </c>
      <c r="G72" s="280">
        <v>1</v>
      </c>
      <c r="H72" s="281">
        <v>0</v>
      </c>
      <c r="I72" s="280">
        <v>0</v>
      </c>
    </row>
    <row r="73" spans="1:9" x14ac:dyDescent="0.3">
      <c r="A73" s="326"/>
      <c r="B73" s="326"/>
      <c r="C73" s="282" t="s">
        <v>1147</v>
      </c>
      <c r="D73" s="282">
        <v>14696</v>
      </c>
      <c r="E73" s="280">
        <v>62700</v>
      </c>
      <c r="F73" s="280">
        <v>32.200000000000003</v>
      </c>
      <c r="G73" s="280">
        <v>1</v>
      </c>
      <c r="H73" s="281">
        <v>0</v>
      </c>
      <c r="I73" s="280">
        <v>0</v>
      </c>
    </row>
    <row r="74" spans="1:9" x14ac:dyDescent="0.3">
      <c r="A74" s="326"/>
      <c r="B74" s="326"/>
      <c r="C74" s="282" t="s">
        <v>1146</v>
      </c>
      <c r="D74" s="282">
        <v>15358</v>
      </c>
      <c r="E74" s="280">
        <v>75300</v>
      </c>
      <c r="F74" s="280">
        <v>38.6</v>
      </c>
      <c r="G74" s="280">
        <v>1</v>
      </c>
      <c r="H74" s="281">
        <v>0</v>
      </c>
      <c r="I74" s="280">
        <v>0</v>
      </c>
    </row>
    <row r="75" spans="1:9" x14ac:dyDescent="0.3">
      <c r="A75" s="326"/>
      <c r="B75" s="326"/>
      <c r="C75" s="282" t="s">
        <v>1145</v>
      </c>
      <c r="D75" s="282">
        <v>15357</v>
      </c>
      <c r="E75" s="280">
        <v>87800</v>
      </c>
      <c r="F75" s="280">
        <v>45</v>
      </c>
      <c r="G75" s="280">
        <v>1</v>
      </c>
      <c r="H75" s="281">
        <v>0</v>
      </c>
      <c r="I75" s="280">
        <v>0</v>
      </c>
    </row>
    <row r="76" spans="1:9" x14ac:dyDescent="0.3">
      <c r="A76" s="326"/>
      <c r="B76" s="326"/>
      <c r="C76" s="282" t="s">
        <v>1144</v>
      </c>
      <c r="D76" s="282">
        <v>8119</v>
      </c>
      <c r="E76" s="280">
        <v>92000</v>
      </c>
      <c r="F76" s="280">
        <v>47.2</v>
      </c>
      <c r="G76" s="280">
        <v>1</v>
      </c>
      <c r="H76" s="281">
        <v>0</v>
      </c>
      <c r="I76" s="280">
        <v>0</v>
      </c>
    </row>
    <row r="77" spans="1:9" x14ac:dyDescent="0.3">
      <c r="A77" s="326"/>
      <c r="B77" s="326"/>
      <c r="C77" s="282" t="s">
        <v>1143</v>
      </c>
      <c r="D77" s="282">
        <v>4574</v>
      </c>
      <c r="E77" s="280">
        <v>112650</v>
      </c>
      <c r="F77" s="280">
        <v>57.8</v>
      </c>
      <c r="G77" s="280">
        <v>10.4</v>
      </c>
      <c r="H77" s="281">
        <v>0</v>
      </c>
      <c r="I77" s="280">
        <v>0</v>
      </c>
    </row>
    <row r="78" spans="1:9" x14ac:dyDescent="0.3">
      <c r="A78" s="326"/>
      <c r="B78" s="326"/>
      <c r="C78" s="282" t="s">
        <v>1142</v>
      </c>
      <c r="D78" s="282">
        <v>8120</v>
      </c>
      <c r="E78" s="280">
        <v>104500</v>
      </c>
      <c r="F78" s="280">
        <v>53.6</v>
      </c>
      <c r="G78" s="280">
        <v>1</v>
      </c>
      <c r="H78" s="281">
        <v>0</v>
      </c>
      <c r="I78" s="280">
        <v>0</v>
      </c>
    </row>
    <row r="79" spans="1:9" x14ac:dyDescent="0.3">
      <c r="A79" s="326"/>
      <c r="B79" s="326"/>
      <c r="C79" s="282" t="s">
        <v>1141</v>
      </c>
      <c r="D79" s="282">
        <v>8107</v>
      </c>
      <c r="E79" s="280">
        <v>138000</v>
      </c>
      <c r="F79" s="280">
        <v>70.8</v>
      </c>
      <c r="G79" s="280">
        <v>1</v>
      </c>
      <c r="H79" s="281">
        <v>0</v>
      </c>
      <c r="I79" s="280">
        <v>0</v>
      </c>
    </row>
    <row r="80" spans="1:9" x14ac:dyDescent="0.3">
      <c r="A80" s="326"/>
      <c r="B80" s="326"/>
      <c r="C80" s="282" t="s">
        <v>1140</v>
      </c>
      <c r="D80" s="282">
        <v>14697</v>
      </c>
      <c r="E80" s="280">
        <v>22900</v>
      </c>
      <c r="F80" s="280">
        <v>11.7</v>
      </c>
      <c r="G80" s="280">
        <v>1</v>
      </c>
      <c r="H80" s="281">
        <v>0</v>
      </c>
      <c r="I80" s="280">
        <v>0</v>
      </c>
    </row>
    <row r="81" spans="1:9" x14ac:dyDescent="0.3">
      <c r="A81" s="326"/>
      <c r="B81" s="327"/>
      <c r="C81" s="282" t="s">
        <v>1139</v>
      </c>
      <c r="D81" s="282">
        <v>15359</v>
      </c>
      <c r="E81" s="280">
        <v>38700</v>
      </c>
      <c r="F81" s="280">
        <v>19.8</v>
      </c>
      <c r="G81" s="280">
        <v>1</v>
      </c>
      <c r="H81" s="281">
        <v>0</v>
      </c>
      <c r="I81" s="280">
        <v>0</v>
      </c>
    </row>
    <row r="82" spans="1:9" x14ac:dyDescent="0.3">
      <c r="A82" s="326"/>
      <c r="B82" s="325" t="s">
        <v>1138</v>
      </c>
      <c r="C82" s="282" t="s">
        <v>373</v>
      </c>
      <c r="D82" s="282" t="s">
        <v>373</v>
      </c>
      <c r="E82" s="282" t="s">
        <v>373</v>
      </c>
      <c r="F82" s="282" t="s">
        <v>373</v>
      </c>
      <c r="G82" s="282" t="s">
        <v>373</v>
      </c>
      <c r="H82" s="282" t="s">
        <v>373</v>
      </c>
      <c r="I82" s="282" t="s">
        <v>373</v>
      </c>
    </row>
    <row r="83" spans="1:9" x14ac:dyDescent="0.3">
      <c r="A83" s="326"/>
      <c r="B83" s="326"/>
      <c r="C83" s="282" t="s">
        <v>1137</v>
      </c>
      <c r="D83" s="282">
        <v>2750</v>
      </c>
      <c r="E83" s="280">
        <v>4442</v>
      </c>
      <c r="F83" s="280">
        <v>2.2200000000000002</v>
      </c>
      <c r="G83" s="280">
        <v>0</v>
      </c>
      <c r="H83" s="281">
        <v>0</v>
      </c>
      <c r="I83" s="280">
        <v>0</v>
      </c>
    </row>
    <row r="84" spans="1:9" x14ac:dyDescent="0.3">
      <c r="A84" s="326"/>
      <c r="B84" s="326"/>
      <c r="C84" s="282" t="s">
        <v>1136</v>
      </c>
      <c r="D84" s="282">
        <v>11785</v>
      </c>
      <c r="E84" s="280">
        <v>5064</v>
      </c>
      <c r="F84" s="280">
        <v>2.6</v>
      </c>
      <c r="G84" s="280">
        <v>0.03</v>
      </c>
      <c r="H84" s="281">
        <v>0</v>
      </c>
      <c r="I84" s="280">
        <v>0</v>
      </c>
    </row>
    <row r="85" spans="1:9" x14ac:dyDescent="0.3">
      <c r="A85" s="326"/>
      <c r="B85" s="326"/>
      <c r="C85" s="282" t="s">
        <v>1135</v>
      </c>
      <c r="D85" s="282">
        <v>9093</v>
      </c>
      <c r="E85" s="280">
        <v>2586</v>
      </c>
      <c r="F85" s="280">
        <v>1.3</v>
      </c>
      <c r="G85" s="280">
        <v>1.7500000000000002E-2</v>
      </c>
      <c r="H85" s="281">
        <v>0</v>
      </c>
      <c r="I85" s="280">
        <v>0</v>
      </c>
    </row>
    <row r="86" spans="1:9" x14ac:dyDescent="0.3">
      <c r="A86" s="327"/>
      <c r="B86" s="327"/>
      <c r="C86" s="282" t="s">
        <v>1134</v>
      </c>
      <c r="D86" s="282">
        <v>13330</v>
      </c>
      <c r="E86" s="280">
        <v>3461</v>
      </c>
      <c r="F86" s="280">
        <v>1.8</v>
      </c>
      <c r="G86" s="280">
        <v>1</v>
      </c>
      <c r="H86" s="282"/>
      <c r="I86" s="282"/>
    </row>
    <row r="87" spans="1:9" x14ac:dyDescent="0.3">
      <c r="A87" s="325" t="s">
        <v>145</v>
      </c>
      <c r="B87" s="282" t="s">
        <v>373</v>
      </c>
      <c r="C87" s="282" t="s">
        <v>373</v>
      </c>
      <c r="D87" s="282" t="s">
        <v>373</v>
      </c>
      <c r="E87" s="282" t="s">
        <v>373</v>
      </c>
      <c r="F87" s="282" t="s">
        <v>373</v>
      </c>
      <c r="G87" s="282" t="s">
        <v>373</v>
      </c>
      <c r="H87" s="282" t="s">
        <v>373</v>
      </c>
      <c r="I87" s="282" t="s">
        <v>373</v>
      </c>
    </row>
    <row r="88" spans="1:9" x14ac:dyDescent="0.3">
      <c r="A88" s="326"/>
      <c r="B88" s="325" t="s">
        <v>1133</v>
      </c>
      <c r="C88" s="282" t="s">
        <v>373</v>
      </c>
      <c r="D88" s="282" t="s">
        <v>373</v>
      </c>
      <c r="E88" s="282" t="s">
        <v>373</v>
      </c>
      <c r="F88" s="282" t="s">
        <v>373</v>
      </c>
      <c r="G88" s="282" t="s">
        <v>373</v>
      </c>
      <c r="H88" s="282" t="s">
        <v>373</v>
      </c>
      <c r="I88" s="282" t="s">
        <v>373</v>
      </c>
    </row>
    <row r="89" spans="1:9" x14ac:dyDescent="0.3">
      <c r="A89" s="326"/>
      <c r="B89" s="327"/>
      <c r="C89" s="282" t="s">
        <v>475</v>
      </c>
      <c r="D89" s="282">
        <v>3635</v>
      </c>
      <c r="E89" s="280">
        <v>50000</v>
      </c>
      <c r="F89" s="280">
        <v>25.6</v>
      </c>
      <c r="G89" s="280">
        <v>6.7</v>
      </c>
      <c r="H89" s="281">
        <v>1</v>
      </c>
      <c r="I89" s="280">
        <v>10</v>
      </c>
    </row>
    <row r="90" spans="1:9" x14ac:dyDescent="0.3">
      <c r="A90" s="326"/>
      <c r="B90" s="325" t="s">
        <v>1132</v>
      </c>
      <c r="C90" s="282" t="s">
        <v>373</v>
      </c>
      <c r="D90" s="282" t="s">
        <v>373</v>
      </c>
      <c r="E90" s="282" t="s">
        <v>373</v>
      </c>
      <c r="F90" s="282" t="s">
        <v>373</v>
      </c>
      <c r="G90" s="282" t="s">
        <v>373</v>
      </c>
      <c r="H90" s="282" t="s">
        <v>373</v>
      </c>
      <c r="I90" s="282" t="s">
        <v>373</v>
      </c>
    </row>
    <row r="91" spans="1:9" x14ac:dyDescent="0.3">
      <c r="A91" s="326"/>
      <c r="B91" s="327"/>
      <c r="C91" s="282" t="s">
        <v>505</v>
      </c>
      <c r="D91" s="282">
        <v>948</v>
      </c>
      <c r="E91" s="280">
        <v>38135</v>
      </c>
      <c r="F91" s="280">
        <v>19.600000000000001</v>
      </c>
      <c r="G91" s="280">
        <v>1.45</v>
      </c>
      <c r="H91" s="281">
        <v>6</v>
      </c>
      <c r="I91" s="280">
        <v>8.8000000000000007</v>
      </c>
    </row>
    <row r="92" spans="1:9" x14ac:dyDescent="0.3">
      <c r="A92" s="326"/>
      <c r="B92" s="325" t="s">
        <v>1131</v>
      </c>
      <c r="C92" s="282" t="s">
        <v>373</v>
      </c>
      <c r="D92" s="282" t="s">
        <v>373</v>
      </c>
      <c r="E92" s="282" t="s">
        <v>373</v>
      </c>
      <c r="F92" s="282" t="s">
        <v>373</v>
      </c>
      <c r="G92" s="282" t="s">
        <v>373</v>
      </c>
      <c r="H92" s="282" t="s">
        <v>373</v>
      </c>
      <c r="I92" s="282" t="s">
        <v>373</v>
      </c>
    </row>
    <row r="93" spans="1:9" x14ac:dyDescent="0.3">
      <c r="A93" s="326"/>
      <c r="B93" s="327"/>
      <c r="C93" s="282" t="s">
        <v>1130</v>
      </c>
      <c r="D93" s="282">
        <v>6960</v>
      </c>
      <c r="E93" s="280">
        <v>18041</v>
      </c>
      <c r="F93" s="280">
        <v>9.02</v>
      </c>
      <c r="G93" s="280">
        <v>1.2</v>
      </c>
      <c r="H93" s="281">
        <v>0</v>
      </c>
      <c r="I93" s="280">
        <v>0</v>
      </c>
    </row>
    <row r="94" spans="1:9" x14ac:dyDescent="0.3">
      <c r="A94" s="326"/>
      <c r="B94" s="325" t="s">
        <v>1129</v>
      </c>
      <c r="C94" s="282" t="s">
        <v>373</v>
      </c>
      <c r="D94" s="282" t="s">
        <v>373</v>
      </c>
      <c r="E94" s="282" t="s">
        <v>373</v>
      </c>
      <c r="F94" s="282" t="s">
        <v>373</v>
      </c>
      <c r="G94" s="282" t="s">
        <v>373</v>
      </c>
      <c r="H94" s="282" t="s">
        <v>373</v>
      </c>
      <c r="I94" s="282" t="s">
        <v>373</v>
      </c>
    </row>
    <row r="95" spans="1:9" x14ac:dyDescent="0.3">
      <c r="A95" s="326"/>
      <c r="B95" s="326"/>
      <c r="C95" s="282" t="s">
        <v>475</v>
      </c>
      <c r="D95" s="282">
        <v>967</v>
      </c>
      <c r="E95" s="280">
        <v>22284</v>
      </c>
      <c r="F95" s="280">
        <v>11.14</v>
      </c>
      <c r="G95" s="280">
        <v>0.66</v>
      </c>
      <c r="H95" s="281">
        <v>1</v>
      </c>
      <c r="I95" s="280">
        <v>0.7</v>
      </c>
    </row>
    <row r="96" spans="1:9" x14ac:dyDescent="0.3">
      <c r="A96" s="326"/>
      <c r="B96" s="327"/>
      <c r="C96" s="282" t="s">
        <v>503</v>
      </c>
      <c r="D96" s="282">
        <v>8238</v>
      </c>
      <c r="E96" s="280">
        <v>0</v>
      </c>
      <c r="F96" s="280">
        <v>0</v>
      </c>
      <c r="G96" s="280">
        <v>1</v>
      </c>
      <c r="H96" s="282"/>
      <c r="I96" s="282"/>
    </row>
    <row r="97" spans="1:9" x14ac:dyDescent="0.3">
      <c r="A97" s="326"/>
      <c r="B97" s="325" t="s">
        <v>1128</v>
      </c>
      <c r="C97" s="282" t="s">
        <v>373</v>
      </c>
      <c r="D97" s="282" t="s">
        <v>373</v>
      </c>
      <c r="E97" s="282" t="s">
        <v>373</v>
      </c>
      <c r="F97" s="282" t="s">
        <v>373</v>
      </c>
      <c r="G97" s="282" t="s">
        <v>373</v>
      </c>
      <c r="H97" s="282" t="s">
        <v>373</v>
      </c>
      <c r="I97" s="282" t="s">
        <v>373</v>
      </c>
    </row>
    <row r="98" spans="1:9" x14ac:dyDescent="0.3">
      <c r="A98" s="326"/>
      <c r="B98" s="326"/>
      <c r="C98" s="282" t="s">
        <v>1127</v>
      </c>
      <c r="D98" s="282">
        <v>18130</v>
      </c>
      <c r="E98" s="280">
        <v>1449</v>
      </c>
      <c r="F98" s="280">
        <v>0.7</v>
      </c>
      <c r="G98" s="280">
        <v>1</v>
      </c>
      <c r="H98" s="281">
        <v>0</v>
      </c>
      <c r="I98" s="280">
        <v>0</v>
      </c>
    </row>
    <row r="99" spans="1:9" x14ac:dyDescent="0.3">
      <c r="A99" s="326"/>
      <c r="B99" s="326"/>
      <c r="C99" s="282" t="s">
        <v>1126</v>
      </c>
      <c r="D99" s="282">
        <v>9121</v>
      </c>
      <c r="E99" s="280">
        <v>1103</v>
      </c>
      <c r="F99" s="280">
        <v>0.6</v>
      </c>
      <c r="G99" s="280">
        <v>0</v>
      </c>
      <c r="H99" s="281">
        <v>0</v>
      </c>
      <c r="I99" s="280">
        <v>0</v>
      </c>
    </row>
    <row r="100" spans="1:9" x14ac:dyDescent="0.3">
      <c r="A100" s="327"/>
      <c r="B100" s="327"/>
      <c r="C100" s="282" t="s">
        <v>1125</v>
      </c>
      <c r="D100" s="282">
        <v>23551</v>
      </c>
      <c r="E100" s="280">
        <v>1449</v>
      </c>
      <c r="F100" s="280">
        <v>0.7</v>
      </c>
      <c r="G100" s="280">
        <v>0</v>
      </c>
      <c r="H100" s="281">
        <v>0</v>
      </c>
      <c r="I100" s="280">
        <v>0</v>
      </c>
    </row>
    <row r="101" spans="1:9" x14ac:dyDescent="0.3">
      <c r="A101" s="325" t="s">
        <v>1124</v>
      </c>
      <c r="B101" s="282" t="s">
        <v>373</v>
      </c>
      <c r="C101" s="282" t="s">
        <v>373</v>
      </c>
      <c r="D101" s="282" t="s">
        <v>373</v>
      </c>
      <c r="E101" s="282" t="s">
        <v>373</v>
      </c>
      <c r="F101" s="282" t="s">
        <v>373</v>
      </c>
      <c r="G101" s="282" t="s">
        <v>373</v>
      </c>
      <c r="H101" s="282" t="s">
        <v>373</v>
      </c>
      <c r="I101" s="282" t="s">
        <v>373</v>
      </c>
    </row>
    <row r="102" spans="1:9" x14ac:dyDescent="0.3">
      <c r="A102" s="326"/>
      <c r="B102" s="325" t="s">
        <v>1123</v>
      </c>
      <c r="C102" s="282" t="s">
        <v>373</v>
      </c>
      <c r="D102" s="282" t="s">
        <v>373</v>
      </c>
      <c r="E102" s="282" t="s">
        <v>373</v>
      </c>
      <c r="F102" s="282" t="s">
        <v>373</v>
      </c>
      <c r="G102" s="282" t="s">
        <v>373</v>
      </c>
      <c r="H102" s="282" t="s">
        <v>373</v>
      </c>
      <c r="I102" s="282" t="s">
        <v>373</v>
      </c>
    </row>
    <row r="103" spans="1:9" x14ac:dyDescent="0.3">
      <c r="A103" s="326"/>
      <c r="B103" s="327"/>
      <c r="C103" s="282" t="s">
        <v>1122</v>
      </c>
      <c r="D103" s="282">
        <v>19219</v>
      </c>
      <c r="E103" s="280">
        <v>13180</v>
      </c>
      <c r="F103" s="280">
        <v>7</v>
      </c>
      <c r="G103" s="280">
        <v>1.4908999999999999</v>
      </c>
      <c r="H103" s="281">
        <v>0</v>
      </c>
      <c r="I103" s="280">
        <v>0</v>
      </c>
    </row>
    <row r="104" spans="1:9" x14ac:dyDescent="0.3">
      <c r="A104" s="326"/>
      <c r="B104" s="325" t="s">
        <v>1121</v>
      </c>
      <c r="C104" s="282" t="s">
        <v>373</v>
      </c>
      <c r="D104" s="282" t="s">
        <v>373</v>
      </c>
      <c r="E104" s="282" t="s">
        <v>373</v>
      </c>
      <c r="F104" s="282" t="s">
        <v>373</v>
      </c>
      <c r="G104" s="282" t="s">
        <v>373</v>
      </c>
      <c r="H104" s="282" t="s">
        <v>373</v>
      </c>
      <c r="I104" s="282" t="s">
        <v>373</v>
      </c>
    </row>
    <row r="105" spans="1:9" x14ac:dyDescent="0.3">
      <c r="A105" s="326"/>
      <c r="B105" s="326"/>
      <c r="C105" s="282" t="s">
        <v>1120</v>
      </c>
      <c r="D105" s="282">
        <v>6581</v>
      </c>
      <c r="E105" s="280">
        <v>7677</v>
      </c>
      <c r="F105" s="280">
        <v>4.04</v>
      </c>
      <c r="G105" s="280">
        <v>0.503</v>
      </c>
      <c r="H105" s="281">
        <v>40</v>
      </c>
      <c r="I105" s="280">
        <v>20.100000000000001</v>
      </c>
    </row>
    <row r="106" spans="1:9" x14ac:dyDescent="0.3">
      <c r="A106" s="326"/>
      <c r="B106" s="326"/>
      <c r="C106" s="282" t="s">
        <v>1119</v>
      </c>
      <c r="D106" s="282">
        <v>4278</v>
      </c>
      <c r="E106" s="280">
        <v>5820</v>
      </c>
      <c r="F106" s="280">
        <v>2.91</v>
      </c>
      <c r="G106" s="280">
        <v>0.1</v>
      </c>
      <c r="H106" s="281">
        <v>60</v>
      </c>
      <c r="I106" s="280">
        <v>6</v>
      </c>
    </row>
    <row r="107" spans="1:9" x14ac:dyDescent="0.3">
      <c r="A107" s="326"/>
      <c r="B107" s="327"/>
      <c r="C107" s="282" t="s">
        <v>1118</v>
      </c>
      <c r="D107" s="282">
        <v>9127</v>
      </c>
      <c r="E107" s="280">
        <v>3567</v>
      </c>
      <c r="F107" s="280">
        <v>1.9</v>
      </c>
      <c r="G107" s="280">
        <v>0.1</v>
      </c>
      <c r="H107" s="281">
        <v>60</v>
      </c>
      <c r="I107" s="280">
        <v>6.5</v>
      </c>
    </row>
    <row r="108" spans="1:9" x14ac:dyDescent="0.3">
      <c r="A108" s="326"/>
      <c r="B108" s="325" t="s">
        <v>1117</v>
      </c>
      <c r="C108" s="282" t="s">
        <v>373</v>
      </c>
      <c r="D108" s="282" t="s">
        <v>373</v>
      </c>
      <c r="E108" s="282" t="s">
        <v>373</v>
      </c>
      <c r="F108" s="282" t="s">
        <v>373</v>
      </c>
      <c r="G108" s="282" t="s">
        <v>373</v>
      </c>
      <c r="H108" s="282" t="s">
        <v>373</v>
      </c>
      <c r="I108" s="282" t="s">
        <v>373</v>
      </c>
    </row>
    <row r="109" spans="1:9" x14ac:dyDescent="0.3">
      <c r="A109" s="326"/>
      <c r="B109" s="326"/>
      <c r="C109" s="282" t="s">
        <v>1116</v>
      </c>
      <c r="D109" s="282">
        <v>6855</v>
      </c>
      <c r="E109" s="280">
        <v>9298</v>
      </c>
      <c r="F109" s="280">
        <v>4.6500000000000004</v>
      </c>
      <c r="G109" s="280">
        <v>0.59</v>
      </c>
      <c r="H109" s="281">
        <v>0</v>
      </c>
      <c r="I109" s="280">
        <v>0</v>
      </c>
    </row>
    <row r="110" spans="1:9" x14ac:dyDescent="0.3">
      <c r="A110" s="326"/>
      <c r="B110" s="326"/>
      <c r="C110" s="282" t="s">
        <v>1070</v>
      </c>
      <c r="D110" s="282">
        <v>6854</v>
      </c>
      <c r="E110" s="280">
        <v>7364</v>
      </c>
      <c r="F110" s="280">
        <v>3.68</v>
      </c>
      <c r="G110" s="280">
        <v>1.5</v>
      </c>
      <c r="H110" s="281">
        <v>10</v>
      </c>
      <c r="I110" s="280">
        <v>15.2</v>
      </c>
    </row>
    <row r="111" spans="1:9" x14ac:dyDescent="0.3">
      <c r="A111" s="326"/>
      <c r="B111" s="327"/>
      <c r="C111" s="282" t="s">
        <v>1115</v>
      </c>
      <c r="D111" s="282">
        <v>6849</v>
      </c>
      <c r="E111" s="280">
        <v>7308</v>
      </c>
      <c r="F111" s="280">
        <v>3.65</v>
      </c>
      <c r="G111" s="280">
        <v>0.5625</v>
      </c>
      <c r="H111" s="281">
        <v>15</v>
      </c>
      <c r="I111" s="280">
        <v>10.8</v>
      </c>
    </row>
    <row r="112" spans="1:9" x14ac:dyDescent="0.3">
      <c r="A112" s="326"/>
      <c r="B112" s="325" t="s">
        <v>1114</v>
      </c>
      <c r="C112" s="282" t="s">
        <v>373</v>
      </c>
      <c r="D112" s="282" t="s">
        <v>373</v>
      </c>
      <c r="E112" s="282" t="s">
        <v>373</v>
      </c>
      <c r="F112" s="282" t="s">
        <v>373</v>
      </c>
      <c r="G112" s="282" t="s">
        <v>373</v>
      </c>
      <c r="H112" s="282" t="s">
        <v>373</v>
      </c>
      <c r="I112" s="282" t="s">
        <v>373</v>
      </c>
    </row>
    <row r="113" spans="1:9" x14ac:dyDescent="0.3">
      <c r="A113" s="326"/>
      <c r="B113" s="326"/>
      <c r="C113" s="282" t="s">
        <v>1113</v>
      </c>
      <c r="D113" s="282">
        <v>29186</v>
      </c>
      <c r="E113" s="280">
        <v>0</v>
      </c>
      <c r="F113" s="280">
        <v>0</v>
      </c>
      <c r="G113" s="280">
        <v>0.1</v>
      </c>
      <c r="H113" s="281">
        <v>0</v>
      </c>
      <c r="I113" s="280">
        <v>0</v>
      </c>
    </row>
    <row r="114" spans="1:9" x14ac:dyDescent="0.3">
      <c r="A114" s="326"/>
      <c r="B114" s="326"/>
      <c r="C114" s="282" t="s">
        <v>1112</v>
      </c>
      <c r="D114" s="282">
        <v>14759</v>
      </c>
      <c r="E114" s="280">
        <v>1543</v>
      </c>
      <c r="F114" s="280">
        <v>0.8</v>
      </c>
      <c r="G114" s="280">
        <v>0.25</v>
      </c>
      <c r="H114" s="281">
        <v>50</v>
      </c>
      <c r="I114" s="280">
        <v>5</v>
      </c>
    </row>
    <row r="115" spans="1:9" x14ac:dyDescent="0.3">
      <c r="A115" s="326"/>
      <c r="B115" s="326"/>
      <c r="C115" s="282" t="s">
        <v>1111</v>
      </c>
      <c r="D115" s="282">
        <v>18069</v>
      </c>
      <c r="E115" s="280">
        <v>0</v>
      </c>
      <c r="F115" s="280">
        <v>0</v>
      </c>
      <c r="G115" s="280">
        <v>1</v>
      </c>
      <c r="H115" s="282"/>
      <c r="I115" s="282"/>
    </row>
    <row r="116" spans="1:9" x14ac:dyDescent="0.3">
      <c r="A116" s="326"/>
      <c r="B116" s="326"/>
      <c r="C116" s="282" t="s">
        <v>1071</v>
      </c>
      <c r="D116" s="282">
        <v>19881</v>
      </c>
      <c r="E116" s="280">
        <v>1600</v>
      </c>
      <c r="F116" s="280">
        <v>0.8</v>
      </c>
      <c r="G116" s="280">
        <v>0.24</v>
      </c>
      <c r="H116" s="281">
        <v>0</v>
      </c>
      <c r="I116" s="280">
        <v>0</v>
      </c>
    </row>
    <row r="117" spans="1:9" x14ac:dyDescent="0.3">
      <c r="A117" s="326"/>
      <c r="B117" s="326"/>
      <c r="C117" s="282" t="s">
        <v>1076</v>
      </c>
      <c r="D117" s="282">
        <v>28826</v>
      </c>
      <c r="E117" s="280">
        <v>2107</v>
      </c>
      <c r="F117" s="280">
        <v>1.1000000000000001</v>
      </c>
      <c r="G117" s="280">
        <v>0</v>
      </c>
      <c r="H117" s="281">
        <v>0</v>
      </c>
      <c r="I117" s="280">
        <v>0</v>
      </c>
    </row>
    <row r="118" spans="1:9" x14ac:dyDescent="0.3">
      <c r="A118" s="326"/>
      <c r="B118" s="326"/>
      <c r="C118" s="282" t="s">
        <v>1110</v>
      </c>
      <c r="D118" s="282">
        <v>26697</v>
      </c>
      <c r="E118" s="280">
        <v>6400</v>
      </c>
      <c r="F118" s="280">
        <v>3.3</v>
      </c>
      <c r="G118" s="280">
        <v>0</v>
      </c>
      <c r="H118" s="281">
        <v>0</v>
      </c>
      <c r="I118" s="280">
        <v>0</v>
      </c>
    </row>
    <row r="119" spans="1:9" x14ac:dyDescent="0.3">
      <c r="A119" s="326"/>
      <c r="B119" s="326"/>
      <c r="C119" s="282" t="s">
        <v>1066</v>
      </c>
      <c r="D119" s="282">
        <v>17432</v>
      </c>
      <c r="E119" s="280">
        <v>2300</v>
      </c>
      <c r="F119" s="280">
        <v>1.2</v>
      </c>
      <c r="G119" s="280">
        <v>1</v>
      </c>
      <c r="H119" s="282"/>
      <c r="I119" s="282"/>
    </row>
    <row r="120" spans="1:9" x14ac:dyDescent="0.3">
      <c r="A120" s="326"/>
      <c r="B120" s="326"/>
      <c r="C120" s="282" t="s">
        <v>1065</v>
      </c>
      <c r="D120" s="282">
        <v>24870</v>
      </c>
      <c r="E120" s="280">
        <v>0</v>
      </c>
      <c r="F120" s="280">
        <v>0</v>
      </c>
      <c r="G120" s="280">
        <v>0</v>
      </c>
      <c r="H120" s="281">
        <v>0</v>
      </c>
      <c r="I120" s="280">
        <v>0</v>
      </c>
    </row>
    <row r="121" spans="1:9" x14ac:dyDescent="0.3">
      <c r="A121" s="326"/>
      <c r="B121" s="326"/>
      <c r="C121" s="282" t="s">
        <v>1063</v>
      </c>
      <c r="D121" s="282">
        <v>28514</v>
      </c>
      <c r="E121" s="280">
        <v>0</v>
      </c>
      <c r="F121" s="280">
        <v>0</v>
      </c>
      <c r="G121" s="280">
        <v>0.13500000000000001</v>
      </c>
      <c r="H121" s="281">
        <v>0</v>
      </c>
      <c r="I121" s="280">
        <v>0</v>
      </c>
    </row>
    <row r="122" spans="1:9" x14ac:dyDescent="0.3">
      <c r="A122" s="326"/>
      <c r="B122" s="326"/>
      <c r="C122" s="282" t="s">
        <v>1062</v>
      </c>
      <c r="D122" s="282">
        <v>17427</v>
      </c>
      <c r="E122" s="280">
        <v>2500</v>
      </c>
      <c r="F122" s="280">
        <v>1.3</v>
      </c>
      <c r="G122" s="280">
        <v>1</v>
      </c>
      <c r="H122" s="282"/>
      <c r="I122" s="282"/>
    </row>
    <row r="123" spans="1:9" x14ac:dyDescent="0.3">
      <c r="A123" s="326"/>
      <c r="B123" s="326"/>
      <c r="C123" s="282" t="s">
        <v>1061</v>
      </c>
      <c r="D123" s="282">
        <v>22861</v>
      </c>
      <c r="E123" s="280">
        <v>0</v>
      </c>
      <c r="F123" s="280">
        <v>0</v>
      </c>
      <c r="G123" s="280">
        <v>0.14799999999999999</v>
      </c>
      <c r="H123" s="282"/>
      <c r="I123" s="282"/>
    </row>
    <row r="124" spans="1:9" x14ac:dyDescent="0.3">
      <c r="A124" s="326"/>
      <c r="B124" s="326"/>
      <c r="C124" s="282" t="s">
        <v>1109</v>
      </c>
      <c r="D124" s="282">
        <v>22321</v>
      </c>
      <c r="E124" s="280">
        <v>2540</v>
      </c>
      <c r="F124" s="280">
        <v>1.3</v>
      </c>
      <c r="G124" s="280">
        <v>0</v>
      </c>
      <c r="H124" s="281">
        <v>0</v>
      </c>
      <c r="I124" s="280">
        <v>0</v>
      </c>
    </row>
    <row r="125" spans="1:9" x14ac:dyDescent="0.3">
      <c r="A125" s="326"/>
      <c r="B125" s="326"/>
      <c r="C125" s="282" t="s">
        <v>1059</v>
      </c>
      <c r="D125" s="282">
        <v>17431</v>
      </c>
      <c r="E125" s="280">
        <v>2706</v>
      </c>
      <c r="F125" s="280">
        <v>1.4</v>
      </c>
      <c r="G125" s="280">
        <v>1</v>
      </c>
      <c r="H125" s="282"/>
      <c r="I125" s="282"/>
    </row>
    <row r="126" spans="1:9" x14ac:dyDescent="0.3">
      <c r="A126" s="326"/>
      <c r="B126" s="326"/>
      <c r="C126" s="282" t="s">
        <v>1057</v>
      </c>
      <c r="D126" s="282">
        <v>25247</v>
      </c>
      <c r="E126" s="280">
        <v>3266</v>
      </c>
      <c r="F126" s="280">
        <v>1.7</v>
      </c>
      <c r="G126" s="280">
        <v>0</v>
      </c>
      <c r="H126" s="281">
        <v>0</v>
      </c>
      <c r="I126" s="280">
        <v>0</v>
      </c>
    </row>
    <row r="127" spans="1:9" x14ac:dyDescent="0.3">
      <c r="A127" s="326"/>
      <c r="B127" s="326"/>
      <c r="C127" s="282" t="s">
        <v>1108</v>
      </c>
      <c r="D127" s="282">
        <v>23760</v>
      </c>
      <c r="E127" s="280">
        <v>3100</v>
      </c>
      <c r="F127" s="280">
        <v>1.6</v>
      </c>
      <c r="G127" s="280">
        <v>0.25</v>
      </c>
      <c r="H127" s="281">
        <v>0</v>
      </c>
      <c r="I127" s="280">
        <v>0</v>
      </c>
    </row>
    <row r="128" spans="1:9" x14ac:dyDescent="0.3">
      <c r="A128" s="326"/>
      <c r="B128" s="326"/>
      <c r="C128" s="282" t="s">
        <v>1107</v>
      </c>
      <c r="D128" s="282">
        <v>15031</v>
      </c>
      <c r="E128" s="280">
        <v>3198</v>
      </c>
      <c r="F128" s="280">
        <v>1.6</v>
      </c>
      <c r="G128" s="280">
        <v>0.05</v>
      </c>
      <c r="H128" s="281">
        <v>0</v>
      </c>
      <c r="I128" s="280">
        <v>0</v>
      </c>
    </row>
    <row r="129" spans="1:9" x14ac:dyDescent="0.3">
      <c r="A129" s="326"/>
      <c r="B129" s="326"/>
      <c r="C129" s="282" t="s">
        <v>1053</v>
      </c>
      <c r="D129" s="282">
        <v>15688</v>
      </c>
      <c r="E129" s="280">
        <v>3778</v>
      </c>
      <c r="F129" s="280">
        <v>1.9</v>
      </c>
      <c r="G129" s="280">
        <v>1</v>
      </c>
      <c r="H129" s="282"/>
      <c r="I129" s="282"/>
    </row>
    <row r="130" spans="1:9" x14ac:dyDescent="0.3">
      <c r="A130" s="326"/>
      <c r="B130" s="326"/>
      <c r="C130" s="282" t="s">
        <v>1051</v>
      </c>
      <c r="D130" s="282">
        <v>16176</v>
      </c>
      <c r="E130" s="280">
        <v>3911</v>
      </c>
      <c r="F130" s="280">
        <v>2</v>
      </c>
      <c r="G130" s="280">
        <v>1</v>
      </c>
      <c r="H130" s="282"/>
      <c r="I130" s="282"/>
    </row>
    <row r="131" spans="1:9" x14ac:dyDescent="0.3">
      <c r="A131" s="326"/>
      <c r="B131" s="326"/>
      <c r="C131" s="282" t="s">
        <v>1049</v>
      </c>
      <c r="D131" s="282">
        <v>15040</v>
      </c>
      <c r="E131" s="280">
        <v>4219</v>
      </c>
      <c r="F131" s="280">
        <v>2.2000000000000002</v>
      </c>
      <c r="G131" s="280">
        <v>1</v>
      </c>
      <c r="H131" s="282"/>
      <c r="I131" s="282"/>
    </row>
    <row r="132" spans="1:9" x14ac:dyDescent="0.3">
      <c r="A132" s="326"/>
      <c r="B132" s="326"/>
      <c r="C132" s="282" t="s">
        <v>1106</v>
      </c>
      <c r="D132" s="282">
        <v>20071</v>
      </c>
      <c r="E132" s="280">
        <v>4250</v>
      </c>
      <c r="F132" s="280">
        <v>2.2000000000000002</v>
      </c>
      <c r="G132" s="280">
        <v>1</v>
      </c>
      <c r="H132" s="281">
        <v>0</v>
      </c>
      <c r="I132" s="280">
        <v>0</v>
      </c>
    </row>
    <row r="133" spans="1:9" x14ac:dyDescent="0.3">
      <c r="A133" s="326"/>
      <c r="B133" s="326"/>
      <c r="C133" s="282" t="s">
        <v>1105</v>
      </c>
      <c r="D133" s="282">
        <v>15041</v>
      </c>
      <c r="E133" s="280">
        <v>4450</v>
      </c>
      <c r="F133" s="280">
        <v>2.2999999999999998</v>
      </c>
      <c r="G133" s="280">
        <v>1</v>
      </c>
      <c r="H133" s="282"/>
      <c r="I133" s="282"/>
    </row>
    <row r="134" spans="1:9" x14ac:dyDescent="0.3">
      <c r="A134" s="326"/>
      <c r="B134" s="326"/>
      <c r="C134" s="282" t="s">
        <v>1045</v>
      </c>
      <c r="D134" s="282">
        <v>23419</v>
      </c>
      <c r="E134" s="280">
        <v>4500</v>
      </c>
      <c r="F134" s="280">
        <v>2.2999999999999998</v>
      </c>
      <c r="G134" s="280">
        <v>0</v>
      </c>
      <c r="H134" s="281">
        <v>0</v>
      </c>
      <c r="I134" s="280">
        <v>0</v>
      </c>
    </row>
    <row r="135" spans="1:9" x14ac:dyDescent="0.3">
      <c r="A135" s="326"/>
      <c r="B135" s="326"/>
      <c r="C135" s="282" t="s">
        <v>1104</v>
      </c>
      <c r="D135" s="282">
        <v>15042</v>
      </c>
      <c r="E135" s="280">
        <v>4600</v>
      </c>
      <c r="F135" s="280">
        <v>2.4</v>
      </c>
      <c r="G135" s="280">
        <v>1</v>
      </c>
      <c r="H135" s="282"/>
      <c r="I135" s="282"/>
    </row>
    <row r="136" spans="1:9" x14ac:dyDescent="0.3">
      <c r="A136" s="326"/>
      <c r="B136" s="326"/>
      <c r="C136" s="282" t="s">
        <v>1103</v>
      </c>
      <c r="D136" s="282">
        <v>19916</v>
      </c>
      <c r="E136" s="280">
        <v>1500</v>
      </c>
      <c r="F136" s="280">
        <v>0.8</v>
      </c>
      <c r="G136" s="280">
        <v>0.24</v>
      </c>
      <c r="H136" s="281">
        <v>0</v>
      </c>
      <c r="I136" s="280">
        <v>0</v>
      </c>
    </row>
    <row r="137" spans="1:9" x14ac:dyDescent="0.3">
      <c r="A137" s="326"/>
      <c r="B137" s="326"/>
      <c r="C137" s="282" t="s">
        <v>1102</v>
      </c>
      <c r="D137" s="282">
        <v>15159</v>
      </c>
      <c r="E137" s="280">
        <v>5140</v>
      </c>
      <c r="F137" s="280">
        <v>2.6</v>
      </c>
      <c r="G137" s="280">
        <v>1</v>
      </c>
      <c r="H137" s="282"/>
      <c r="I137" s="282"/>
    </row>
    <row r="138" spans="1:9" x14ac:dyDescent="0.3">
      <c r="A138" s="326"/>
      <c r="B138" s="326"/>
      <c r="C138" s="282" t="s">
        <v>1101</v>
      </c>
      <c r="D138" s="282">
        <v>22914</v>
      </c>
      <c r="E138" s="280">
        <v>1530</v>
      </c>
      <c r="F138" s="280">
        <v>0.8</v>
      </c>
      <c r="G138" s="280">
        <v>9.5000000000000001E-2</v>
      </c>
      <c r="H138" s="282"/>
      <c r="I138" s="282"/>
    </row>
    <row r="139" spans="1:9" x14ac:dyDescent="0.3">
      <c r="A139" s="326"/>
      <c r="B139" s="326"/>
      <c r="C139" s="282" t="s">
        <v>1100</v>
      </c>
      <c r="D139" s="282">
        <v>16175</v>
      </c>
      <c r="E139" s="280">
        <v>6092</v>
      </c>
      <c r="F139" s="280">
        <v>3.1</v>
      </c>
      <c r="G139" s="280">
        <v>1</v>
      </c>
      <c r="H139" s="282"/>
      <c r="I139" s="282"/>
    </row>
    <row r="140" spans="1:9" x14ac:dyDescent="0.3">
      <c r="A140" s="326"/>
      <c r="B140" s="327"/>
      <c r="C140" s="282" t="s">
        <v>1099</v>
      </c>
      <c r="D140" s="282">
        <v>19271</v>
      </c>
      <c r="E140" s="280">
        <v>6100</v>
      </c>
      <c r="F140" s="280">
        <v>3.1</v>
      </c>
      <c r="G140" s="280">
        <v>0</v>
      </c>
      <c r="H140" s="281">
        <v>0</v>
      </c>
      <c r="I140" s="280">
        <v>0</v>
      </c>
    </row>
    <row r="141" spans="1:9" x14ac:dyDescent="0.3">
      <c r="A141" s="326"/>
      <c r="B141" s="325" t="s">
        <v>1098</v>
      </c>
      <c r="C141" s="282" t="s">
        <v>373</v>
      </c>
      <c r="D141" s="282" t="s">
        <v>373</v>
      </c>
      <c r="E141" s="282" t="s">
        <v>373</v>
      </c>
      <c r="F141" s="282" t="s">
        <v>373</v>
      </c>
      <c r="G141" s="282" t="s">
        <v>373</v>
      </c>
      <c r="H141" s="282" t="s">
        <v>373</v>
      </c>
      <c r="I141" s="282" t="s">
        <v>373</v>
      </c>
    </row>
    <row r="142" spans="1:9" x14ac:dyDescent="0.3">
      <c r="A142" s="326"/>
      <c r="B142" s="326"/>
      <c r="C142" s="282" t="s">
        <v>1097</v>
      </c>
      <c r="D142" s="282">
        <v>9649</v>
      </c>
      <c r="E142" s="280">
        <v>2676</v>
      </c>
      <c r="F142" s="280">
        <v>1.34</v>
      </c>
      <c r="G142" s="280">
        <v>0.15625</v>
      </c>
      <c r="H142" s="281">
        <v>0</v>
      </c>
      <c r="I142" s="280">
        <v>0</v>
      </c>
    </row>
    <row r="143" spans="1:9" x14ac:dyDescent="0.3">
      <c r="A143" s="326"/>
      <c r="B143" s="326"/>
      <c r="C143" s="282" t="s">
        <v>1096</v>
      </c>
      <c r="D143" s="282">
        <v>22075</v>
      </c>
      <c r="E143" s="280">
        <v>0</v>
      </c>
      <c r="F143" s="280">
        <v>0</v>
      </c>
      <c r="G143" s="280">
        <v>0</v>
      </c>
      <c r="H143" s="281">
        <v>0</v>
      </c>
      <c r="I143" s="280">
        <v>0</v>
      </c>
    </row>
    <row r="144" spans="1:9" x14ac:dyDescent="0.3">
      <c r="A144" s="326"/>
      <c r="B144" s="326"/>
      <c r="C144" s="282" t="s">
        <v>1095</v>
      </c>
      <c r="D144" s="282">
        <v>14501</v>
      </c>
      <c r="E144" s="280">
        <v>2871</v>
      </c>
      <c r="F144" s="280">
        <v>1.44</v>
      </c>
      <c r="G144" s="280">
        <v>1</v>
      </c>
      <c r="H144" s="281">
        <v>0</v>
      </c>
      <c r="I144" s="280">
        <v>0</v>
      </c>
    </row>
    <row r="145" spans="1:9" x14ac:dyDescent="0.3">
      <c r="A145" s="326"/>
      <c r="B145" s="326"/>
      <c r="C145" s="282" t="s">
        <v>1094</v>
      </c>
      <c r="D145" s="282">
        <v>15654</v>
      </c>
      <c r="E145" s="280">
        <v>2827</v>
      </c>
      <c r="F145" s="280">
        <v>1.41</v>
      </c>
      <c r="G145" s="280">
        <v>1</v>
      </c>
      <c r="H145" s="281">
        <v>0</v>
      </c>
      <c r="I145" s="280">
        <v>0</v>
      </c>
    </row>
    <row r="146" spans="1:9" x14ac:dyDescent="0.3">
      <c r="A146" s="326"/>
      <c r="B146" s="326"/>
      <c r="C146" s="282" t="s">
        <v>1093</v>
      </c>
      <c r="D146" s="282">
        <v>15692</v>
      </c>
      <c r="E146" s="280">
        <v>2989</v>
      </c>
      <c r="F146" s="280">
        <v>1.49</v>
      </c>
      <c r="G146" s="280">
        <v>1</v>
      </c>
      <c r="H146" s="281">
        <v>0</v>
      </c>
      <c r="I146" s="280">
        <v>0</v>
      </c>
    </row>
    <row r="147" spans="1:9" x14ac:dyDescent="0.3">
      <c r="A147" s="326"/>
      <c r="B147" s="326"/>
      <c r="C147" s="282" t="s">
        <v>1092</v>
      </c>
      <c r="D147" s="282">
        <v>14704</v>
      </c>
      <c r="E147" s="280">
        <v>2741</v>
      </c>
      <c r="F147" s="280">
        <v>1.37</v>
      </c>
      <c r="G147" s="280">
        <v>1</v>
      </c>
      <c r="H147" s="281">
        <v>0</v>
      </c>
      <c r="I147" s="280">
        <v>0</v>
      </c>
    </row>
    <row r="148" spans="1:9" x14ac:dyDescent="0.3">
      <c r="A148" s="326"/>
      <c r="B148" s="326"/>
      <c r="C148" s="282" t="s">
        <v>1091</v>
      </c>
      <c r="D148" s="282">
        <v>14308</v>
      </c>
      <c r="E148" s="280">
        <v>3606</v>
      </c>
      <c r="F148" s="280">
        <v>1.8</v>
      </c>
      <c r="G148" s="280">
        <v>1</v>
      </c>
      <c r="H148" s="281">
        <v>0</v>
      </c>
      <c r="I148" s="280">
        <v>0</v>
      </c>
    </row>
    <row r="149" spans="1:9" x14ac:dyDescent="0.3">
      <c r="A149" s="326"/>
      <c r="B149" s="326"/>
      <c r="C149" s="282" t="s">
        <v>1090</v>
      </c>
      <c r="D149" s="282">
        <v>14263</v>
      </c>
      <c r="E149" s="280">
        <v>2957</v>
      </c>
      <c r="F149" s="280">
        <v>1.48</v>
      </c>
      <c r="G149" s="280">
        <v>1</v>
      </c>
      <c r="H149" s="281">
        <v>0</v>
      </c>
      <c r="I149" s="280">
        <v>0</v>
      </c>
    </row>
    <row r="150" spans="1:9" x14ac:dyDescent="0.3">
      <c r="A150" s="326"/>
      <c r="B150" s="326"/>
      <c r="C150" s="282" t="s">
        <v>1089</v>
      </c>
      <c r="D150" s="282">
        <v>16099</v>
      </c>
      <c r="E150" s="280">
        <v>3011</v>
      </c>
      <c r="F150" s="280">
        <v>1.51</v>
      </c>
      <c r="G150" s="280">
        <v>1</v>
      </c>
      <c r="H150" s="281">
        <v>0</v>
      </c>
      <c r="I150" s="280">
        <v>0</v>
      </c>
    </row>
    <row r="151" spans="1:9" x14ac:dyDescent="0.3">
      <c r="A151" s="326"/>
      <c r="B151" s="326"/>
      <c r="C151" s="282" t="s">
        <v>1088</v>
      </c>
      <c r="D151" s="282">
        <v>15821</v>
      </c>
      <c r="E151" s="280">
        <v>2070</v>
      </c>
      <c r="F151" s="280">
        <v>1.04</v>
      </c>
      <c r="G151" s="280">
        <v>1</v>
      </c>
      <c r="H151" s="281">
        <v>0</v>
      </c>
      <c r="I151" s="280">
        <v>0</v>
      </c>
    </row>
    <row r="152" spans="1:9" x14ac:dyDescent="0.3">
      <c r="A152" s="326"/>
      <c r="B152" s="326"/>
      <c r="C152" s="282" t="s">
        <v>1087</v>
      </c>
      <c r="D152" s="282">
        <v>14502</v>
      </c>
      <c r="E152" s="280">
        <v>2070</v>
      </c>
      <c r="F152" s="280">
        <v>1.04</v>
      </c>
      <c r="G152" s="280">
        <v>1</v>
      </c>
      <c r="H152" s="281">
        <v>0</v>
      </c>
      <c r="I152" s="280">
        <v>0</v>
      </c>
    </row>
    <row r="153" spans="1:9" x14ac:dyDescent="0.3">
      <c r="A153" s="326"/>
      <c r="B153" s="326"/>
      <c r="C153" s="282" t="s">
        <v>1086</v>
      </c>
      <c r="D153" s="282">
        <v>14634</v>
      </c>
      <c r="E153" s="280">
        <v>2025</v>
      </c>
      <c r="F153" s="280">
        <v>1.01</v>
      </c>
      <c r="G153" s="280">
        <v>1</v>
      </c>
      <c r="H153" s="281">
        <v>0</v>
      </c>
      <c r="I153" s="280">
        <v>0</v>
      </c>
    </row>
    <row r="154" spans="1:9" ht="20.399999999999999" x14ac:dyDescent="0.3">
      <c r="A154" s="326"/>
      <c r="B154" s="326"/>
      <c r="C154" s="282" t="s">
        <v>1085</v>
      </c>
      <c r="D154" s="282">
        <v>29188</v>
      </c>
      <c r="E154" s="280">
        <v>0</v>
      </c>
      <c r="F154" s="280">
        <v>0</v>
      </c>
      <c r="G154" s="280">
        <v>0.2</v>
      </c>
      <c r="H154" s="281">
        <v>0</v>
      </c>
      <c r="I154" s="280">
        <v>0</v>
      </c>
    </row>
    <row r="155" spans="1:9" ht="20.399999999999999" x14ac:dyDescent="0.3">
      <c r="A155" s="326"/>
      <c r="B155" s="327"/>
      <c r="C155" s="282" t="s">
        <v>1084</v>
      </c>
      <c r="D155" s="282">
        <v>29189</v>
      </c>
      <c r="E155" s="280">
        <v>0</v>
      </c>
      <c r="F155" s="280">
        <v>0</v>
      </c>
      <c r="G155" s="280">
        <v>0.2</v>
      </c>
      <c r="H155" s="281">
        <v>0</v>
      </c>
      <c r="I155" s="280">
        <v>0</v>
      </c>
    </row>
    <row r="156" spans="1:9" x14ac:dyDescent="0.3">
      <c r="A156" s="326"/>
      <c r="B156" s="325" t="s">
        <v>1083</v>
      </c>
      <c r="C156" s="282" t="s">
        <v>373</v>
      </c>
      <c r="D156" s="282" t="s">
        <v>373</v>
      </c>
      <c r="E156" s="282" t="s">
        <v>373</v>
      </c>
      <c r="F156" s="282" t="s">
        <v>373</v>
      </c>
      <c r="G156" s="282" t="s">
        <v>373</v>
      </c>
      <c r="H156" s="282" t="s">
        <v>373</v>
      </c>
      <c r="I156" s="282" t="s">
        <v>373</v>
      </c>
    </row>
    <row r="157" spans="1:9" x14ac:dyDescent="0.3">
      <c r="A157" s="326"/>
      <c r="B157" s="327"/>
      <c r="C157" s="282" t="s">
        <v>1082</v>
      </c>
      <c r="D157" s="282">
        <v>24725</v>
      </c>
      <c r="E157" s="280">
        <v>5395</v>
      </c>
      <c r="F157" s="280">
        <v>2.8</v>
      </c>
      <c r="G157" s="280">
        <v>0</v>
      </c>
      <c r="H157" s="281">
        <v>0</v>
      </c>
      <c r="I157" s="280">
        <v>0</v>
      </c>
    </row>
    <row r="158" spans="1:9" x14ac:dyDescent="0.3">
      <c r="A158" s="326"/>
      <c r="B158" s="325" t="s">
        <v>1081</v>
      </c>
      <c r="C158" s="282" t="s">
        <v>373</v>
      </c>
      <c r="D158" s="282" t="s">
        <v>373</v>
      </c>
      <c r="E158" s="282" t="s">
        <v>373</v>
      </c>
      <c r="F158" s="282" t="s">
        <v>373</v>
      </c>
      <c r="G158" s="282" t="s">
        <v>373</v>
      </c>
      <c r="H158" s="282" t="s">
        <v>373</v>
      </c>
      <c r="I158" s="282" t="s">
        <v>373</v>
      </c>
    </row>
    <row r="159" spans="1:9" x14ac:dyDescent="0.3">
      <c r="A159" s="326"/>
      <c r="B159" s="326"/>
      <c r="C159" s="282" t="s">
        <v>1077</v>
      </c>
      <c r="D159" s="282">
        <v>19652</v>
      </c>
      <c r="E159" s="280">
        <v>0</v>
      </c>
      <c r="F159" s="280">
        <v>0</v>
      </c>
      <c r="G159" s="280">
        <v>0</v>
      </c>
      <c r="H159" s="281">
        <v>0</v>
      </c>
      <c r="I159" s="280">
        <v>0</v>
      </c>
    </row>
    <row r="160" spans="1:9" x14ac:dyDescent="0.3">
      <c r="A160" s="326"/>
      <c r="B160" s="327"/>
      <c r="C160" s="282" t="s">
        <v>1075</v>
      </c>
      <c r="D160" s="282">
        <v>15636</v>
      </c>
      <c r="E160" s="280">
        <v>2374</v>
      </c>
      <c r="F160" s="280">
        <v>1.19</v>
      </c>
      <c r="G160" s="280">
        <v>2.8500000000000001E-2</v>
      </c>
      <c r="H160" s="281">
        <v>100</v>
      </c>
      <c r="I160" s="280">
        <v>12.5</v>
      </c>
    </row>
    <row r="161" spans="1:9" x14ac:dyDescent="0.3">
      <c r="A161" s="326"/>
      <c r="B161" s="325" t="s">
        <v>1080</v>
      </c>
      <c r="C161" s="282" t="s">
        <v>373</v>
      </c>
      <c r="D161" s="282" t="s">
        <v>373</v>
      </c>
      <c r="E161" s="282" t="s">
        <v>373</v>
      </c>
      <c r="F161" s="282" t="s">
        <v>373</v>
      </c>
      <c r="G161" s="282" t="s">
        <v>373</v>
      </c>
      <c r="H161" s="282" t="s">
        <v>373</v>
      </c>
      <c r="I161" s="282" t="s">
        <v>373</v>
      </c>
    </row>
    <row r="162" spans="1:9" x14ac:dyDescent="0.3">
      <c r="A162" s="326"/>
      <c r="B162" s="327"/>
      <c r="C162" s="282" t="s">
        <v>1079</v>
      </c>
      <c r="D162" s="282">
        <v>5317</v>
      </c>
      <c r="E162" s="280">
        <v>9586</v>
      </c>
      <c r="F162" s="280">
        <v>5.18</v>
      </c>
      <c r="G162" s="280">
        <v>0.57999999999999996</v>
      </c>
      <c r="H162" s="281">
        <v>0</v>
      </c>
      <c r="I162" s="280">
        <v>0</v>
      </c>
    </row>
    <row r="163" spans="1:9" x14ac:dyDescent="0.3">
      <c r="A163" s="326"/>
      <c r="B163" s="325" t="s">
        <v>1078</v>
      </c>
      <c r="C163" s="282" t="s">
        <v>373</v>
      </c>
      <c r="D163" s="282" t="s">
        <v>373</v>
      </c>
      <c r="E163" s="282" t="s">
        <v>373</v>
      </c>
      <c r="F163" s="282" t="s">
        <v>373</v>
      </c>
      <c r="G163" s="282" t="s">
        <v>373</v>
      </c>
      <c r="H163" s="282" t="s">
        <v>373</v>
      </c>
      <c r="I163" s="282" t="s">
        <v>373</v>
      </c>
    </row>
    <row r="164" spans="1:9" x14ac:dyDescent="0.3">
      <c r="A164" s="326"/>
      <c r="B164" s="326"/>
      <c r="C164" s="282" t="s">
        <v>1077</v>
      </c>
      <c r="D164" s="282">
        <v>23707</v>
      </c>
      <c r="E164" s="280">
        <v>6350</v>
      </c>
      <c r="F164" s="280">
        <v>3.3</v>
      </c>
      <c r="G164" s="280">
        <v>0.21299999999999999</v>
      </c>
      <c r="H164" s="281">
        <v>0</v>
      </c>
      <c r="I164" s="280">
        <v>0</v>
      </c>
    </row>
    <row r="165" spans="1:9" x14ac:dyDescent="0.3">
      <c r="A165" s="326"/>
      <c r="B165" s="326"/>
      <c r="C165" s="282" t="s">
        <v>1076</v>
      </c>
      <c r="D165" s="282">
        <v>28827</v>
      </c>
      <c r="E165" s="280">
        <v>0</v>
      </c>
      <c r="F165" s="280">
        <v>0</v>
      </c>
      <c r="G165" s="280">
        <v>0</v>
      </c>
      <c r="H165" s="281">
        <v>0</v>
      </c>
      <c r="I165" s="280">
        <v>0</v>
      </c>
    </row>
    <row r="166" spans="1:9" x14ac:dyDescent="0.3">
      <c r="A166" s="326"/>
      <c r="B166" s="326"/>
      <c r="C166" s="282" t="s">
        <v>1066</v>
      </c>
      <c r="D166" s="282">
        <v>23708</v>
      </c>
      <c r="E166" s="280">
        <v>7050</v>
      </c>
      <c r="F166" s="280">
        <v>3.6</v>
      </c>
      <c r="G166" s="280">
        <v>0.26</v>
      </c>
      <c r="H166" s="281">
        <v>0</v>
      </c>
      <c r="I166" s="280">
        <v>0</v>
      </c>
    </row>
    <row r="167" spans="1:9" x14ac:dyDescent="0.3">
      <c r="A167" s="326"/>
      <c r="B167" s="326"/>
      <c r="C167" s="282" t="s">
        <v>1062</v>
      </c>
      <c r="D167" s="282">
        <v>23709</v>
      </c>
      <c r="E167" s="280">
        <v>7400</v>
      </c>
      <c r="F167" s="280">
        <v>3.8</v>
      </c>
      <c r="G167" s="280">
        <v>0.30399999999999999</v>
      </c>
      <c r="H167" s="281">
        <v>0</v>
      </c>
      <c r="I167" s="280">
        <v>0</v>
      </c>
    </row>
    <row r="168" spans="1:9" x14ac:dyDescent="0.3">
      <c r="A168" s="326"/>
      <c r="B168" s="326"/>
      <c r="C168" s="282" t="s">
        <v>1053</v>
      </c>
      <c r="D168" s="282">
        <v>28131</v>
      </c>
      <c r="E168" s="280">
        <v>0</v>
      </c>
      <c r="F168" s="280">
        <v>0</v>
      </c>
      <c r="G168" s="280">
        <v>0</v>
      </c>
      <c r="H168" s="281">
        <v>0</v>
      </c>
      <c r="I168" s="280">
        <v>0</v>
      </c>
    </row>
    <row r="169" spans="1:9" x14ac:dyDescent="0.3">
      <c r="A169" s="326"/>
      <c r="B169" s="327"/>
      <c r="C169" s="282" t="s">
        <v>1075</v>
      </c>
      <c r="D169" s="282">
        <v>25609</v>
      </c>
      <c r="E169" s="280">
        <v>0</v>
      </c>
      <c r="F169" s="280">
        <v>0</v>
      </c>
      <c r="G169" s="280">
        <v>0</v>
      </c>
      <c r="H169" s="281">
        <v>0</v>
      </c>
      <c r="I169" s="280">
        <v>0</v>
      </c>
    </row>
    <row r="170" spans="1:9" x14ac:dyDescent="0.3">
      <c r="A170" s="326"/>
      <c r="B170" s="325" t="s">
        <v>1074</v>
      </c>
      <c r="C170" s="282" t="s">
        <v>373</v>
      </c>
      <c r="D170" s="282" t="s">
        <v>373</v>
      </c>
      <c r="E170" s="282" t="s">
        <v>373</v>
      </c>
      <c r="F170" s="282" t="s">
        <v>373</v>
      </c>
      <c r="G170" s="282" t="s">
        <v>373</v>
      </c>
      <c r="H170" s="282" t="s">
        <v>373</v>
      </c>
      <c r="I170" s="282" t="s">
        <v>373</v>
      </c>
    </row>
    <row r="171" spans="1:9" x14ac:dyDescent="0.3">
      <c r="A171" s="326"/>
      <c r="B171" s="326"/>
      <c r="C171" s="282" t="s">
        <v>1073</v>
      </c>
      <c r="D171" s="282">
        <v>29190</v>
      </c>
      <c r="E171" s="280">
        <v>0</v>
      </c>
      <c r="F171" s="280">
        <v>0</v>
      </c>
      <c r="G171" s="280">
        <v>0.13</v>
      </c>
      <c r="H171" s="281">
        <v>0</v>
      </c>
      <c r="I171" s="280">
        <v>0</v>
      </c>
    </row>
    <row r="172" spans="1:9" x14ac:dyDescent="0.3">
      <c r="A172" s="326"/>
      <c r="B172" s="326"/>
      <c r="C172" s="282" t="s">
        <v>1072</v>
      </c>
      <c r="D172" s="282">
        <v>3044</v>
      </c>
      <c r="E172" s="280">
        <v>1950</v>
      </c>
      <c r="F172" s="280">
        <v>1</v>
      </c>
      <c r="G172" s="280">
        <v>0.11600000000000001</v>
      </c>
      <c r="H172" s="281">
        <v>120</v>
      </c>
      <c r="I172" s="280">
        <v>14</v>
      </c>
    </row>
    <row r="173" spans="1:9" x14ac:dyDescent="0.3">
      <c r="A173" s="326"/>
      <c r="B173" s="326"/>
      <c r="C173" s="282" t="s">
        <v>1071</v>
      </c>
      <c r="D173" s="282">
        <v>28550</v>
      </c>
      <c r="E173" s="280">
        <v>2005</v>
      </c>
      <c r="F173" s="280">
        <v>1</v>
      </c>
      <c r="G173" s="280">
        <v>0</v>
      </c>
      <c r="H173" s="281">
        <v>0</v>
      </c>
      <c r="I173" s="280">
        <v>0</v>
      </c>
    </row>
    <row r="174" spans="1:9" x14ac:dyDescent="0.3">
      <c r="A174" s="326"/>
      <c r="B174" s="326"/>
      <c r="C174" s="282" t="s">
        <v>1070</v>
      </c>
      <c r="D174" s="282">
        <v>5594</v>
      </c>
      <c r="E174" s="280">
        <v>2060</v>
      </c>
      <c r="F174" s="280">
        <v>1.1000000000000001</v>
      </c>
      <c r="G174" s="280">
        <v>0.122</v>
      </c>
      <c r="H174" s="281">
        <v>120</v>
      </c>
      <c r="I174" s="280">
        <v>15</v>
      </c>
    </row>
    <row r="175" spans="1:9" x14ac:dyDescent="0.3">
      <c r="A175" s="326"/>
      <c r="B175" s="326"/>
      <c r="C175" s="282" t="s">
        <v>1069</v>
      </c>
      <c r="D175" s="282">
        <v>14552</v>
      </c>
      <c r="E175" s="280">
        <v>2115</v>
      </c>
      <c r="F175" s="280">
        <v>1.1000000000000001</v>
      </c>
      <c r="G175" s="280">
        <v>0.12</v>
      </c>
      <c r="H175" s="281">
        <v>0</v>
      </c>
      <c r="I175" s="280">
        <v>0</v>
      </c>
    </row>
    <row r="176" spans="1:9" x14ac:dyDescent="0.3">
      <c r="A176" s="326"/>
      <c r="B176" s="326"/>
      <c r="C176" s="282" t="s">
        <v>1068</v>
      </c>
      <c r="D176" s="282">
        <v>16141</v>
      </c>
      <c r="E176" s="280">
        <v>2150</v>
      </c>
      <c r="F176" s="280">
        <v>1.08</v>
      </c>
      <c r="G176" s="280">
        <v>0.13400000000000001</v>
      </c>
      <c r="H176" s="281">
        <v>0</v>
      </c>
      <c r="I176" s="280">
        <v>0</v>
      </c>
    </row>
    <row r="177" spans="1:9" x14ac:dyDescent="0.3">
      <c r="A177" s="326"/>
      <c r="B177" s="326"/>
      <c r="C177" s="282" t="s">
        <v>1067</v>
      </c>
      <c r="D177" s="282">
        <v>15199</v>
      </c>
      <c r="E177" s="280">
        <v>2170</v>
      </c>
      <c r="F177" s="280">
        <v>1.08</v>
      </c>
      <c r="G177" s="280">
        <v>0.12</v>
      </c>
      <c r="H177" s="281">
        <v>0</v>
      </c>
      <c r="I177" s="280">
        <v>0</v>
      </c>
    </row>
    <row r="178" spans="1:9" x14ac:dyDescent="0.3">
      <c r="A178" s="326"/>
      <c r="B178" s="326"/>
      <c r="C178" s="282" t="s">
        <v>1066</v>
      </c>
      <c r="D178" s="282">
        <v>17477</v>
      </c>
      <c r="E178" s="280">
        <v>2225</v>
      </c>
      <c r="F178" s="280">
        <v>1.1000000000000001</v>
      </c>
      <c r="G178" s="280">
        <v>1</v>
      </c>
      <c r="H178" s="282"/>
      <c r="I178" s="282"/>
    </row>
    <row r="179" spans="1:9" x14ac:dyDescent="0.3">
      <c r="A179" s="326"/>
      <c r="B179" s="326"/>
      <c r="C179" s="282" t="s">
        <v>1065</v>
      </c>
      <c r="D179" s="282">
        <v>16108</v>
      </c>
      <c r="E179" s="280">
        <v>2300</v>
      </c>
      <c r="F179" s="280">
        <v>1.1499999999999999</v>
      </c>
      <c r="G179" s="280">
        <v>0.5</v>
      </c>
      <c r="H179" s="281">
        <v>0</v>
      </c>
      <c r="I179" s="280">
        <v>0</v>
      </c>
    </row>
    <row r="180" spans="1:9" x14ac:dyDescent="0.3">
      <c r="A180" s="326"/>
      <c r="B180" s="326"/>
      <c r="C180" s="282" t="s">
        <v>1064</v>
      </c>
      <c r="D180" s="282">
        <v>14710</v>
      </c>
      <c r="E180" s="280">
        <v>2335</v>
      </c>
      <c r="F180" s="280">
        <v>1.2</v>
      </c>
      <c r="G180" s="280">
        <v>0.11666</v>
      </c>
      <c r="H180" s="281">
        <v>0</v>
      </c>
      <c r="I180" s="280">
        <v>0</v>
      </c>
    </row>
    <row r="181" spans="1:9" x14ac:dyDescent="0.3">
      <c r="A181" s="326"/>
      <c r="B181" s="326"/>
      <c r="C181" s="282" t="s">
        <v>1063</v>
      </c>
      <c r="D181" s="282">
        <v>16985</v>
      </c>
      <c r="E181" s="280">
        <v>2405</v>
      </c>
      <c r="F181" s="280">
        <v>1.2</v>
      </c>
      <c r="G181" s="280">
        <v>0.16200000000000001</v>
      </c>
      <c r="H181" s="281">
        <v>0</v>
      </c>
      <c r="I181" s="280">
        <v>0</v>
      </c>
    </row>
    <row r="182" spans="1:9" x14ac:dyDescent="0.3">
      <c r="A182" s="326"/>
      <c r="B182" s="326"/>
      <c r="C182" s="282" t="s">
        <v>1062</v>
      </c>
      <c r="D182" s="282">
        <v>28887</v>
      </c>
      <c r="E182" s="280">
        <v>2500</v>
      </c>
      <c r="F182" s="280">
        <v>1.3</v>
      </c>
      <c r="G182" s="280">
        <v>0</v>
      </c>
      <c r="H182" s="281">
        <v>0</v>
      </c>
      <c r="I182" s="280">
        <v>0</v>
      </c>
    </row>
    <row r="183" spans="1:9" x14ac:dyDescent="0.3">
      <c r="A183" s="326"/>
      <c r="B183" s="326"/>
      <c r="C183" s="282" t="s">
        <v>1061</v>
      </c>
      <c r="D183" s="282">
        <v>16986</v>
      </c>
      <c r="E183" s="280">
        <v>2700</v>
      </c>
      <c r="F183" s="280">
        <v>1.35</v>
      </c>
      <c r="G183" s="280">
        <v>1</v>
      </c>
      <c r="H183" s="281">
        <v>0</v>
      </c>
      <c r="I183" s="280">
        <v>0</v>
      </c>
    </row>
    <row r="184" spans="1:9" x14ac:dyDescent="0.3">
      <c r="A184" s="326"/>
      <c r="B184" s="326"/>
      <c r="C184" s="282" t="s">
        <v>1060</v>
      </c>
      <c r="D184" s="282">
        <v>19225</v>
      </c>
      <c r="E184" s="280">
        <v>2900</v>
      </c>
      <c r="F184" s="280">
        <v>1.5</v>
      </c>
      <c r="G184" s="280">
        <v>0</v>
      </c>
      <c r="H184" s="281">
        <v>0</v>
      </c>
      <c r="I184" s="280">
        <v>0</v>
      </c>
    </row>
    <row r="185" spans="1:9" x14ac:dyDescent="0.3">
      <c r="A185" s="326"/>
      <c r="B185" s="326"/>
      <c r="C185" s="282" t="s">
        <v>1059</v>
      </c>
      <c r="D185" s="282">
        <v>3689</v>
      </c>
      <c r="E185" s="280">
        <v>3094</v>
      </c>
      <c r="F185" s="280">
        <v>1.6</v>
      </c>
      <c r="G185" s="280">
        <v>0.2</v>
      </c>
      <c r="H185" s="281">
        <v>100</v>
      </c>
      <c r="I185" s="280">
        <v>20</v>
      </c>
    </row>
    <row r="186" spans="1:9" x14ac:dyDescent="0.3">
      <c r="A186" s="326"/>
      <c r="B186" s="326"/>
      <c r="C186" s="282" t="s">
        <v>1058</v>
      </c>
      <c r="D186" s="282">
        <v>14261</v>
      </c>
      <c r="E186" s="280">
        <v>3015</v>
      </c>
      <c r="F186" s="280">
        <v>1.5</v>
      </c>
      <c r="G186" s="280">
        <v>0.182</v>
      </c>
      <c r="H186" s="281">
        <v>100</v>
      </c>
      <c r="I186" s="280">
        <v>18.2</v>
      </c>
    </row>
    <row r="187" spans="1:9" x14ac:dyDescent="0.3">
      <c r="A187" s="326"/>
      <c r="B187" s="326"/>
      <c r="C187" s="282" t="s">
        <v>1057</v>
      </c>
      <c r="D187" s="282">
        <v>15033</v>
      </c>
      <c r="E187" s="280">
        <v>3200</v>
      </c>
      <c r="F187" s="280">
        <v>1.6</v>
      </c>
      <c r="G187" s="280">
        <v>0.23300000000000001</v>
      </c>
      <c r="H187" s="281">
        <v>0</v>
      </c>
      <c r="I187" s="280">
        <v>0</v>
      </c>
    </row>
    <row r="188" spans="1:9" x14ac:dyDescent="0.3">
      <c r="A188" s="326"/>
      <c r="B188" s="326"/>
      <c r="C188" s="282" t="s">
        <v>1056</v>
      </c>
      <c r="D188" s="282">
        <v>18501</v>
      </c>
      <c r="E188" s="280">
        <v>3250</v>
      </c>
      <c r="F188" s="280">
        <v>1.63</v>
      </c>
      <c r="G188" s="280">
        <v>0.25</v>
      </c>
      <c r="H188" s="281">
        <v>0</v>
      </c>
      <c r="I188" s="280">
        <v>0</v>
      </c>
    </row>
    <row r="189" spans="1:9" x14ac:dyDescent="0.3">
      <c r="A189" s="326"/>
      <c r="B189" s="326"/>
      <c r="C189" s="282" t="s">
        <v>1055</v>
      </c>
      <c r="D189" s="282">
        <v>18375</v>
      </c>
      <c r="E189" s="280">
        <v>3250</v>
      </c>
      <c r="F189" s="280">
        <v>1.63</v>
      </c>
      <c r="G189" s="280">
        <v>0.25</v>
      </c>
      <c r="H189" s="281">
        <v>0</v>
      </c>
      <c r="I189" s="280">
        <v>0</v>
      </c>
    </row>
    <row r="190" spans="1:9" x14ac:dyDescent="0.3">
      <c r="A190" s="326"/>
      <c r="B190" s="326"/>
      <c r="C190" s="282" t="s">
        <v>1054</v>
      </c>
      <c r="D190" s="282">
        <v>894</v>
      </c>
      <c r="E190" s="280">
        <v>3412</v>
      </c>
      <c r="F190" s="280">
        <v>1.7</v>
      </c>
      <c r="G190" s="280">
        <v>1</v>
      </c>
      <c r="H190" s="281">
        <v>0</v>
      </c>
      <c r="I190" s="280">
        <v>0</v>
      </c>
    </row>
    <row r="191" spans="1:9" x14ac:dyDescent="0.3">
      <c r="A191" s="326"/>
      <c r="B191" s="326"/>
      <c r="C191" s="282" t="s">
        <v>1053</v>
      </c>
      <c r="D191" s="282">
        <v>15674</v>
      </c>
      <c r="E191" s="280">
        <v>3850</v>
      </c>
      <c r="F191" s="280">
        <v>2</v>
      </c>
      <c r="G191" s="280">
        <v>1</v>
      </c>
      <c r="H191" s="281">
        <v>0</v>
      </c>
      <c r="I191" s="280">
        <v>0</v>
      </c>
    </row>
    <row r="192" spans="1:9" x14ac:dyDescent="0.3">
      <c r="A192" s="326"/>
      <c r="B192" s="326"/>
      <c r="C192" s="282" t="s">
        <v>1052</v>
      </c>
      <c r="D192" s="282">
        <v>23502</v>
      </c>
      <c r="E192" s="280">
        <v>3870</v>
      </c>
      <c r="F192" s="280">
        <v>2</v>
      </c>
      <c r="G192" s="280">
        <v>0</v>
      </c>
      <c r="H192" s="281">
        <v>0</v>
      </c>
      <c r="I192" s="280">
        <v>0</v>
      </c>
    </row>
    <row r="193" spans="1:9" x14ac:dyDescent="0.3">
      <c r="A193" s="326"/>
      <c r="B193" s="326"/>
      <c r="C193" s="282" t="s">
        <v>1051</v>
      </c>
      <c r="D193" s="282">
        <v>28578</v>
      </c>
      <c r="E193" s="280">
        <v>3900</v>
      </c>
      <c r="F193" s="280">
        <v>2</v>
      </c>
      <c r="G193" s="280">
        <v>0</v>
      </c>
      <c r="H193" s="281">
        <v>0</v>
      </c>
      <c r="I193" s="280">
        <v>0</v>
      </c>
    </row>
    <row r="194" spans="1:9" x14ac:dyDescent="0.3">
      <c r="A194" s="326"/>
      <c r="B194" s="326"/>
      <c r="C194" s="282" t="s">
        <v>1050</v>
      </c>
      <c r="D194" s="282">
        <v>22941</v>
      </c>
      <c r="E194" s="280">
        <v>0</v>
      </c>
      <c r="F194" s="280">
        <v>0</v>
      </c>
      <c r="G194" s="280">
        <v>0</v>
      </c>
      <c r="H194" s="281">
        <v>0</v>
      </c>
      <c r="I194" s="280">
        <v>0</v>
      </c>
    </row>
    <row r="195" spans="1:9" x14ac:dyDescent="0.3">
      <c r="A195" s="326"/>
      <c r="B195" s="326"/>
      <c r="C195" s="282" t="s">
        <v>1049</v>
      </c>
      <c r="D195" s="282">
        <v>15922</v>
      </c>
      <c r="E195" s="280">
        <v>3960</v>
      </c>
      <c r="F195" s="280">
        <v>2</v>
      </c>
      <c r="G195" s="280">
        <v>8.6E-3</v>
      </c>
      <c r="H195" s="281">
        <v>0</v>
      </c>
      <c r="I195" s="280">
        <v>0</v>
      </c>
    </row>
    <row r="196" spans="1:9" x14ac:dyDescent="0.3">
      <c r="A196" s="326"/>
      <c r="B196" s="326"/>
      <c r="C196" s="282" t="s">
        <v>1048</v>
      </c>
      <c r="D196" s="282">
        <v>20046</v>
      </c>
      <c r="E196" s="280">
        <v>4000</v>
      </c>
      <c r="F196" s="280">
        <v>2.1</v>
      </c>
      <c r="G196" s="280">
        <v>0</v>
      </c>
      <c r="H196" s="281">
        <v>0</v>
      </c>
      <c r="I196" s="280">
        <v>0</v>
      </c>
    </row>
    <row r="197" spans="1:9" x14ac:dyDescent="0.3">
      <c r="A197" s="326"/>
      <c r="B197" s="326"/>
      <c r="C197" s="282" t="s">
        <v>1047</v>
      </c>
      <c r="D197" s="282">
        <v>15623</v>
      </c>
      <c r="E197" s="280">
        <v>4070</v>
      </c>
      <c r="F197" s="280">
        <v>2.04</v>
      </c>
      <c r="G197" s="280">
        <v>1</v>
      </c>
      <c r="H197" s="281">
        <v>0</v>
      </c>
      <c r="I197" s="280">
        <v>0</v>
      </c>
    </row>
    <row r="198" spans="1:9" x14ac:dyDescent="0.3">
      <c r="A198" s="326"/>
      <c r="B198" s="326"/>
      <c r="C198" s="282" t="s">
        <v>1046</v>
      </c>
      <c r="D198" s="282">
        <v>19913</v>
      </c>
      <c r="E198" s="280">
        <v>4150</v>
      </c>
      <c r="F198" s="280">
        <v>2.1</v>
      </c>
      <c r="G198" s="280">
        <v>0</v>
      </c>
      <c r="H198" s="281">
        <v>0</v>
      </c>
      <c r="I198" s="280">
        <v>0</v>
      </c>
    </row>
    <row r="199" spans="1:9" x14ac:dyDescent="0.3">
      <c r="A199" s="326"/>
      <c r="B199" s="326"/>
      <c r="C199" s="282" t="s">
        <v>1045</v>
      </c>
      <c r="D199" s="282">
        <v>23087</v>
      </c>
      <c r="E199" s="280">
        <v>4200</v>
      </c>
      <c r="F199" s="280">
        <v>2.15</v>
      </c>
      <c r="G199" s="280">
        <v>0</v>
      </c>
      <c r="H199" s="281">
        <v>0</v>
      </c>
      <c r="I199" s="280">
        <v>0</v>
      </c>
    </row>
    <row r="200" spans="1:9" x14ac:dyDescent="0.3">
      <c r="A200" s="326"/>
      <c r="B200" s="326"/>
      <c r="C200" s="282" t="s">
        <v>1044</v>
      </c>
      <c r="D200" s="282">
        <v>22942</v>
      </c>
      <c r="E200" s="280">
        <v>0</v>
      </c>
      <c r="F200" s="280">
        <v>0</v>
      </c>
      <c r="G200" s="280">
        <v>0</v>
      </c>
      <c r="H200" s="281">
        <v>0</v>
      </c>
      <c r="I200" s="280">
        <v>0</v>
      </c>
    </row>
    <row r="201" spans="1:9" x14ac:dyDescent="0.3">
      <c r="A201" s="326"/>
      <c r="B201" s="326"/>
      <c r="C201" s="282" t="s">
        <v>1043</v>
      </c>
      <c r="D201" s="282">
        <v>19914</v>
      </c>
      <c r="E201" s="280">
        <v>4250</v>
      </c>
      <c r="F201" s="280">
        <v>2.2000000000000002</v>
      </c>
      <c r="G201" s="280">
        <v>0</v>
      </c>
      <c r="H201" s="281">
        <v>0</v>
      </c>
      <c r="I201" s="280">
        <v>0</v>
      </c>
    </row>
    <row r="202" spans="1:9" x14ac:dyDescent="0.3">
      <c r="A202" s="326"/>
      <c r="B202" s="326"/>
      <c r="C202" s="282" t="s">
        <v>1042</v>
      </c>
      <c r="D202" s="282">
        <v>883</v>
      </c>
      <c r="E202" s="280">
        <v>1795</v>
      </c>
      <c r="F202" s="280">
        <v>0.9</v>
      </c>
      <c r="G202" s="280">
        <v>0.1013</v>
      </c>
      <c r="H202" s="281">
        <v>300</v>
      </c>
      <c r="I202" s="280">
        <v>24.15</v>
      </c>
    </row>
    <row r="203" spans="1:9" x14ac:dyDescent="0.3">
      <c r="A203" s="326"/>
      <c r="B203" s="327"/>
      <c r="C203" s="282" t="s">
        <v>1041</v>
      </c>
      <c r="D203" s="282">
        <v>28720</v>
      </c>
      <c r="E203" s="280">
        <v>1850</v>
      </c>
      <c r="F203" s="280">
        <v>0.9</v>
      </c>
      <c r="G203" s="280">
        <v>0</v>
      </c>
      <c r="H203" s="281">
        <v>0</v>
      </c>
      <c r="I203" s="280">
        <v>0</v>
      </c>
    </row>
    <row r="204" spans="1:9" x14ac:dyDescent="0.3">
      <c r="A204" s="326"/>
      <c r="B204" s="325" t="s">
        <v>1040</v>
      </c>
      <c r="C204" s="282" t="s">
        <v>373</v>
      </c>
      <c r="D204" s="282" t="s">
        <v>373</v>
      </c>
      <c r="E204" s="282" t="s">
        <v>373</v>
      </c>
      <c r="F204" s="282" t="s">
        <v>373</v>
      </c>
      <c r="G204" s="282" t="s">
        <v>373</v>
      </c>
      <c r="H204" s="282" t="s">
        <v>373</v>
      </c>
      <c r="I204" s="282" t="s">
        <v>373</v>
      </c>
    </row>
    <row r="205" spans="1:9" x14ac:dyDescent="0.3">
      <c r="A205" s="326"/>
      <c r="B205" s="326"/>
      <c r="C205" s="282" t="s">
        <v>1039</v>
      </c>
      <c r="D205" s="282">
        <v>21440</v>
      </c>
      <c r="E205" s="280">
        <v>4203</v>
      </c>
      <c r="F205" s="280">
        <v>2.1</v>
      </c>
      <c r="G205" s="280">
        <v>0</v>
      </c>
      <c r="H205" s="281">
        <v>0</v>
      </c>
      <c r="I205" s="280">
        <v>0</v>
      </c>
    </row>
    <row r="206" spans="1:9" x14ac:dyDescent="0.3">
      <c r="A206" s="326"/>
      <c r="B206" s="326"/>
      <c r="C206" s="282" t="s">
        <v>1038</v>
      </c>
      <c r="D206" s="282">
        <v>22834</v>
      </c>
      <c r="E206" s="280">
        <v>0</v>
      </c>
      <c r="F206" s="280">
        <v>0</v>
      </c>
      <c r="G206" s="280">
        <v>0</v>
      </c>
      <c r="H206" s="281">
        <v>0</v>
      </c>
      <c r="I206" s="280">
        <v>0</v>
      </c>
    </row>
    <row r="207" spans="1:9" x14ac:dyDescent="0.3">
      <c r="A207" s="326"/>
      <c r="B207" s="326"/>
      <c r="C207" s="282" t="s">
        <v>1037</v>
      </c>
      <c r="D207" s="282">
        <v>3694</v>
      </c>
      <c r="E207" s="280">
        <v>1092</v>
      </c>
      <c r="F207" s="280">
        <v>0.6</v>
      </c>
      <c r="G207" s="280">
        <v>3.1800000000000002E-2</v>
      </c>
      <c r="H207" s="281">
        <v>0</v>
      </c>
      <c r="I207" s="280">
        <v>0</v>
      </c>
    </row>
    <row r="208" spans="1:9" x14ac:dyDescent="0.3">
      <c r="A208" s="326"/>
      <c r="B208" s="326"/>
      <c r="C208" s="282" t="s">
        <v>1036</v>
      </c>
      <c r="D208" s="282">
        <v>922</v>
      </c>
      <c r="E208" s="280">
        <v>5992</v>
      </c>
      <c r="F208" s="280">
        <v>3</v>
      </c>
      <c r="G208" s="280">
        <v>0.38400000000000001</v>
      </c>
      <c r="H208" s="281">
        <v>50</v>
      </c>
      <c r="I208" s="280">
        <v>19.350000000000001</v>
      </c>
    </row>
    <row r="209" spans="1:9" x14ac:dyDescent="0.3">
      <c r="A209" s="326"/>
      <c r="B209" s="326"/>
      <c r="C209" s="282" t="s">
        <v>1035</v>
      </c>
      <c r="D209" s="282">
        <v>3597</v>
      </c>
      <c r="E209" s="280">
        <v>10738</v>
      </c>
      <c r="F209" s="280">
        <v>5.5</v>
      </c>
      <c r="G209" s="280">
        <v>0.8266</v>
      </c>
      <c r="H209" s="281">
        <v>0</v>
      </c>
      <c r="I209" s="280">
        <v>0</v>
      </c>
    </row>
    <row r="210" spans="1:9" x14ac:dyDescent="0.3">
      <c r="A210" s="326"/>
      <c r="B210" s="326"/>
      <c r="C210" s="282" t="s">
        <v>1034</v>
      </c>
      <c r="D210" s="282">
        <v>6953</v>
      </c>
      <c r="E210" s="280">
        <v>2435</v>
      </c>
      <c r="F210" s="280">
        <v>1.2</v>
      </c>
      <c r="G210" s="280">
        <v>6.7799999999999999E-2</v>
      </c>
      <c r="H210" s="281">
        <v>0</v>
      </c>
      <c r="I210" s="280">
        <v>0</v>
      </c>
    </row>
    <row r="211" spans="1:9" ht="20.399999999999999" x14ac:dyDescent="0.3">
      <c r="A211" s="326"/>
      <c r="B211" s="326"/>
      <c r="C211" s="282" t="s">
        <v>1033</v>
      </c>
      <c r="D211" s="282">
        <v>6253</v>
      </c>
      <c r="E211" s="280">
        <v>690</v>
      </c>
      <c r="F211" s="280">
        <v>0.4</v>
      </c>
      <c r="G211" s="280">
        <v>7.8299999999999995E-2</v>
      </c>
      <c r="H211" s="281">
        <v>300</v>
      </c>
      <c r="I211" s="280">
        <v>23.65</v>
      </c>
    </row>
    <row r="212" spans="1:9" x14ac:dyDescent="0.3">
      <c r="A212" s="327"/>
      <c r="B212" s="327"/>
      <c r="C212" s="282" t="s">
        <v>1032</v>
      </c>
      <c r="D212" s="282">
        <v>23095</v>
      </c>
      <c r="E212" s="280">
        <v>0</v>
      </c>
      <c r="F212" s="280">
        <v>0</v>
      </c>
      <c r="G212" s="280">
        <v>0</v>
      </c>
      <c r="H212" s="281">
        <v>0</v>
      </c>
      <c r="I212" s="280">
        <v>0</v>
      </c>
    </row>
    <row r="213" spans="1:9" x14ac:dyDescent="0.3">
      <c r="A213" s="325" t="s">
        <v>1031</v>
      </c>
      <c r="B213" s="282" t="s">
        <v>373</v>
      </c>
      <c r="C213" s="282" t="s">
        <v>373</v>
      </c>
      <c r="D213" s="282" t="s">
        <v>373</v>
      </c>
      <c r="E213" s="282" t="s">
        <v>373</v>
      </c>
      <c r="F213" s="282" t="s">
        <v>373</v>
      </c>
      <c r="G213" s="282" t="s">
        <v>373</v>
      </c>
      <c r="H213" s="282" t="s">
        <v>373</v>
      </c>
      <c r="I213" s="282" t="s">
        <v>373</v>
      </c>
    </row>
    <row r="214" spans="1:9" x14ac:dyDescent="0.3">
      <c r="A214" s="326"/>
      <c r="B214" s="325" t="s">
        <v>1030</v>
      </c>
      <c r="C214" s="282" t="s">
        <v>373</v>
      </c>
      <c r="D214" s="282" t="s">
        <v>373</v>
      </c>
      <c r="E214" s="282" t="s">
        <v>373</v>
      </c>
      <c r="F214" s="282" t="s">
        <v>373</v>
      </c>
      <c r="G214" s="282" t="s">
        <v>373</v>
      </c>
      <c r="H214" s="282" t="s">
        <v>373</v>
      </c>
      <c r="I214" s="282" t="s">
        <v>373</v>
      </c>
    </row>
    <row r="215" spans="1:9" x14ac:dyDescent="0.3">
      <c r="A215" s="326"/>
      <c r="B215" s="326"/>
      <c r="C215" s="282" t="s">
        <v>1029</v>
      </c>
      <c r="D215" s="282">
        <v>25972</v>
      </c>
      <c r="E215" s="280">
        <v>381000</v>
      </c>
      <c r="F215" s="280">
        <v>195.4</v>
      </c>
      <c r="G215" s="280">
        <v>0</v>
      </c>
      <c r="H215" s="281">
        <v>0</v>
      </c>
      <c r="I215" s="280">
        <v>0</v>
      </c>
    </row>
    <row r="216" spans="1:9" x14ac:dyDescent="0.3">
      <c r="A216" s="326"/>
      <c r="B216" s="326"/>
      <c r="C216" s="282" t="s">
        <v>1028</v>
      </c>
      <c r="D216" s="282">
        <v>3381</v>
      </c>
      <c r="E216" s="280">
        <v>381000</v>
      </c>
      <c r="F216" s="280">
        <v>195.4</v>
      </c>
      <c r="G216" s="280">
        <v>36</v>
      </c>
      <c r="H216" s="281">
        <v>1</v>
      </c>
      <c r="I216" s="280">
        <v>36</v>
      </c>
    </row>
    <row r="217" spans="1:9" x14ac:dyDescent="0.3">
      <c r="A217" s="326"/>
      <c r="B217" s="326"/>
      <c r="C217" s="282" t="s">
        <v>1027</v>
      </c>
      <c r="D217" s="282">
        <v>20089</v>
      </c>
      <c r="E217" s="280">
        <v>381000</v>
      </c>
      <c r="F217" s="280">
        <v>195.4</v>
      </c>
      <c r="G217" s="280">
        <v>0</v>
      </c>
      <c r="H217" s="281">
        <v>0</v>
      </c>
      <c r="I217" s="280">
        <v>0</v>
      </c>
    </row>
    <row r="218" spans="1:9" x14ac:dyDescent="0.3">
      <c r="A218" s="326"/>
      <c r="B218" s="326"/>
      <c r="C218" s="282" t="s">
        <v>1026</v>
      </c>
      <c r="D218" s="282">
        <v>2588</v>
      </c>
      <c r="E218" s="280">
        <v>460350</v>
      </c>
      <c r="F218" s="280">
        <v>236.1</v>
      </c>
      <c r="G218" s="280">
        <v>38</v>
      </c>
      <c r="H218" s="281">
        <v>1</v>
      </c>
      <c r="I218" s="280">
        <v>37.200000000000003</v>
      </c>
    </row>
    <row r="219" spans="1:9" x14ac:dyDescent="0.3">
      <c r="A219" s="326"/>
      <c r="B219" s="326"/>
      <c r="C219" s="282" t="s">
        <v>1025</v>
      </c>
      <c r="D219" s="282">
        <v>2627</v>
      </c>
      <c r="E219" s="280">
        <v>460350</v>
      </c>
      <c r="F219" s="280">
        <v>236.1</v>
      </c>
      <c r="G219" s="280">
        <v>38.5</v>
      </c>
      <c r="H219" s="281">
        <v>1</v>
      </c>
      <c r="I219" s="280">
        <v>38.5</v>
      </c>
    </row>
    <row r="220" spans="1:9" x14ac:dyDescent="0.3">
      <c r="A220" s="326"/>
      <c r="B220" s="326"/>
      <c r="C220" s="282" t="s">
        <v>1024</v>
      </c>
      <c r="D220" s="282">
        <v>2626</v>
      </c>
      <c r="E220" s="280">
        <v>492050</v>
      </c>
      <c r="F220" s="280">
        <v>252.3</v>
      </c>
      <c r="G220" s="280">
        <v>39.200000000000003</v>
      </c>
      <c r="H220" s="281">
        <v>1</v>
      </c>
      <c r="I220" s="280">
        <v>39.200000000000003</v>
      </c>
    </row>
    <row r="221" spans="1:9" x14ac:dyDescent="0.3">
      <c r="A221" s="326"/>
      <c r="B221" s="326"/>
      <c r="C221" s="282" t="s">
        <v>1023</v>
      </c>
      <c r="D221" s="282">
        <v>3318</v>
      </c>
      <c r="E221" s="280">
        <v>492050</v>
      </c>
      <c r="F221" s="280">
        <v>252.3</v>
      </c>
      <c r="G221" s="280">
        <v>40.200000000000003</v>
      </c>
      <c r="H221" s="281">
        <v>1</v>
      </c>
      <c r="I221" s="280">
        <v>40.200000000000003</v>
      </c>
    </row>
    <row r="222" spans="1:9" x14ac:dyDescent="0.3">
      <c r="A222" s="326"/>
      <c r="B222" s="326"/>
      <c r="C222" s="282" t="s">
        <v>1022</v>
      </c>
      <c r="D222" s="282">
        <v>5740</v>
      </c>
      <c r="E222" s="280">
        <v>492050</v>
      </c>
      <c r="F222" s="280">
        <v>252.3</v>
      </c>
      <c r="G222" s="280">
        <v>46</v>
      </c>
      <c r="H222" s="281">
        <v>0</v>
      </c>
      <c r="I222" s="280">
        <v>0</v>
      </c>
    </row>
    <row r="223" spans="1:9" x14ac:dyDescent="0.3">
      <c r="A223" s="326"/>
      <c r="B223" s="326"/>
      <c r="C223" s="282" t="s">
        <v>1021</v>
      </c>
      <c r="D223" s="282">
        <v>8183</v>
      </c>
      <c r="E223" s="280">
        <v>523800</v>
      </c>
      <c r="F223" s="280">
        <v>268.60000000000002</v>
      </c>
      <c r="G223" s="280">
        <v>46</v>
      </c>
      <c r="H223" s="281">
        <v>0</v>
      </c>
      <c r="I223" s="280">
        <v>0</v>
      </c>
    </row>
    <row r="224" spans="1:9" x14ac:dyDescent="0.3">
      <c r="A224" s="326"/>
      <c r="B224" s="326"/>
      <c r="C224" s="282" t="s">
        <v>1020</v>
      </c>
      <c r="D224" s="282">
        <v>7959</v>
      </c>
      <c r="E224" s="280">
        <v>523800</v>
      </c>
      <c r="F224" s="280">
        <v>268.60000000000002</v>
      </c>
      <c r="G224" s="280">
        <v>46</v>
      </c>
      <c r="H224" s="281">
        <v>0</v>
      </c>
      <c r="I224" s="280">
        <v>0</v>
      </c>
    </row>
    <row r="225" spans="1:9" x14ac:dyDescent="0.3">
      <c r="A225" s="326"/>
      <c r="B225" s="326"/>
      <c r="C225" s="282" t="s">
        <v>1019</v>
      </c>
      <c r="D225" s="282">
        <v>4642</v>
      </c>
      <c r="E225" s="280">
        <v>523800</v>
      </c>
      <c r="F225" s="280">
        <v>268.60000000000002</v>
      </c>
      <c r="G225" s="280">
        <v>1</v>
      </c>
      <c r="H225" s="281">
        <v>0</v>
      </c>
      <c r="I225" s="280">
        <v>0</v>
      </c>
    </row>
    <row r="226" spans="1:9" x14ac:dyDescent="0.3">
      <c r="A226" s="326"/>
      <c r="B226" s="326"/>
      <c r="C226" s="282" t="s">
        <v>1018</v>
      </c>
      <c r="D226" s="282">
        <v>17370</v>
      </c>
      <c r="E226" s="280">
        <v>555550</v>
      </c>
      <c r="F226" s="280">
        <v>284.89999999999998</v>
      </c>
      <c r="G226" s="280">
        <v>46</v>
      </c>
      <c r="H226" s="281">
        <v>0</v>
      </c>
      <c r="I226" s="280">
        <v>0</v>
      </c>
    </row>
    <row r="227" spans="1:9" x14ac:dyDescent="0.3">
      <c r="A227" s="326"/>
      <c r="B227" s="326"/>
      <c r="C227" s="282" t="s">
        <v>1017</v>
      </c>
      <c r="D227" s="282">
        <v>17068</v>
      </c>
      <c r="E227" s="280">
        <v>603150</v>
      </c>
      <c r="F227" s="280">
        <v>309.3</v>
      </c>
      <c r="G227" s="280">
        <v>48</v>
      </c>
      <c r="H227" s="281">
        <v>0</v>
      </c>
      <c r="I227" s="280">
        <v>0</v>
      </c>
    </row>
    <row r="228" spans="1:9" x14ac:dyDescent="0.3">
      <c r="A228" s="326"/>
      <c r="B228" s="327"/>
      <c r="C228" s="282" t="s">
        <v>1016</v>
      </c>
      <c r="D228" s="282">
        <v>26034</v>
      </c>
      <c r="E228" s="280">
        <v>682550</v>
      </c>
      <c r="F228" s="280">
        <v>350</v>
      </c>
      <c r="G228" s="280">
        <v>0</v>
      </c>
      <c r="H228" s="281">
        <v>0</v>
      </c>
      <c r="I228" s="280">
        <v>0</v>
      </c>
    </row>
    <row r="229" spans="1:9" x14ac:dyDescent="0.3">
      <c r="A229" s="326"/>
      <c r="B229" s="325" t="s">
        <v>1015</v>
      </c>
      <c r="C229" s="282" t="s">
        <v>373</v>
      </c>
      <c r="D229" s="282" t="s">
        <v>373</v>
      </c>
      <c r="E229" s="282" t="s">
        <v>373</v>
      </c>
      <c r="F229" s="282" t="s">
        <v>373</v>
      </c>
      <c r="G229" s="282" t="s">
        <v>373</v>
      </c>
      <c r="H229" s="282" t="s">
        <v>373</v>
      </c>
      <c r="I229" s="282" t="s">
        <v>373</v>
      </c>
    </row>
    <row r="230" spans="1:9" x14ac:dyDescent="0.3">
      <c r="A230" s="326"/>
      <c r="B230" s="327"/>
      <c r="C230" s="282" t="s">
        <v>475</v>
      </c>
      <c r="D230" s="282">
        <v>5345</v>
      </c>
      <c r="E230" s="280">
        <v>103000</v>
      </c>
      <c r="F230" s="280">
        <v>52.8</v>
      </c>
      <c r="G230" s="280">
        <v>15.3</v>
      </c>
      <c r="H230" s="281">
        <v>0</v>
      </c>
      <c r="I230" s="280">
        <v>0</v>
      </c>
    </row>
    <row r="231" spans="1:9" x14ac:dyDescent="0.3">
      <c r="A231" s="326"/>
      <c r="B231" s="325" t="s">
        <v>1014</v>
      </c>
      <c r="C231" s="282" t="s">
        <v>373</v>
      </c>
      <c r="D231" s="282" t="s">
        <v>373</v>
      </c>
      <c r="E231" s="282" t="s">
        <v>373</v>
      </c>
      <c r="F231" s="282" t="s">
        <v>373</v>
      </c>
      <c r="G231" s="282" t="s">
        <v>373</v>
      </c>
      <c r="H231" s="282" t="s">
        <v>373</v>
      </c>
      <c r="I231" s="282" t="s">
        <v>373</v>
      </c>
    </row>
    <row r="232" spans="1:9" x14ac:dyDescent="0.3">
      <c r="A232" s="326"/>
      <c r="B232" s="326"/>
      <c r="C232" s="282" t="s">
        <v>1013</v>
      </c>
      <c r="D232" s="282">
        <v>15004</v>
      </c>
      <c r="E232" s="280">
        <v>107900</v>
      </c>
      <c r="F232" s="280">
        <v>55.3</v>
      </c>
      <c r="G232" s="280">
        <v>15</v>
      </c>
      <c r="H232" s="281">
        <v>0</v>
      </c>
      <c r="I232" s="280">
        <v>0</v>
      </c>
    </row>
    <row r="233" spans="1:9" x14ac:dyDescent="0.3">
      <c r="A233" s="326"/>
      <c r="B233" s="326"/>
      <c r="C233" s="282" t="s">
        <v>1012</v>
      </c>
      <c r="D233" s="282">
        <v>15003</v>
      </c>
      <c r="E233" s="280">
        <v>254350</v>
      </c>
      <c r="F233" s="280">
        <v>130.4</v>
      </c>
      <c r="G233" s="280">
        <v>21.8</v>
      </c>
      <c r="H233" s="281">
        <v>0</v>
      </c>
      <c r="I233" s="280">
        <v>0</v>
      </c>
    </row>
    <row r="234" spans="1:9" x14ac:dyDescent="0.3">
      <c r="A234" s="326"/>
      <c r="B234" s="326"/>
      <c r="C234" s="282" t="s">
        <v>1011</v>
      </c>
      <c r="D234" s="282">
        <v>12711</v>
      </c>
      <c r="E234" s="280">
        <v>98250</v>
      </c>
      <c r="F234" s="280">
        <v>50.4</v>
      </c>
      <c r="G234" s="280">
        <v>0.11333</v>
      </c>
      <c r="H234" s="281">
        <v>0</v>
      </c>
      <c r="I234" s="280">
        <v>0</v>
      </c>
    </row>
    <row r="235" spans="1:9" x14ac:dyDescent="0.3">
      <c r="A235" s="326"/>
      <c r="B235" s="326"/>
      <c r="C235" s="282" t="s">
        <v>1010</v>
      </c>
      <c r="D235" s="282">
        <v>15006</v>
      </c>
      <c r="E235" s="280">
        <v>105050</v>
      </c>
      <c r="F235" s="280">
        <v>53.9</v>
      </c>
      <c r="G235" s="280">
        <v>1</v>
      </c>
      <c r="H235" s="281">
        <v>0</v>
      </c>
      <c r="I235" s="280">
        <v>0</v>
      </c>
    </row>
    <row r="236" spans="1:9" x14ac:dyDescent="0.3">
      <c r="A236" s="326"/>
      <c r="B236" s="326"/>
      <c r="C236" s="282" t="s">
        <v>1009</v>
      </c>
      <c r="D236" s="282">
        <v>15005</v>
      </c>
      <c r="E236" s="280">
        <v>194600</v>
      </c>
      <c r="F236" s="280">
        <v>99.8</v>
      </c>
      <c r="G236" s="280">
        <v>1</v>
      </c>
      <c r="H236" s="281">
        <v>0</v>
      </c>
      <c r="I236" s="280">
        <v>0</v>
      </c>
    </row>
    <row r="237" spans="1:9" x14ac:dyDescent="0.3">
      <c r="A237" s="326"/>
      <c r="B237" s="326"/>
      <c r="C237" s="282" t="s">
        <v>1008</v>
      </c>
      <c r="D237" s="282">
        <v>15002</v>
      </c>
      <c r="E237" s="280">
        <v>162700</v>
      </c>
      <c r="F237" s="280">
        <v>83.4</v>
      </c>
      <c r="G237" s="280">
        <v>1</v>
      </c>
      <c r="H237" s="281">
        <v>0</v>
      </c>
      <c r="I237" s="280">
        <v>0</v>
      </c>
    </row>
    <row r="238" spans="1:9" x14ac:dyDescent="0.3">
      <c r="A238" s="326"/>
      <c r="B238" s="326"/>
      <c r="C238" s="282" t="s">
        <v>1007</v>
      </c>
      <c r="D238" s="282">
        <v>15162</v>
      </c>
      <c r="E238" s="280">
        <v>33050</v>
      </c>
      <c r="F238" s="280">
        <v>16.899999999999999</v>
      </c>
      <c r="G238" s="280">
        <v>1</v>
      </c>
      <c r="H238" s="281">
        <v>0</v>
      </c>
      <c r="I238" s="280">
        <v>0</v>
      </c>
    </row>
    <row r="239" spans="1:9" x14ac:dyDescent="0.3">
      <c r="A239" s="326"/>
      <c r="B239" s="326"/>
      <c r="C239" s="282" t="s">
        <v>1006</v>
      </c>
      <c r="D239" s="282">
        <v>15642</v>
      </c>
      <c r="E239" s="280">
        <v>257400</v>
      </c>
      <c r="F239" s="280">
        <v>132</v>
      </c>
      <c r="G239" s="280">
        <v>1</v>
      </c>
      <c r="H239" s="281">
        <v>0</v>
      </c>
      <c r="I239" s="280">
        <v>0</v>
      </c>
    </row>
    <row r="240" spans="1:9" x14ac:dyDescent="0.3">
      <c r="A240" s="326"/>
      <c r="B240" s="326"/>
      <c r="C240" s="282" t="s">
        <v>1005</v>
      </c>
      <c r="D240" s="282">
        <v>14843</v>
      </c>
      <c r="E240" s="280">
        <v>262400</v>
      </c>
      <c r="F240" s="280">
        <v>134.6</v>
      </c>
      <c r="G240" s="280">
        <v>29.6</v>
      </c>
      <c r="H240" s="281">
        <v>0</v>
      </c>
      <c r="I240" s="280">
        <v>28.6</v>
      </c>
    </row>
    <row r="241" spans="1:9" x14ac:dyDescent="0.3">
      <c r="A241" s="326"/>
      <c r="B241" s="326"/>
      <c r="C241" s="282" t="s">
        <v>1004</v>
      </c>
      <c r="D241" s="282">
        <v>17653</v>
      </c>
      <c r="E241" s="280">
        <v>45000</v>
      </c>
      <c r="F241" s="280">
        <v>23.1</v>
      </c>
      <c r="G241" s="280">
        <v>1</v>
      </c>
      <c r="H241" s="281">
        <v>0</v>
      </c>
      <c r="I241" s="280">
        <v>0</v>
      </c>
    </row>
    <row r="242" spans="1:9" x14ac:dyDescent="0.3">
      <c r="A242" s="326"/>
      <c r="B242" s="326"/>
      <c r="C242" s="282" t="s">
        <v>1003</v>
      </c>
      <c r="D242" s="282">
        <v>15643</v>
      </c>
      <c r="E242" s="280">
        <v>94150</v>
      </c>
      <c r="F242" s="280">
        <v>48.3</v>
      </c>
      <c r="G242" s="280">
        <v>1</v>
      </c>
      <c r="H242" s="281">
        <v>0</v>
      </c>
      <c r="I242" s="280">
        <v>0</v>
      </c>
    </row>
    <row r="243" spans="1:9" x14ac:dyDescent="0.3">
      <c r="A243" s="327"/>
      <c r="B243" s="327"/>
      <c r="C243" s="282" t="s">
        <v>1002</v>
      </c>
      <c r="D243" s="282">
        <v>17468</v>
      </c>
      <c r="E243" s="280">
        <v>122900</v>
      </c>
      <c r="F243" s="280">
        <v>63</v>
      </c>
      <c r="G243" s="280">
        <v>1</v>
      </c>
      <c r="H243" s="281">
        <v>0</v>
      </c>
      <c r="I243" s="280">
        <v>0</v>
      </c>
    </row>
    <row r="244" spans="1:9" x14ac:dyDescent="0.3">
      <c r="A244" s="325" t="s">
        <v>1001</v>
      </c>
      <c r="B244" s="282" t="s">
        <v>373</v>
      </c>
      <c r="C244" s="282" t="s">
        <v>373</v>
      </c>
      <c r="D244" s="282" t="s">
        <v>373</v>
      </c>
      <c r="E244" s="282" t="s">
        <v>373</v>
      </c>
      <c r="F244" s="282" t="s">
        <v>373</v>
      </c>
      <c r="G244" s="282" t="s">
        <v>373</v>
      </c>
      <c r="H244" s="282" t="s">
        <v>373</v>
      </c>
      <c r="I244" s="282" t="s">
        <v>373</v>
      </c>
    </row>
    <row r="245" spans="1:9" x14ac:dyDescent="0.3">
      <c r="A245" s="326"/>
      <c r="B245" s="325" t="s">
        <v>1000</v>
      </c>
      <c r="C245" s="282" t="s">
        <v>373</v>
      </c>
      <c r="D245" s="282" t="s">
        <v>373</v>
      </c>
      <c r="E245" s="282" t="s">
        <v>373</v>
      </c>
      <c r="F245" s="282" t="s">
        <v>373</v>
      </c>
      <c r="G245" s="282" t="s">
        <v>373</v>
      </c>
      <c r="H245" s="282" t="s">
        <v>373</v>
      </c>
      <c r="I245" s="282" t="s">
        <v>373</v>
      </c>
    </row>
    <row r="246" spans="1:9" x14ac:dyDescent="0.3">
      <c r="A246" s="326"/>
      <c r="B246" s="326"/>
      <c r="C246" s="282" t="s">
        <v>999</v>
      </c>
      <c r="D246" s="282">
        <v>24423</v>
      </c>
      <c r="E246" s="280">
        <v>9000</v>
      </c>
      <c r="F246" s="280">
        <v>4.5999999999999996</v>
      </c>
      <c r="G246" s="280">
        <v>0</v>
      </c>
      <c r="H246" s="281">
        <v>0</v>
      </c>
      <c r="I246" s="280">
        <v>0</v>
      </c>
    </row>
    <row r="247" spans="1:9" x14ac:dyDescent="0.3">
      <c r="A247" s="326"/>
      <c r="B247" s="326"/>
      <c r="C247" s="282" t="s">
        <v>998</v>
      </c>
      <c r="D247" s="282">
        <v>22742</v>
      </c>
      <c r="E247" s="280">
        <v>13200</v>
      </c>
      <c r="F247" s="280">
        <v>12.6</v>
      </c>
      <c r="G247" s="280">
        <v>0</v>
      </c>
      <c r="H247" s="281">
        <v>0</v>
      </c>
      <c r="I247" s="280">
        <v>0</v>
      </c>
    </row>
    <row r="248" spans="1:9" x14ac:dyDescent="0.3">
      <c r="A248" s="326"/>
      <c r="B248" s="326"/>
      <c r="C248" s="282" t="s">
        <v>997</v>
      </c>
      <c r="D248" s="282">
        <v>23653</v>
      </c>
      <c r="E248" s="280">
        <v>12650</v>
      </c>
      <c r="F248" s="280">
        <v>6.5</v>
      </c>
      <c r="G248" s="280">
        <v>0.625</v>
      </c>
      <c r="H248" s="281">
        <v>0</v>
      </c>
      <c r="I248" s="280">
        <v>0</v>
      </c>
    </row>
    <row r="249" spans="1:9" x14ac:dyDescent="0.3">
      <c r="A249" s="326"/>
      <c r="B249" s="326"/>
      <c r="C249" s="282" t="s">
        <v>996</v>
      </c>
      <c r="D249" s="282">
        <v>23652</v>
      </c>
      <c r="E249" s="280">
        <v>12950</v>
      </c>
      <c r="F249" s="280">
        <v>6.6</v>
      </c>
      <c r="G249" s="280">
        <v>4.2</v>
      </c>
      <c r="H249" s="281">
        <v>0</v>
      </c>
      <c r="I249" s="280">
        <v>0</v>
      </c>
    </row>
    <row r="250" spans="1:9" ht="20.399999999999999" x14ac:dyDescent="0.3">
      <c r="A250" s="326"/>
      <c r="B250" s="326"/>
      <c r="C250" s="282" t="s">
        <v>995</v>
      </c>
      <c r="D250" s="282">
        <v>23654</v>
      </c>
      <c r="E250" s="280">
        <v>10500</v>
      </c>
      <c r="F250" s="280">
        <v>5.4</v>
      </c>
      <c r="G250" s="280">
        <v>2.2200000000000002</v>
      </c>
      <c r="H250" s="281">
        <v>0</v>
      </c>
      <c r="I250" s="280">
        <v>0</v>
      </c>
    </row>
    <row r="251" spans="1:9" x14ac:dyDescent="0.3">
      <c r="A251" s="326"/>
      <c r="B251" s="326"/>
      <c r="C251" s="282" t="s">
        <v>994</v>
      </c>
      <c r="D251" s="282">
        <v>24418</v>
      </c>
      <c r="E251" s="280">
        <v>181150</v>
      </c>
      <c r="F251" s="280">
        <v>92.9</v>
      </c>
      <c r="G251" s="280">
        <v>0</v>
      </c>
      <c r="H251" s="281">
        <v>0</v>
      </c>
      <c r="I251" s="280">
        <v>0</v>
      </c>
    </row>
    <row r="252" spans="1:9" x14ac:dyDescent="0.3">
      <c r="A252" s="326"/>
      <c r="B252" s="326"/>
      <c r="C252" s="282" t="s">
        <v>993</v>
      </c>
      <c r="D252" s="282">
        <v>24419</v>
      </c>
      <c r="E252" s="280">
        <v>124400</v>
      </c>
      <c r="F252" s="280">
        <v>63.8</v>
      </c>
      <c r="G252" s="280">
        <v>0</v>
      </c>
      <c r="H252" s="281">
        <v>0</v>
      </c>
      <c r="I252" s="280">
        <v>0</v>
      </c>
    </row>
    <row r="253" spans="1:9" x14ac:dyDescent="0.3">
      <c r="A253" s="326"/>
      <c r="B253" s="326"/>
      <c r="C253" s="282" t="s">
        <v>992</v>
      </c>
      <c r="D253" s="282">
        <v>23813</v>
      </c>
      <c r="E253" s="280">
        <v>6130</v>
      </c>
      <c r="F253" s="280">
        <v>3.1</v>
      </c>
      <c r="G253" s="280">
        <v>0.77</v>
      </c>
      <c r="H253" s="281">
        <v>0</v>
      </c>
      <c r="I253" s="280">
        <v>0</v>
      </c>
    </row>
    <row r="254" spans="1:9" x14ac:dyDescent="0.3">
      <c r="A254" s="326"/>
      <c r="B254" s="326"/>
      <c r="C254" s="282" t="s">
        <v>991</v>
      </c>
      <c r="D254" s="282">
        <v>22761</v>
      </c>
      <c r="E254" s="280">
        <v>505900</v>
      </c>
      <c r="F254" s="280">
        <v>259.39999999999998</v>
      </c>
      <c r="G254" s="280">
        <v>7.75</v>
      </c>
      <c r="H254" s="281">
        <v>0</v>
      </c>
      <c r="I254" s="280">
        <v>0</v>
      </c>
    </row>
    <row r="255" spans="1:9" x14ac:dyDescent="0.3">
      <c r="A255" s="326"/>
      <c r="B255" s="326"/>
      <c r="C255" s="282" t="s">
        <v>990</v>
      </c>
      <c r="D255" s="282">
        <v>23808</v>
      </c>
      <c r="E255" s="280">
        <v>85250</v>
      </c>
      <c r="F255" s="280">
        <v>43.7</v>
      </c>
      <c r="G255" s="280">
        <v>9.39</v>
      </c>
      <c r="H255" s="281">
        <v>0</v>
      </c>
      <c r="I255" s="280">
        <v>0</v>
      </c>
    </row>
    <row r="256" spans="1:9" x14ac:dyDescent="0.3">
      <c r="A256" s="326"/>
      <c r="B256" s="326"/>
      <c r="C256" s="282" t="s">
        <v>989</v>
      </c>
      <c r="D256" s="282">
        <v>23807</v>
      </c>
      <c r="E256" s="280">
        <v>89050</v>
      </c>
      <c r="F256" s="280">
        <v>45.7</v>
      </c>
      <c r="G256" s="280">
        <v>13.06</v>
      </c>
      <c r="H256" s="281">
        <v>0</v>
      </c>
      <c r="I256" s="280">
        <v>0</v>
      </c>
    </row>
    <row r="257" spans="1:9" x14ac:dyDescent="0.3">
      <c r="A257" s="326"/>
      <c r="B257" s="326"/>
      <c r="C257" s="282" t="s">
        <v>988</v>
      </c>
      <c r="D257" s="282">
        <v>8123</v>
      </c>
      <c r="E257" s="280">
        <v>124340</v>
      </c>
      <c r="F257" s="280">
        <v>69.08</v>
      </c>
      <c r="G257" s="280">
        <v>14.6</v>
      </c>
      <c r="H257" s="281">
        <v>0</v>
      </c>
      <c r="I257" s="280">
        <v>0</v>
      </c>
    </row>
    <row r="258" spans="1:9" x14ac:dyDescent="0.3">
      <c r="A258" s="326"/>
      <c r="B258" s="326"/>
      <c r="C258" s="282" t="s">
        <v>987</v>
      </c>
      <c r="D258" s="282">
        <v>23814</v>
      </c>
      <c r="E258" s="280">
        <v>13150</v>
      </c>
      <c r="F258" s="280">
        <v>6.7</v>
      </c>
      <c r="G258" s="280">
        <v>1.47</v>
      </c>
      <c r="H258" s="281">
        <v>0</v>
      </c>
      <c r="I258" s="280">
        <v>0</v>
      </c>
    </row>
    <row r="259" spans="1:9" x14ac:dyDescent="0.3">
      <c r="A259" s="326"/>
      <c r="B259" s="326"/>
      <c r="C259" s="282" t="s">
        <v>986</v>
      </c>
      <c r="D259" s="282">
        <v>26069</v>
      </c>
      <c r="E259" s="280">
        <v>2050</v>
      </c>
      <c r="F259" s="280">
        <v>1.1000000000000001</v>
      </c>
      <c r="G259" s="280">
        <v>0</v>
      </c>
      <c r="H259" s="281">
        <v>0</v>
      </c>
      <c r="I259" s="280">
        <v>0</v>
      </c>
    </row>
    <row r="260" spans="1:9" x14ac:dyDescent="0.3">
      <c r="A260" s="326"/>
      <c r="B260" s="326"/>
      <c r="C260" s="282" t="s">
        <v>985</v>
      </c>
      <c r="D260" s="282">
        <v>22749</v>
      </c>
      <c r="E260" s="280">
        <v>58300</v>
      </c>
      <c r="F260" s="280">
        <v>29.9</v>
      </c>
      <c r="G260" s="280">
        <v>8.1999999999999993</v>
      </c>
      <c r="H260" s="281">
        <v>0</v>
      </c>
      <c r="I260" s="280">
        <v>0</v>
      </c>
    </row>
    <row r="261" spans="1:9" x14ac:dyDescent="0.3">
      <c r="A261" s="326"/>
      <c r="B261" s="326"/>
      <c r="C261" s="282" t="s">
        <v>984</v>
      </c>
      <c r="D261" s="282">
        <v>23645</v>
      </c>
      <c r="E261" s="280">
        <v>60180</v>
      </c>
      <c r="F261" s="280">
        <v>30.9</v>
      </c>
      <c r="G261" s="280">
        <v>8.76</v>
      </c>
      <c r="H261" s="281">
        <v>0</v>
      </c>
      <c r="I261" s="280">
        <v>0</v>
      </c>
    </row>
    <row r="262" spans="1:9" x14ac:dyDescent="0.3">
      <c r="A262" s="326"/>
      <c r="B262" s="326"/>
      <c r="C262" s="282" t="s">
        <v>983</v>
      </c>
      <c r="D262" s="282">
        <v>22750</v>
      </c>
      <c r="E262" s="280">
        <v>69700</v>
      </c>
      <c r="F262" s="280">
        <v>35.700000000000003</v>
      </c>
      <c r="G262" s="280">
        <v>0</v>
      </c>
      <c r="H262" s="281">
        <v>0</v>
      </c>
      <c r="I262" s="280">
        <v>0</v>
      </c>
    </row>
    <row r="263" spans="1:9" x14ac:dyDescent="0.3">
      <c r="A263" s="326"/>
      <c r="B263" s="326"/>
      <c r="C263" s="282" t="s">
        <v>982</v>
      </c>
      <c r="D263" s="282">
        <v>23812</v>
      </c>
      <c r="E263" s="280">
        <v>78200</v>
      </c>
      <c r="F263" s="280">
        <v>40.1</v>
      </c>
      <c r="G263" s="280">
        <v>10.7</v>
      </c>
      <c r="H263" s="281">
        <v>0</v>
      </c>
      <c r="I263" s="280">
        <v>0</v>
      </c>
    </row>
    <row r="264" spans="1:9" x14ac:dyDescent="0.3">
      <c r="A264" s="326"/>
      <c r="B264" s="326"/>
      <c r="C264" s="282" t="s">
        <v>981</v>
      </c>
      <c r="D264" s="282">
        <v>23811</v>
      </c>
      <c r="E264" s="280">
        <v>86250</v>
      </c>
      <c r="F264" s="280">
        <v>44.2</v>
      </c>
      <c r="G264" s="280">
        <v>11.9</v>
      </c>
      <c r="H264" s="281">
        <v>0</v>
      </c>
      <c r="I264" s="280">
        <v>0</v>
      </c>
    </row>
    <row r="265" spans="1:9" x14ac:dyDescent="0.3">
      <c r="A265" s="326"/>
      <c r="B265" s="326"/>
      <c r="C265" s="282" t="s">
        <v>980</v>
      </c>
      <c r="D265" s="282">
        <v>22748</v>
      </c>
      <c r="E265" s="280">
        <v>52200</v>
      </c>
      <c r="F265" s="280">
        <v>26.8</v>
      </c>
      <c r="G265" s="280">
        <v>7.29</v>
      </c>
      <c r="H265" s="281">
        <v>0</v>
      </c>
      <c r="I265" s="280">
        <v>7.29</v>
      </c>
    </row>
    <row r="266" spans="1:9" x14ac:dyDescent="0.3">
      <c r="A266" s="326"/>
      <c r="B266" s="326"/>
      <c r="C266" s="282" t="s">
        <v>979</v>
      </c>
      <c r="D266" s="282">
        <v>24579</v>
      </c>
      <c r="E266" s="280">
        <v>720800</v>
      </c>
      <c r="F266" s="280">
        <v>369.6</v>
      </c>
      <c r="G266" s="280">
        <v>0</v>
      </c>
      <c r="H266" s="281">
        <v>0</v>
      </c>
      <c r="I266" s="280">
        <v>0</v>
      </c>
    </row>
    <row r="267" spans="1:9" x14ac:dyDescent="0.3">
      <c r="A267" s="326"/>
      <c r="B267" s="326"/>
      <c r="C267" s="282" t="s">
        <v>978</v>
      </c>
      <c r="D267" s="282">
        <v>24421</v>
      </c>
      <c r="E267" s="280">
        <v>18600</v>
      </c>
      <c r="F267" s="280">
        <v>9.5</v>
      </c>
      <c r="G267" s="280">
        <v>0</v>
      </c>
      <c r="H267" s="281">
        <v>0</v>
      </c>
      <c r="I267" s="280">
        <v>0</v>
      </c>
    </row>
    <row r="268" spans="1:9" x14ac:dyDescent="0.3">
      <c r="A268" s="326"/>
      <c r="B268" s="326"/>
      <c r="C268" s="282" t="s">
        <v>977</v>
      </c>
      <c r="D268" s="282">
        <v>22758</v>
      </c>
      <c r="E268" s="280">
        <v>235900</v>
      </c>
      <c r="F268" s="280">
        <v>121</v>
      </c>
      <c r="G268" s="280">
        <v>5.68</v>
      </c>
      <c r="H268" s="281">
        <v>0</v>
      </c>
      <c r="I268" s="280">
        <v>0</v>
      </c>
    </row>
    <row r="269" spans="1:9" x14ac:dyDescent="0.3">
      <c r="A269" s="326"/>
      <c r="B269" s="326"/>
      <c r="C269" s="282" t="s">
        <v>976</v>
      </c>
      <c r="D269" s="282">
        <v>22606</v>
      </c>
      <c r="E269" s="280">
        <v>0</v>
      </c>
      <c r="F269" s="280">
        <v>0</v>
      </c>
      <c r="G269" s="280">
        <v>1.97</v>
      </c>
      <c r="H269" s="282"/>
      <c r="I269" s="282"/>
    </row>
    <row r="270" spans="1:9" x14ac:dyDescent="0.3">
      <c r="A270" s="326"/>
      <c r="B270" s="326"/>
      <c r="C270" s="282" t="s">
        <v>975</v>
      </c>
      <c r="D270" s="282">
        <v>22741</v>
      </c>
      <c r="E270" s="280">
        <v>26550</v>
      </c>
      <c r="F270" s="280">
        <v>13.6</v>
      </c>
      <c r="G270" s="280">
        <v>4.2</v>
      </c>
      <c r="H270" s="281">
        <v>0</v>
      </c>
      <c r="I270" s="280">
        <v>0</v>
      </c>
    </row>
    <row r="271" spans="1:9" x14ac:dyDescent="0.3">
      <c r="A271" s="326"/>
      <c r="B271" s="326"/>
      <c r="C271" s="282" t="s">
        <v>974</v>
      </c>
      <c r="D271" s="282">
        <v>23804</v>
      </c>
      <c r="E271" s="280">
        <v>105150</v>
      </c>
      <c r="F271" s="280">
        <v>53.9</v>
      </c>
      <c r="G271" s="280">
        <v>10</v>
      </c>
      <c r="H271" s="281">
        <v>0</v>
      </c>
      <c r="I271" s="280">
        <v>0</v>
      </c>
    </row>
    <row r="272" spans="1:9" x14ac:dyDescent="0.3">
      <c r="A272" s="326"/>
      <c r="B272" s="326"/>
      <c r="C272" s="282" t="s">
        <v>973</v>
      </c>
      <c r="D272" s="282">
        <v>19508</v>
      </c>
      <c r="E272" s="280">
        <v>83205</v>
      </c>
      <c r="F272" s="280">
        <v>41.6</v>
      </c>
      <c r="G272" s="280">
        <v>1.25</v>
      </c>
      <c r="H272" s="281">
        <v>0</v>
      </c>
      <c r="I272" s="280">
        <v>0</v>
      </c>
    </row>
    <row r="273" spans="1:9" x14ac:dyDescent="0.3">
      <c r="A273" s="326"/>
      <c r="B273" s="326"/>
      <c r="C273" s="282" t="s">
        <v>972</v>
      </c>
      <c r="D273" s="282">
        <v>15818</v>
      </c>
      <c r="E273" s="280">
        <v>39110</v>
      </c>
      <c r="F273" s="280">
        <v>20.100000000000001</v>
      </c>
      <c r="G273" s="280">
        <v>4.5491799999999998</v>
      </c>
      <c r="H273" s="281">
        <v>0</v>
      </c>
      <c r="I273" s="280">
        <v>0</v>
      </c>
    </row>
    <row r="274" spans="1:9" x14ac:dyDescent="0.3">
      <c r="A274" s="326"/>
      <c r="B274" s="326"/>
      <c r="C274" s="282" t="s">
        <v>971</v>
      </c>
      <c r="D274" s="282">
        <v>23651</v>
      </c>
      <c r="E274" s="280">
        <v>34800</v>
      </c>
      <c r="F274" s="280">
        <v>17.8</v>
      </c>
      <c r="G274" s="280">
        <v>4.8</v>
      </c>
      <c r="H274" s="281">
        <v>0</v>
      </c>
      <c r="I274" s="280">
        <v>0</v>
      </c>
    </row>
    <row r="275" spans="1:9" x14ac:dyDescent="0.3">
      <c r="A275" s="326"/>
      <c r="B275" s="326"/>
      <c r="C275" s="282" t="s">
        <v>970</v>
      </c>
      <c r="D275" s="282">
        <v>26696</v>
      </c>
      <c r="E275" s="280">
        <v>44750</v>
      </c>
      <c r="F275" s="280">
        <v>22.9</v>
      </c>
      <c r="G275" s="280">
        <v>0</v>
      </c>
      <c r="H275" s="281">
        <v>0</v>
      </c>
      <c r="I275" s="280">
        <v>0</v>
      </c>
    </row>
    <row r="276" spans="1:9" x14ac:dyDescent="0.3">
      <c r="A276" s="326"/>
      <c r="B276" s="326"/>
      <c r="C276" s="282" t="s">
        <v>969</v>
      </c>
      <c r="D276" s="282">
        <v>26634</v>
      </c>
      <c r="E276" s="280">
        <v>56450</v>
      </c>
      <c r="F276" s="280">
        <v>28.9</v>
      </c>
      <c r="G276" s="280">
        <v>0</v>
      </c>
      <c r="H276" s="281">
        <v>0</v>
      </c>
      <c r="I276" s="280">
        <v>0</v>
      </c>
    </row>
    <row r="277" spans="1:9" x14ac:dyDescent="0.3">
      <c r="A277" s="326"/>
      <c r="B277" s="326"/>
      <c r="C277" s="282" t="s">
        <v>968</v>
      </c>
      <c r="D277" s="282">
        <v>26829</v>
      </c>
      <c r="E277" s="280">
        <v>65500</v>
      </c>
      <c r="F277" s="280">
        <v>33.6</v>
      </c>
      <c r="G277" s="280">
        <v>0</v>
      </c>
      <c r="H277" s="281">
        <v>0</v>
      </c>
      <c r="I277" s="280">
        <v>0</v>
      </c>
    </row>
    <row r="278" spans="1:9" x14ac:dyDescent="0.3">
      <c r="A278" s="326"/>
      <c r="B278" s="326"/>
      <c r="C278" s="282" t="s">
        <v>967</v>
      </c>
      <c r="D278" s="282">
        <v>24422</v>
      </c>
      <c r="E278" s="280">
        <v>38250</v>
      </c>
      <c r="F278" s="280">
        <v>19.600000000000001</v>
      </c>
      <c r="G278" s="280">
        <v>0</v>
      </c>
      <c r="H278" s="281">
        <v>0</v>
      </c>
      <c r="I278" s="280">
        <v>0</v>
      </c>
    </row>
    <row r="279" spans="1:9" x14ac:dyDescent="0.3">
      <c r="A279" s="326"/>
      <c r="B279" s="326"/>
      <c r="C279" s="282" t="s">
        <v>966</v>
      </c>
      <c r="D279" s="282">
        <v>26830</v>
      </c>
      <c r="E279" s="280">
        <v>77450</v>
      </c>
      <c r="F279" s="280">
        <v>39.700000000000003</v>
      </c>
      <c r="G279" s="280">
        <v>0</v>
      </c>
      <c r="H279" s="281">
        <v>0</v>
      </c>
      <c r="I279" s="280">
        <v>0</v>
      </c>
    </row>
    <row r="280" spans="1:9" x14ac:dyDescent="0.3">
      <c r="A280" s="326"/>
      <c r="B280" s="326"/>
      <c r="C280" s="282" t="s">
        <v>965</v>
      </c>
      <c r="D280" s="282">
        <v>23649</v>
      </c>
      <c r="E280" s="280">
        <v>88000</v>
      </c>
      <c r="F280" s="280">
        <v>45.1</v>
      </c>
      <c r="G280" s="280">
        <v>9.8000000000000007</v>
      </c>
      <c r="H280" s="281">
        <v>0</v>
      </c>
      <c r="I280" s="280">
        <v>0</v>
      </c>
    </row>
    <row r="281" spans="1:9" x14ac:dyDescent="0.3">
      <c r="A281" s="326"/>
      <c r="B281" s="326"/>
      <c r="C281" s="282" t="s">
        <v>964</v>
      </c>
      <c r="D281" s="282">
        <v>23650</v>
      </c>
      <c r="E281" s="280">
        <v>103500</v>
      </c>
      <c r="F281" s="280">
        <v>53.1</v>
      </c>
      <c r="G281" s="280">
        <v>11.33</v>
      </c>
      <c r="H281" s="281">
        <v>0</v>
      </c>
      <c r="I281" s="280">
        <v>0</v>
      </c>
    </row>
    <row r="282" spans="1:9" x14ac:dyDescent="0.3">
      <c r="A282" s="326"/>
      <c r="B282" s="326"/>
      <c r="C282" s="282" t="s">
        <v>963</v>
      </c>
      <c r="D282" s="282">
        <v>26632</v>
      </c>
      <c r="E282" s="280">
        <v>44500</v>
      </c>
      <c r="F282" s="280">
        <v>22.8</v>
      </c>
      <c r="G282" s="280">
        <v>0</v>
      </c>
      <c r="H282" s="281">
        <v>0</v>
      </c>
      <c r="I282" s="280">
        <v>0</v>
      </c>
    </row>
    <row r="283" spans="1:9" x14ac:dyDescent="0.3">
      <c r="A283" s="326"/>
      <c r="B283" s="326"/>
      <c r="C283" s="282" t="s">
        <v>962</v>
      </c>
      <c r="D283" s="282">
        <v>26633</v>
      </c>
      <c r="E283" s="280">
        <v>49400</v>
      </c>
      <c r="F283" s="280">
        <v>25.3</v>
      </c>
      <c r="G283" s="280">
        <v>0</v>
      </c>
      <c r="H283" s="281">
        <v>0</v>
      </c>
      <c r="I283" s="280">
        <v>0</v>
      </c>
    </row>
    <row r="284" spans="1:9" x14ac:dyDescent="0.3">
      <c r="A284" s="326"/>
      <c r="B284" s="326"/>
      <c r="C284" s="282" t="s">
        <v>961</v>
      </c>
      <c r="D284" s="282">
        <v>23643</v>
      </c>
      <c r="E284" s="280">
        <v>1750</v>
      </c>
      <c r="F284" s="280">
        <v>0.9</v>
      </c>
      <c r="G284" s="280">
        <v>0.28999999999999998</v>
      </c>
      <c r="H284" s="281">
        <v>0</v>
      </c>
      <c r="I284" s="280">
        <v>0</v>
      </c>
    </row>
    <row r="285" spans="1:9" x14ac:dyDescent="0.3">
      <c r="A285" s="326"/>
      <c r="B285" s="326"/>
      <c r="C285" s="282" t="s">
        <v>960</v>
      </c>
      <c r="D285" s="282">
        <v>6434</v>
      </c>
      <c r="E285" s="280">
        <v>9012</v>
      </c>
      <c r="F285" s="280">
        <v>5.01</v>
      </c>
      <c r="G285" s="280">
        <v>0.4</v>
      </c>
      <c r="H285" s="281">
        <v>0</v>
      </c>
      <c r="I285" s="280">
        <v>0</v>
      </c>
    </row>
    <row r="286" spans="1:9" x14ac:dyDescent="0.3">
      <c r="A286" s="326"/>
      <c r="B286" s="326"/>
      <c r="C286" s="282" t="s">
        <v>959</v>
      </c>
      <c r="D286" s="282">
        <v>13400</v>
      </c>
      <c r="E286" s="280">
        <v>33705</v>
      </c>
      <c r="F286" s="280">
        <v>17</v>
      </c>
      <c r="G286" s="280">
        <v>2.4</v>
      </c>
      <c r="H286" s="281">
        <v>0</v>
      </c>
      <c r="I286" s="280">
        <v>0</v>
      </c>
    </row>
    <row r="287" spans="1:9" x14ac:dyDescent="0.3">
      <c r="A287" s="326"/>
      <c r="B287" s="326"/>
      <c r="C287" s="282" t="s">
        <v>958</v>
      </c>
      <c r="D287" s="282">
        <v>22743</v>
      </c>
      <c r="E287" s="280">
        <v>37350</v>
      </c>
      <c r="F287" s="280">
        <v>19.2</v>
      </c>
      <c r="G287" s="280">
        <v>0</v>
      </c>
      <c r="H287" s="281">
        <v>0</v>
      </c>
      <c r="I287" s="280">
        <v>0</v>
      </c>
    </row>
    <row r="288" spans="1:9" x14ac:dyDescent="0.3">
      <c r="A288" s="326"/>
      <c r="B288" s="326"/>
      <c r="C288" s="282" t="s">
        <v>957</v>
      </c>
      <c r="D288" s="282">
        <v>22744</v>
      </c>
      <c r="E288" s="280">
        <v>50550</v>
      </c>
      <c r="F288" s="280">
        <v>25.9</v>
      </c>
      <c r="G288" s="280">
        <v>0</v>
      </c>
      <c r="H288" s="281">
        <v>0</v>
      </c>
      <c r="I288" s="280">
        <v>0</v>
      </c>
    </row>
    <row r="289" spans="1:9" x14ac:dyDescent="0.3">
      <c r="A289" s="326"/>
      <c r="B289" s="326"/>
      <c r="C289" s="282" t="s">
        <v>956</v>
      </c>
      <c r="D289" s="282">
        <v>26631</v>
      </c>
      <c r="E289" s="280">
        <v>63900</v>
      </c>
      <c r="F289" s="280">
        <v>32.799999999999997</v>
      </c>
      <c r="G289" s="280">
        <v>0</v>
      </c>
      <c r="H289" s="281">
        <v>0</v>
      </c>
      <c r="I289" s="280">
        <v>0</v>
      </c>
    </row>
    <row r="290" spans="1:9" x14ac:dyDescent="0.3">
      <c r="A290" s="326"/>
      <c r="B290" s="326"/>
      <c r="C290" s="282" t="s">
        <v>955</v>
      </c>
      <c r="D290" s="282">
        <v>26831</v>
      </c>
      <c r="E290" s="280">
        <v>86700</v>
      </c>
      <c r="F290" s="280">
        <v>44.5</v>
      </c>
      <c r="G290" s="280">
        <v>0</v>
      </c>
      <c r="H290" s="281">
        <v>0</v>
      </c>
      <c r="I290" s="280">
        <v>0</v>
      </c>
    </row>
    <row r="291" spans="1:9" x14ac:dyDescent="0.3">
      <c r="A291" s="326"/>
      <c r="B291" s="326"/>
      <c r="C291" s="282" t="s">
        <v>954</v>
      </c>
      <c r="D291" s="282">
        <v>22747</v>
      </c>
      <c r="E291" s="280">
        <v>94750</v>
      </c>
      <c r="F291" s="280">
        <v>48.6</v>
      </c>
      <c r="G291" s="280">
        <v>14.1</v>
      </c>
      <c r="H291" s="281">
        <v>0</v>
      </c>
      <c r="I291" s="280">
        <v>0</v>
      </c>
    </row>
    <row r="292" spans="1:9" x14ac:dyDescent="0.3">
      <c r="A292" s="326"/>
      <c r="B292" s="326"/>
      <c r="C292" s="282" t="s">
        <v>953</v>
      </c>
      <c r="D292" s="282">
        <v>23644</v>
      </c>
      <c r="E292" s="280">
        <v>22750</v>
      </c>
      <c r="F292" s="280">
        <v>11.7</v>
      </c>
      <c r="G292" s="280">
        <v>5.7</v>
      </c>
      <c r="H292" s="281">
        <v>0</v>
      </c>
      <c r="I292" s="280">
        <v>0</v>
      </c>
    </row>
    <row r="293" spans="1:9" x14ac:dyDescent="0.3">
      <c r="A293" s="326"/>
      <c r="B293" s="326"/>
      <c r="C293" s="282" t="s">
        <v>952</v>
      </c>
      <c r="D293" s="282">
        <v>26721</v>
      </c>
      <c r="E293" s="280">
        <v>42050</v>
      </c>
      <c r="F293" s="280">
        <v>21.6</v>
      </c>
      <c r="G293" s="280">
        <v>0</v>
      </c>
      <c r="H293" s="281">
        <v>0</v>
      </c>
      <c r="I293" s="280">
        <v>0</v>
      </c>
    </row>
    <row r="294" spans="1:9" x14ac:dyDescent="0.3">
      <c r="A294" s="326"/>
      <c r="B294" s="326"/>
      <c r="C294" s="282" t="s">
        <v>951</v>
      </c>
      <c r="D294" s="282">
        <v>26722</v>
      </c>
      <c r="E294" s="280">
        <v>47550</v>
      </c>
      <c r="F294" s="280">
        <v>24.4</v>
      </c>
      <c r="G294" s="280">
        <v>0</v>
      </c>
      <c r="H294" s="281">
        <v>0</v>
      </c>
      <c r="I294" s="280">
        <v>0</v>
      </c>
    </row>
    <row r="295" spans="1:9" x14ac:dyDescent="0.3">
      <c r="A295" s="326"/>
      <c r="B295" s="326"/>
      <c r="C295" s="282" t="s">
        <v>950</v>
      </c>
      <c r="D295" s="282">
        <v>26723</v>
      </c>
      <c r="E295" s="280">
        <v>53000</v>
      </c>
      <c r="F295" s="280">
        <v>27.2</v>
      </c>
      <c r="G295" s="280">
        <v>0</v>
      </c>
      <c r="H295" s="281">
        <v>0</v>
      </c>
      <c r="I295" s="280">
        <v>0</v>
      </c>
    </row>
    <row r="296" spans="1:9" x14ac:dyDescent="0.3">
      <c r="A296" s="326"/>
      <c r="B296" s="326"/>
      <c r="C296" s="282" t="s">
        <v>949</v>
      </c>
      <c r="D296" s="282">
        <v>26724</v>
      </c>
      <c r="E296" s="280">
        <v>63950</v>
      </c>
      <c r="F296" s="280">
        <v>32.799999999999997</v>
      </c>
      <c r="G296" s="280">
        <v>0</v>
      </c>
      <c r="H296" s="281">
        <v>0</v>
      </c>
      <c r="I296" s="280">
        <v>0</v>
      </c>
    </row>
    <row r="297" spans="1:9" x14ac:dyDescent="0.3">
      <c r="A297" s="326"/>
      <c r="B297" s="326"/>
      <c r="C297" s="282" t="s">
        <v>948</v>
      </c>
      <c r="D297" s="282">
        <v>26725</v>
      </c>
      <c r="E297" s="280">
        <v>69400</v>
      </c>
      <c r="F297" s="280">
        <v>35.6</v>
      </c>
      <c r="G297" s="280">
        <v>0</v>
      </c>
      <c r="H297" s="281">
        <v>0</v>
      </c>
      <c r="I297" s="280">
        <v>0</v>
      </c>
    </row>
    <row r="298" spans="1:9" x14ac:dyDescent="0.3">
      <c r="A298" s="326"/>
      <c r="B298" s="326"/>
      <c r="C298" s="282" t="s">
        <v>947</v>
      </c>
      <c r="D298" s="282">
        <v>24420</v>
      </c>
      <c r="E298" s="280">
        <v>14900</v>
      </c>
      <c r="F298" s="280">
        <v>7.6</v>
      </c>
      <c r="G298" s="280">
        <v>0</v>
      </c>
      <c r="H298" s="281">
        <v>0</v>
      </c>
      <c r="I298" s="280">
        <v>0</v>
      </c>
    </row>
    <row r="299" spans="1:9" x14ac:dyDescent="0.3">
      <c r="A299" s="326"/>
      <c r="B299" s="326"/>
      <c r="C299" s="282" t="s">
        <v>946</v>
      </c>
      <c r="D299" s="282">
        <v>23806</v>
      </c>
      <c r="E299" s="280">
        <v>46850</v>
      </c>
      <c r="F299" s="280">
        <v>24</v>
      </c>
      <c r="G299" s="280">
        <v>0</v>
      </c>
      <c r="H299" s="281">
        <v>0</v>
      </c>
      <c r="I299" s="280">
        <v>0</v>
      </c>
    </row>
    <row r="300" spans="1:9" x14ac:dyDescent="0.3">
      <c r="A300" s="326"/>
      <c r="B300" s="326"/>
      <c r="C300" s="282" t="s">
        <v>945</v>
      </c>
      <c r="D300" s="282">
        <v>23809</v>
      </c>
      <c r="E300" s="280">
        <v>10500</v>
      </c>
      <c r="F300" s="280">
        <v>5.4</v>
      </c>
      <c r="G300" s="280">
        <v>0</v>
      </c>
      <c r="H300" s="281">
        <v>0</v>
      </c>
      <c r="I300" s="280">
        <v>0</v>
      </c>
    </row>
    <row r="301" spans="1:9" x14ac:dyDescent="0.3">
      <c r="A301" s="326"/>
      <c r="B301" s="326"/>
      <c r="C301" s="282" t="s">
        <v>944</v>
      </c>
      <c r="D301" s="282">
        <v>26075</v>
      </c>
      <c r="E301" s="280">
        <v>30900</v>
      </c>
      <c r="F301" s="280">
        <v>15.8</v>
      </c>
      <c r="G301" s="280">
        <v>0</v>
      </c>
      <c r="H301" s="281">
        <v>0</v>
      </c>
      <c r="I301" s="280">
        <v>0</v>
      </c>
    </row>
    <row r="302" spans="1:9" x14ac:dyDescent="0.3">
      <c r="A302" s="326"/>
      <c r="B302" s="326"/>
      <c r="C302" s="282" t="s">
        <v>943</v>
      </c>
      <c r="D302" s="282">
        <v>26050</v>
      </c>
      <c r="E302" s="280">
        <v>5500</v>
      </c>
      <c r="F302" s="280">
        <v>2.8</v>
      </c>
      <c r="G302" s="280">
        <v>0</v>
      </c>
      <c r="H302" s="281">
        <v>0</v>
      </c>
      <c r="I302" s="280">
        <v>0</v>
      </c>
    </row>
    <row r="303" spans="1:9" x14ac:dyDescent="0.3">
      <c r="A303" s="326"/>
      <c r="B303" s="326"/>
      <c r="C303" s="282" t="s">
        <v>942</v>
      </c>
      <c r="D303" s="282">
        <v>24425</v>
      </c>
      <c r="E303" s="280">
        <v>106300</v>
      </c>
      <c r="F303" s="280">
        <v>54.5</v>
      </c>
      <c r="G303" s="280">
        <v>0</v>
      </c>
      <c r="H303" s="281">
        <v>0</v>
      </c>
      <c r="I303" s="280">
        <v>0</v>
      </c>
    </row>
    <row r="304" spans="1:9" x14ac:dyDescent="0.3">
      <c r="A304" s="326"/>
      <c r="B304" s="326"/>
      <c r="C304" s="282" t="s">
        <v>941</v>
      </c>
      <c r="D304" s="282">
        <v>23810</v>
      </c>
      <c r="E304" s="280">
        <v>77100</v>
      </c>
      <c r="F304" s="280">
        <v>39.5</v>
      </c>
      <c r="G304" s="280">
        <v>12.4</v>
      </c>
      <c r="H304" s="281">
        <v>0</v>
      </c>
      <c r="I304" s="280">
        <v>0</v>
      </c>
    </row>
    <row r="305" spans="1:9" x14ac:dyDescent="0.3">
      <c r="A305" s="326"/>
      <c r="B305" s="326"/>
      <c r="C305" s="282" t="s">
        <v>940</v>
      </c>
      <c r="D305" s="282">
        <v>24426</v>
      </c>
      <c r="E305" s="280">
        <v>7750</v>
      </c>
      <c r="F305" s="280">
        <v>4</v>
      </c>
      <c r="G305" s="280">
        <v>0</v>
      </c>
      <c r="H305" s="281">
        <v>0</v>
      </c>
      <c r="I305" s="280">
        <v>0</v>
      </c>
    </row>
    <row r="306" spans="1:9" x14ac:dyDescent="0.3">
      <c r="A306" s="326"/>
      <c r="B306" s="326"/>
      <c r="C306" s="282" t="s">
        <v>939</v>
      </c>
      <c r="D306" s="282">
        <v>22490</v>
      </c>
      <c r="E306" s="280">
        <v>0</v>
      </c>
      <c r="F306" s="280">
        <v>0</v>
      </c>
      <c r="G306" s="280">
        <v>0</v>
      </c>
      <c r="H306" s="281">
        <v>0</v>
      </c>
      <c r="I306" s="280">
        <v>0</v>
      </c>
    </row>
    <row r="307" spans="1:9" ht="20.399999999999999" x14ac:dyDescent="0.3">
      <c r="A307" s="326"/>
      <c r="B307" s="327"/>
      <c r="C307" s="282" t="s">
        <v>938</v>
      </c>
      <c r="D307" s="282">
        <v>22628</v>
      </c>
      <c r="E307" s="280">
        <v>0</v>
      </c>
      <c r="F307" s="280">
        <v>0</v>
      </c>
      <c r="G307" s="280">
        <v>0</v>
      </c>
      <c r="H307" s="281">
        <v>0</v>
      </c>
      <c r="I307" s="280">
        <v>0</v>
      </c>
    </row>
    <row r="308" spans="1:9" x14ac:dyDescent="0.3">
      <c r="A308" s="326"/>
      <c r="B308" s="325" t="s">
        <v>937</v>
      </c>
      <c r="C308" s="282" t="s">
        <v>373</v>
      </c>
      <c r="D308" s="282" t="s">
        <v>373</v>
      </c>
      <c r="E308" s="282" t="s">
        <v>373</v>
      </c>
      <c r="F308" s="282" t="s">
        <v>373</v>
      </c>
      <c r="G308" s="282" t="s">
        <v>373</v>
      </c>
      <c r="H308" s="282" t="s">
        <v>373</v>
      </c>
      <c r="I308" s="282" t="s">
        <v>373</v>
      </c>
    </row>
    <row r="309" spans="1:9" x14ac:dyDescent="0.3">
      <c r="A309" s="326"/>
      <c r="B309" s="326"/>
      <c r="C309" s="282" t="s">
        <v>936</v>
      </c>
      <c r="D309" s="282">
        <v>8676</v>
      </c>
      <c r="E309" s="280">
        <v>32900</v>
      </c>
      <c r="F309" s="280">
        <v>16.899999999999999</v>
      </c>
      <c r="G309" s="280">
        <v>5.4</v>
      </c>
      <c r="H309" s="281">
        <v>0</v>
      </c>
      <c r="I309" s="280">
        <v>0</v>
      </c>
    </row>
    <row r="310" spans="1:9" x14ac:dyDescent="0.3">
      <c r="A310" s="326"/>
      <c r="B310" s="326"/>
      <c r="C310" s="282" t="s">
        <v>935</v>
      </c>
      <c r="D310" s="282">
        <v>5591</v>
      </c>
      <c r="E310" s="280">
        <v>51100</v>
      </c>
      <c r="F310" s="280">
        <v>26.2</v>
      </c>
      <c r="G310" s="280">
        <v>11</v>
      </c>
      <c r="H310" s="281">
        <v>0</v>
      </c>
      <c r="I310" s="280">
        <v>0</v>
      </c>
    </row>
    <row r="311" spans="1:9" x14ac:dyDescent="0.3">
      <c r="A311" s="326"/>
      <c r="B311" s="326"/>
      <c r="C311" s="282" t="s">
        <v>934</v>
      </c>
      <c r="D311" s="282">
        <v>8674</v>
      </c>
      <c r="E311" s="280">
        <v>18300</v>
      </c>
      <c r="F311" s="280">
        <v>9.4</v>
      </c>
      <c r="G311" s="280">
        <v>1</v>
      </c>
      <c r="H311" s="281">
        <v>0</v>
      </c>
      <c r="I311" s="280">
        <v>0</v>
      </c>
    </row>
    <row r="312" spans="1:9" x14ac:dyDescent="0.3">
      <c r="A312" s="326"/>
      <c r="B312" s="326"/>
      <c r="C312" s="282" t="s">
        <v>933</v>
      </c>
      <c r="D312" s="282">
        <v>8675</v>
      </c>
      <c r="E312" s="280">
        <v>27000</v>
      </c>
      <c r="F312" s="280">
        <v>13.8</v>
      </c>
      <c r="G312" s="280">
        <v>4</v>
      </c>
      <c r="H312" s="281">
        <v>0</v>
      </c>
      <c r="I312" s="280">
        <v>0</v>
      </c>
    </row>
    <row r="313" spans="1:9" x14ac:dyDescent="0.3">
      <c r="A313" s="326"/>
      <c r="B313" s="326"/>
      <c r="C313" s="282" t="s">
        <v>932</v>
      </c>
      <c r="D313" s="282">
        <v>3598</v>
      </c>
      <c r="E313" s="280">
        <v>87400</v>
      </c>
      <c r="F313" s="280">
        <v>44.8</v>
      </c>
      <c r="G313" s="280">
        <v>8.6</v>
      </c>
      <c r="H313" s="281">
        <v>0</v>
      </c>
      <c r="I313" s="280">
        <v>0</v>
      </c>
    </row>
    <row r="314" spans="1:9" x14ac:dyDescent="0.3">
      <c r="A314" s="326"/>
      <c r="B314" s="326"/>
      <c r="C314" s="282" t="s">
        <v>931</v>
      </c>
      <c r="D314" s="282">
        <v>15645</v>
      </c>
      <c r="E314" s="280">
        <v>40000</v>
      </c>
      <c r="F314" s="280">
        <v>20.5</v>
      </c>
      <c r="G314" s="280">
        <v>6.8</v>
      </c>
      <c r="H314" s="281">
        <v>0</v>
      </c>
      <c r="I314" s="280">
        <v>0</v>
      </c>
    </row>
    <row r="315" spans="1:9" x14ac:dyDescent="0.3">
      <c r="A315" s="326"/>
      <c r="B315" s="326"/>
      <c r="C315" s="282" t="s">
        <v>930</v>
      </c>
      <c r="D315" s="282">
        <v>15646</v>
      </c>
      <c r="E315" s="280">
        <v>50000</v>
      </c>
      <c r="F315" s="280">
        <v>25.6</v>
      </c>
      <c r="G315" s="280">
        <v>1</v>
      </c>
      <c r="H315" s="281">
        <v>0</v>
      </c>
      <c r="I315" s="280">
        <v>0</v>
      </c>
    </row>
    <row r="316" spans="1:9" x14ac:dyDescent="0.3">
      <c r="A316" s="326"/>
      <c r="B316" s="326"/>
      <c r="C316" s="282" t="s">
        <v>929</v>
      </c>
      <c r="D316" s="282">
        <v>15647</v>
      </c>
      <c r="E316" s="280">
        <v>55000</v>
      </c>
      <c r="F316" s="280">
        <v>28.2</v>
      </c>
      <c r="G316" s="280">
        <v>1</v>
      </c>
      <c r="H316" s="281">
        <v>0</v>
      </c>
      <c r="I316" s="280">
        <v>0</v>
      </c>
    </row>
    <row r="317" spans="1:9" x14ac:dyDescent="0.3">
      <c r="A317" s="326"/>
      <c r="B317" s="326"/>
      <c r="C317" s="282" t="s">
        <v>928</v>
      </c>
      <c r="D317" s="282">
        <v>13431</v>
      </c>
      <c r="E317" s="280">
        <v>60000</v>
      </c>
      <c r="F317" s="280">
        <v>30.8</v>
      </c>
      <c r="G317" s="280">
        <v>100.34999000000001</v>
      </c>
      <c r="H317" s="281">
        <v>0</v>
      </c>
      <c r="I317" s="280">
        <v>0</v>
      </c>
    </row>
    <row r="318" spans="1:9" x14ac:dyDescent="0.3">
      <c r="A318" s="326"/>
      <c r="B318" s="326"/>
      <c r="C318" s="282" t="s">
        <v>927</v>
      </c>
      <c r="D318" s="282">
        <v>24306</v>
      </c>
      <c r="E318" s="280">
        <v>60000</v>
      </c>
      <c r="F318" s="280">
        <v>30.8</v>
      </c>
      <c r="G318" s="280">
        <v>0</v>
      </c>
      <c r="H318" s="281">
        <v>0</v>
      </c>
      <c r="I318" s="280">
        <v>0</v>
      </c>
    </row>
    <row r="319" spans="1:9" x14ac:dyDescent="0.3">
      <c r="A319" s="326"/>
      <c r="B319" s="326"/>
      <c r="C319" s="282" t="s">
        <v>926</v>
      </c>
      <c r="D319" s="282">
        <v>15648</v>
      </c>
      <c r="E319" s="280">
        <v>27000</v>
      </c>
      <c r="F319" s="280">
        <v>13.8</v>
      </c>
      <c r="G319" s="280">
        <v>1</v>
      </c>
      <c r="H319" s="281">
        <v>0</v>
      </c>
      <c r="I319" s="280">
        <v>0</v>
      </c>
    </row>
    <row r="320" spans="1:9" x14ac:dyDescent="0.3">
      <c r="A320" s="326"/>
      <c r="B320" s="327"/>
      <c r="C320" s="282" t="s">
        <v>925</v>
      </c>
      <c r="D320" s="282">
        <v>17426</v>
      </c>
      <c r="E320" s="280">
        <v>0</v>
      </c>
      <c r="F320" s="280">
        <v>0</v>
      </c>
      <c r="G320" s="280">
        <v>1</v>
      </c>
      <c r="H320" s="281">
        <v>0</v>
      </c>
      <c r="I320" s="280">
        <v>0</v>
      </c>
    </row>
    <row r="321" spans="1:9" x14ac:dyDescent="0.3">
      <c r="A321" s="326"/>
      <c r="B321" s="325" t="s">
        <v>924</v>
      </c>
      <c r="C321" s="282" t="s">
        <v>373</v>
      </c>
      <c r="D321" s="282" t="s">
        <v>373</v>
      </c>
      <c r="E321" s="282" t="s">
        <v>373</v>
      </c>
      <c r="F321" s="282" t="s">
        <v>373</v>
      </c>
      <c r="G321" s="282" t="s">
        <v>373</v>
      </c>
      <c r="H321" s="282" t="s">
        <v>373</v>
      </c>
      <c r="I321" s="282" t="s">
        <v>373</v>
      </c>
    </row>
    <row r="322" spans="1:9" x14ac:dyDescent="0.3">
      <c r="A322" s="326"/>
      <c r="B322" s="326"/>
      <c r="C322" s="282" t="s">
        <v>923</v>
      </c>
      <c r="D322" s="282">
        <v>17469</v>
      </c>
      <c r="E322" s="280">
        <v>86750</v>
      </c>
      <c r="F322" s="280">
        <v>40.6</v>
      </c>
      <c r="G322" s="280">
        <v>1</v>
      </c>
      <c r="H322" s="281">
        <v>0</v>
      </c>
      <c r="I322" s="280">
        <v>0</v>
      </c>
    </row>
    <row r="323" spans="1:9" x14ac:dyDescent="0.3">
      <c r="A323" s="326"/>
      <c r="B323" s="326"/>
      <c r="C323" s="282" t="s">
        <v>922</v>
      </c>
      <c r="D323" s="282">
        <v>6567</v>
      </c>
      <c r="E323" s="280">
        <v>99850</v>
      </c>
      <c r="F323" s="280">
        <v>46.6</v>
      </c>
      <c r="G323" s="280">
        <v>6.6</v>
      </c>
      <c r="H323" s="281">
        <v>0</v>
      </c>
      <c r="I323" s="280">
        <v>0</v>
      </c>
    </row>
    <row r="324" spans="1:9" x14ac:dyDescent="0.3">
      <c r="A324" s="326"/>
      <c r="B324" s="326"/>
      <c r="C324" s="282" t="s">
        <v>921</v>
      </c>
      <c r="D324" s="282">
        <v>14682</v>
      </c>
      <c r="E324" s="280">
        <v>116000</v>
      </c>
      <c r="F324" s="280">
        <v>53.8</v>
      </c>
      <c r="G324" s="280">
        <v>1</v>
      </c>
      <c r="H324" s="281">
        <v>0</v>
      </c>
      <c r="I324" s="280">
        <v>0</v>
      </c>
    </row>
    <row r="325" spans="1:9" x14ac:dyDescent="0.3">
      <c r="A325" s="326"/>
      <c r="B325" s="326"/>
      <c r="C325" s="282" t="s">
        <v>920</v>
      </c>
      <c r="D325" s="282">
        <v>15552</v>
      </c>
      <c r="E325" s="280">
        <v>145600</v>
      </c>
      <c r="F325" s="280">
        <v>67.900000000000006</v>
      </c>
      <c r="G325" s="280">
        <v>1</v>
      </c>
      <c r="H325" s="281">
        <v>1</v>
      </c>
      <c r="I325" s="280">
        <v>0</v>
      </c>
    </row>
    <row r="326" spans="1:9" x14ac:dyDescent="0.3">
      <c r="A326" s="326"/>
      <c r="B326" s="326"/>
      <c r="C326" s="282" t="s">
        <v>919</v>
      </c>
      <c r="D326" s="282">
        <v>15557</v>
      </c>
      <c r="E326" s="280">
        <v>160950</v>
      </c>
      <c r="F326" s="280">
        <v>74.7</v>
      </c>
      <c r="G326" s="280">
        <v>1</v>
      </c>
      <c r="H326" s="281">
        <v>3</v>
      </c>
      <c r="I326" s="280">
        <v>0</v>
      </c>
    </row>
    <row r="327" spans="1:9" x14ac:dyDescent="0.3">
      <c r="A327" s="326"/>
      <c r="B327" s="326"/>
      <c r="C327" s="282" t="s">
        <v>918</v>
      </c>
      <c r="D327" s="282">
        <v>6566</v>
      </c>
      <c r="E327" s="280">
        <v>175250</v>
      </c>
      <c r="F327" s="280">
        <v>80.900000000000006</v>
      </c>
      <c r="G327" s="280">
        <v>13.4</v>
      </c>
      <c r="H327" s="281">
        <v>0</v>
      </c>
      <c r="I327" s="280">
        <v>0</v>
      </c>
    </row>
    <row r="328" spans="1:9" x14ac:dyDescent="0.3">
      <c r="A328" s="326"/>
      <c r="B328" s="326"/>
      <c r="C328" s="282" t="s">
        <v>917</v>
      </c>
      <c r="D328" s="282">
        <v>6329</v>
      </c>
      <c r="E328" s="280">
        <v>61550</v>
      </c>
      <c r="F328" s="280">
        <v>29.1</v>
      </c>
      <c r="G328" s="280">
        <v>3.6</v>
      </c>
      <c r="H328" s="281">
        <v>0</v>
      </c>
      <c r="I328" s="280">
        <v>0</v>
      </c>
    </row>
    <row r="329" spans="1:9" x14ac:dyDescent="0.3">
      <c r="A329" s="326"/>
      <c r="B329" s="326"/>
      <c r="C329" s="282" t="s">
        <v>916</v>
      </c>
      <c r="D329" s="282">
        <v>6568</v>
      </c>
      <c r="E329" s="280">
        <v>83650</v>
      </c>
      <c r="F329" s="280">
        <v>39.299999999999997</v>
      </c>
      <c r="G329" s="280">
        <v>5.2</v>
      </c>
      <c r="H329" s="281">
        <v>0</v>
      </c>
      <c r="I329" s="280">
        <v>5.2</v>
      </c>
    </row>
    <row r="330" spans="1:9" x14ac:dyDescent="0.3">
      <c r="A330" s="326"/>
      <c r="B330" s="326"/>
      <c r="C330" s="282" t="s">
        <v>915</v>
      </c>
      <c r="D330" s="282">
        <v>18543</v>
      </c>
      <c r="E330" s="280">
        <v>102450</v>
      </c>
      <c r="F330" s="280">
        <v>47.6</v>
      </c>
      <c r="G330" s="280">
        <v>1</v>
      </c>
      <c r="H330" s="281">
        <v>1</v>
      </c>
      <c r="I330" s="280">
        <v>0</v>
      </c>
    </row>
    <row r="331" spans="1:9" x14ac:dyDescent="0.3">
      <c r="A331" s="326"/>
      <c r="B331" s="326"/>
      <c r="C331" s="282" t="s">
        <v>914</v>
      </c>
      <c r="D331" s="282">
        <v>18544</v>
      </c>
      <c r="E331" s="280">
        <v>119200</v>
      </c>
      <c r="F331" s="280">
        <v>55.1</v>
      </c>
      <c r="G331" s="280">
        <v>1</v>
      </c>
      <c r="H331" s="281">
        <v>1</v>
      </c>
      <c r="I331" s="280">
        <v>0</v>
      </c>
    </row>
    <row r="332" spans="1:9" x14ac:dyDescent="0.3">
      <c r="A332" s="326"/>
      <c r="B332" s="326"/>
      <c r="C332" s="282" t="s">
        <v>913</v>
      </c>
      <c r="D332" s="282">
        <v>15589</v>
      </c>
      <c r="E332" s="280">
        <v>165300</v>
      </c>
      <c r="F332" s="280">
        <v>76.5</v>
      </c>
      <c r="G332" s="280">
        <v>1</v>
      </c>
      <c r="H332" s="281">
        <v>4</v>
      </c>
      <c r="I332" s="280">
        <v>0</v>
      </c>
    </row>
    <row r="333" spans="1:9" x14ac:dyDescent="0.3">
      <c r="A333" s="326"/>
      <c r="B333" s="326"/>
      <c r="C333" s="282" t="s">
        <v>912</v>
      </c>
      <c r="D333" s="282">
        <v>14328</v>
      </c>
      <c r="E333" s="280">
        <v>180200</v>
      </c>
      <c r="F333" s="280">
        <v>83</v>
      </c>
      <c r="G333" s="280">
        <v>1</v>
      </c>
      <c r="H333" s="281">
        <v>0</v>
      </c>
      <c r="I333" s="280">
        <v>0</v>
      </c>
    </row>
    <row r="334" spans="1:9" x14ac:dyDescent="0.3">
      <c r="A334" s="326"/>
      <c r="B334" s="326"/>
      <c r="C334" s="282" t="s">
        <v>911</v>
      </c>
      <c r="D334" s="282">
        <v>13502</v>
      </c>
      <c r="E334" s="280">
        <v>63050</v>
      </c>
      <c r="F334" s="280">
        <v>29.7</v>
      </c>
      <c r="G334" s="280">
        <v>1</v>
      </c>
      <c r="H334" s="281">
        <v>6</v>
      </c>
      <c r="I334" s="280">
        <v>0</v>
      </c>
    </row>
    <row r="335" spans="1:9" x14ac:dyDescent="0.3">
      <c r="A335" s="326"/>
      <c r="B335" s="326"/>
      <c r="C335" s="282" t="s">
        <v>910</v>
      </c>
      <c r="D335" s="282">
        <v>13501</v>
      </c>
      <c r="E335" s="280">
        <v>85700</v>
      </c>
      <c r="F335" s="280">
        <v>40.200000000000003</v>
      </c>
      <c r="G335" s="280">
        <v>1</v>
      </c>
      <c r="H335" s="281">
        <v>7</v>
      </c>
      <c r="I335" s="280">
        <v>0</v>
      </c>
    </row>
    <row r="336" spans="1:9" x14ac:dyDescent="0.3">
      <c r="A336" s="326"/>
      <c r="B336" s="326"/>
      <c r="C336" s="282" t="s">
        <v>909</v>
      </c>
      <c r="D336" s="282">
        <v>17654</v>
      </c>
      <c r="E336" s="280">
        <v>103750</v>
      </c>
      <c r="F336" s="280">
        <v>48.2</v>
      </c>
      <c r="G336" s="280">
        <v>1</v>
      </c>
      <c r="H336" s="281">
        <v>0</v>
      </c>
      <c r="I336" s="280">
        <v>0</v>
      </c>
    </row>
    <row r="337" spans="1:9" x14ac:dyDescent="0.3">
      <c r="A337" s="326"/>
      <c r="B337" s="326"/>
      <c r="C337" s="282" t="s">
        <v>908</v>
      </c>
      <c r="D337" s="282">
        <v>18545</v>
      </c>
      <c r="E337" s="280">
        <v>104100</v>
      </c>
      <c r="F337" s="280">
        <v>48.3</v>
      </c>
      <c r="G337" s="280">
        <v>1</v>
      </c>
      <c r="H337" s="281">
        <v>1</v>
      </c>
      <c r="I337" s="280">
        <v>0</v>
      </c>
    </row>
    <row r="338" spans="1:9" x14ac:dyDescent="0.3">
      <c r="A338" s="326"/>
      <c r="B338" s="326"/>
      <c r="C338" s="282" t="s">
        <v>907</v>
      </c>
      <c r="D338" s="282">
        <v>18546</v>
      </c>
      <c r="E338" s="280">
        <v>185100</v>
      </c>
      <c r="F338" s="280">
        <v>85</v>
      </c>
      <c r="G338" s="280">
        <v>1</v>
      </c>
      <c r="H338" s="281">
        <v>1</v>
      </c>
      <c r="I338" s="280">
        <v>0</v>
      </c>
    </row>
    <row r="339" spans="1:9" x14ac:dyDescent="0.3">
      <c r="A339" s="326"/>
      <c r="B339" s="326"/>
      <c r="C339" s="282" t="s">
        <v>906</v>
      </c>
      <c r="D339" s="282">
        <v>18547</v>
      </c>
      <c r="E339" s="280">
        <v>64500</v>
      </c>
      <c r="F339" s="280">
        <v>30.3</v>
      </c>
      <c r="G339" s="280">
        <v>1</v>
      </c>
      <c r="H339" s="281">
        <v>1</v>
      </c>
      <c r="I339" s="280">
        <v>0</v>
      </c>
    </row>
    <row r="340" spans="1:9" x14ac:dyDescent="0.3">
      <c r="A340" s="326"/>
      <c r="B340" s="326"/>
      <c r="C340" s="282" t="s">
        <v>905</v>
      </c>
      <c r="D340" s="282">
        <v>18548</v>
      </c>
      <c r="E340" s="280">
        <v>86800</v>
      </c>
      <c r="F340" s="280">
        <v>40.6</v>
      </c>
      <c r="G340" s="280">
        <v>1</v>
      </c>
      <c r="H340" s="281">
        <v>1</v>
      </c>
      <c r="I340" s="280">
        <v>0</v>
      </c>
    </row>
    <row r="341" spans="1:9" x14ac:dyDescent="0.3">
      <c r="A341" s="326"/>
      <c r="B341" s="326"/>
      <c r="C341" s="282" t="s">
        <v>904</v>
      </c>
      <c r="D341" s="282">
        <v>17443</v>
      </c>
      <c r="E341" s="280">
        <v>92200</v>
      </c>
      <c r="F341" s="280">
        <v>42.9</v>
      </c>
      <c r="G341" s="280">
        <v>1</v>
      </c>
      <c r="H341" s="281">
        <v>0</v>
      </c>
      <c r="I341" s="280">
        <v>0</v>
      </c>
    </row>
    <row r="342" spans="1:9" x14ac:dyDescent="0.3">
      <c r="A342" s="326"/>
      <c r="B342" s="326"/>
      <c r="C342" s="282" t="s">
        <v>903</v>
      </c>
      <c r="D342" s="282">
        <v>6517</v>
      </c>
      <c r="E342" s="280">
        <v>106400</v>
      </c>
      <c r="F342" s="280">
        <v>49.3</v>
      </c>
      <c r="G342" s="280">
        <v>7.4</v>
      </c>
      <c r="H342" s="281">
        <v>0</v>
      </c>
      <c r="I342" s="280">
        <v>0</v>
      </c>
    </row>
    <row r="343" spans="1:9" x14ac:dyDescent="0.3">
      <c r="A343" s="326"/>
      <c r="B343" s="326"/>
      <c r="C343" s="282" t="s">
        <v>902</v>
      </c>
      <c r="D343" s="282">
        <v>14681</v>
      </c>
      <c r="E343" s="280">
        <v>124000</v>
      </c>
      <c r="F343" s="280">
        <v>57.1</v>
      </c>
      <c r="G343" s="280">
        <v>1</v>
      </c>
      <c r="H343" s="281">
        <v>8</v>
      </c>
      <c r="I343" s="280">
        <v>0</v>
      </c>
    </row>
    <row r="344" spans="1:9" x14ac:dyDescent="0.3">
      <c r="A344" s="326"/>
      <c r="B344" s="326"/>
      <c r="C344" s="282" t="s">
        <v>901</v>
      </c>
      <c r="D344" s="282">
        <v>15564</v>
      </c>
      <c r="E344" s="280">
        <v>155000</v>
      </c>
      <c r="F344" s="280">
        <v>71.8</v>
      </c>
      <c r="G344" s="280">
        <v>1</v>
      </c>
      <c r="H344" s="281">
        <v>9</v>
      </c>
      <c r="I344" s="280">
        <v>0</v>
      </c>
    </row>
    <row r="345" spans="1:9" x14ac:dyDescent="0.3">
      <c r="A345" s="326"/>
      <c r="B345" s="326"/>
      <c r="C345" s="282" t="s">
        <v>900</v>
      </c>
      <c r="D345" s="282">
        <v>6508</v>
      </c>
      <c r="E345" s="280">
        <v>187600</v>
      </c>
      <c r="F345" s="280">
        <v>86</v>
      </c>
      <c r="G345" s="280">
        <v>14.6</v>
      </c>
      <c r="H345" s="281">
        <v>0</v>
      </c>
      <c r="I345" s="280">
        <v>0</v>
      </c>
    </row>
    <row r="346" spans="1:9" x14ac:dyDescent="0.3">
      <c r="A346" s="326"/>
      <c r="B346" s="326"/>
      <c r="C346" s="282" t="s">
        <v>899</v>
      </c>
      <c r="D346" s="282">
        <v>6314</v>
      </c>
      <c r="E346" s="280">
        <v>65250</v>
      </c>
      <c r="F346" s="280">
        <v>30.6</v>
      </c>
      <c r="G346" s="280">
        <v>4</v>
      </c>
      <c r="H346" s="281">
        <v>0</v>
      </c>
      <c r="I346" s="280">
        <v>0</v>
      </c>
    </row>
    <row r="347" spans="1:9" x14ac:dyDescent="0.3">
      <c r="A347" s="326"/>
      <c r="B347" s="326"/>
      <c r="C347" s="282" t="s">
        <v>898</v>
      </c>
      <c r="D347" s="282">
        <v>6563</v>
      </c>
      <c r="E347" s="280">
        <v>88750</v>
      </c>
      <c r="F347" s="280">
        <v>41.5</v>
      </c>
      <c r="G347" s="280">
        <v>6</v>
      </c>
      <c r="H347" s="281">
        <v>0</v>
      </c>
      <c r="I347" s="280">
        <v>0</v>
      </c>
    </row>
    <row r="348" spans="1:9" x14ac:dyDescent="0.3">
      <c r="A348" s="326"/>
      <c r="B348" s="326"/>
      <c r="C348" s="282" t="s">
        <v>897</v>
      </c>
      <c r="D348" s="282">
        <v>18551</v>
      </c>
      <c r="E348" s="280">
        <v>191250</v>
      </c>
      <c r="F348" s="280">
        <v>87.6</v>
      </c>
      <c r="G348" s="280">
        <v>1</v>
      </c>
      <c r="H348" s="281">
        <v>1</v>
      </c>
      <c r="I348" s="280">
        <v>0</v>
      </c>
    </row>
    <row r="349" spans="1:9" x14ac:dyDescent="0.3">
      <c r="A349" s="326"/>
      <c r="B349" s="326"/>
      <c r="C349" s="282" t="s">
        <v>896</v>
      </c>
      <c r="D349" s="282">
        <v>15634</v>
      </c>
      <c r="E349" s="280">
        <v>65500</v>
      </c>
      <c r="F349" s="280">
        <v>30.7</v>
      </c>
      <c r="G349" s="280">
        <v>1</v>
      </c>
      <c r="H349" s="281">
        <v>0</v>
      </c>
      <c r="I349" s="280">
        <v>0</v>
      </c>
    </row>
    <row r="350" spans="1:9" x14ac:dyDescent="0.3">
      <c r="A350" s="326"/>
      <c r="B350" s="326"/>
      <c r="C350" s="282" t="s">
        <v>895</v>
      </c>
      <c r="D350" s="282">
        <v>12252</v>
      </c>
      <c r="E350" s="280">
        <v>109100</v>
      </c>
      <c r="F350" s="280">
        <v>50.4</v>
      </c>
      <c r="G350" s="280">
        <v>1</v>
      </c>
      <c r="H350" s="281">
        <v>0</v>
      </c>
      <c r="I350" s="280">
        <v>0</v>
      </c>
    </row>
    <row r="351" spans="1:9" x14ac:dyDescent="0.3">
      <c r="A351" s="326"/>
      <c r="B351" s="326"/>
      <c r="C351" s="282" t="s">
        <v>894</v>
      </c>
      <c r="D351" s="282">
        <v>11686</v>
      </c>
      <c r="E351" s="280">
        <v>193750</v>
      </c>
      <c r="F351" s="280">
        <v>88.6</v>
      </c>
      <c r="G351" s="280">
        <v>1</v>
      </c>
      <c r="H351" s="281">
        <v>0</v>
      </c>
      <c r="I351" s="280">
        <v>0</v>
      </c>
    </row>
    <row r="352" spans="1:9" x14ac:dyDescent="0.3">
      <c r="A352" s="326"/>
      <c r="B352" s="326"/>
      <c r="C352" s="282" t="s">
        <v>893</v>
      </c>
      <c r="D352" s="282">
        <v>11691</v>
      </c>
      <c r="E352" s="280">
        <v>66200</v>
      </c>
      <c r="F352" s="280">
        <v>31</v>
      </c>
      <c r="G352" s="280">
        <v>5.6</v>
      </c>
      <c r="H352" s="281">
        <v>0</v>
      </c>
      <c r="I352" s="280">
        <v>0</v>
      </c>
    </row>
    <row r="353" spans="1:9" x14ac:dyDescent="0.3">
      <c r="A353" s="326"/>
      <c r="B353" s="326"/>
      <c r="C353" s="282" t="s">
        <v>892</v>
      </c>
      <c r="D353" s="282">
        <v>12258</v>
      </c>
      <c r="E353" s="280">
        <v>90600</v>
      </c>
      <c r="F353" s="280">
        <v>42.2</v>
      </c>
      <c r="G353" s="280">
        <v>1</v>
      </c>
      <c r="H353" s="281">
        <v>0</v>
      </c>
      <c r="I353" s="280">
        <v>0</v>
      </c>
    </row>
    <row r="354" spans="1:9" x14ac:dyDescent="0.3">
      <c r="A354" s="326"/>
      <c r="B354" s="326"/>
      <c r="C354" s="282" t="s">
        <v>891</v>
      </c>
      <c r="D354" s="282">
        <v>17513</v>
      </c>
      <c r="E354" s="280">
        <v>96400</v>
      </c>
      <c r="F354" s="280">
        <v>44.6</v>
      </c>
      <c r="G354" s="280">
        <v>1</v>
      </c>
      <c r="H354" s="281">
        <v>0</v>
      </c>
      <c r="I354" s="280">
        <v>0</v>
      </c>
    </row>
    <row r="355" spans="1:9" x14ac:dyDescent="0.3">
      <c r="A355" s="326"/>
      <c r="B355" s="326"/>
      <c r="C355" s="282" t="s">
        <v>890</v>
      </c>
      <c r="D355" s="282">
        <v>6564</v>
      </c>
      <c r="E355" s="280">
        <v>111700</v>
      </c>
      <c r="F355" s="280">
        <v>51.5</v>
      </c>
      <c r="G355" s="280">
        <v>1</v>
      </c>
      <c r="H355" s="281">
        <v>0</v>
      </c>
      <c r="I355" s="280">
        <v>0</v>
      </c>
    </row>
    <row r="356" spans="1:9" x14ac:dyDescent="0.3">
      <c r="A356" s="326"/>
      <c r="B356" s="326"/>
      <c r="C356" s="282" t="s">
        <v>889</v>
      </c>
      <c r="D356" s="282">
        <v>18653</v>
      </c>
      <c r="E356" s="280">
        <v>130750</v>
      </c>
      <c r="F356" s="280">
        <v>59.9</v>
      </c>
      <c r="G356" s="280">
        <v>1</v>
      </c>
      <c r="H356" s="281">
        <v>0</v>
      </c>
      <c r="I356" s="280">
        <v>0</v>
      </c>
    </row>
    <row r="357" spans="1:9" x14ac:dyDescent="0.3">
      <c r="A357" s="326"/>
      <c r="B357" s="326"/>
      <c r="C357" s="282" t="s">
        <v>888</v>
      </c>
      <c r="D357" s="282">
        <v>15553</v>
      </c>
      <c r="E357" s="280">
        <v>163200</v>
      </c>
      <c r="F357" s="280">
        <v>75.2</v>
      </c>
      <c r="G357" s="280">
        <v>1</v>
      </c>
      <c r="H357" s="281">
        <v>11</v>
      </c>
      <c r="I357" s="280">
        <v>0</v>
      </c>
    </row>
    <row r="358" spans="1:9" x14ac:dyDescent="0.3">
      <c r="A358" s="326"/>
      <c r="B358" s="326"/>
      <c r="C358" s="282" t="s">
        <v>887</v>
      </c>
      <c r="D358" s="282">
        <v>6471</v>
      </c>
      <c r="E358" s="280">
        <v>198650</v>
      </c>
      <c r="F358" s="280">
        <v>90.6</v>
      </c>
      <c r="G358" s="280">
        <v>15.6</v>
      </c>
      <c r="H358" s="281">
        <v>0</v>
      </c>
      <c r="I358" s="280">
        <v>0</v>
      </c>
    </row>
    <row r="359" spans="1:9" x14ac:dyDescent="0.3">
      <c r="A359" s="326"/>
      <c r="B359" s="326"/>
      <c r="C359" s="282" t="s">
        <v>886</v>
      </c>
      <c r="D359" s="282">
        <v>6313</v>
      </c>
      <c r="E359" s="280">
        <v>67700</v>
      </c>
      <c r="F359" s="280">
        <v>31.6</v>
      </c>
      <c r="G359" s="280">
        <v>4.8</v>
      </c>
      <c r="H359" s="281">
        <v>0</v>
      </c>
      <c r="I359" s="280">
        <v>0</v>
      </c>
    </row>
    <row r="360" spans="1:9" x14ac:dyDescent="0.3">
      <c r="A360" s="326"/>
      <c r="B360" s="326"/>
      <c r="C360" s="282" t="s">
        <v>885</v>
      </c>
      <c r="D360" s="282">
        <v>6497</v>
      </c>
      <c r="E360" s="280">
        <v>92650</v>
      </c>
      <c r="F360" s="280">
        <v>43.1</v>
      </c>
      <c r="G360" s="280">
        <v>5.9</v>
      </c>
      <c r="H360" s="281">
        <v>0</v>
      </c>
      <c r="I360" s="280">
        <v>0</v>
      </c>
    </row>
    <row r="361" spans="1:9" x14ac:dyDescent="0.3">
      <c r="A361" s="326"/>
      <c r="B361" s="326"/>
      <c r="C361" s="282" t="s">
        <v>884</v>
      </c>
      <c r="D361" s="282">
        <v>19041</v>
      </c>
      <c r="E361" s="280">
        <v>201100</v>
      </c>
      <c r="F361" s="280">
        <v>91.6</v>
      </c>
      <c r="G361" s="280">
        <v>1</v>
      </c>
      <c r="H361" s="281">
        <v>0</v>
      </c>
      <c r="I361" s="280">
        <v>0</v>
      </c>
    </row>
    <row r="362" spans="1:9" x14ac:dyDescent="0.3">
      <c r="A362" s="326"/>
      <c r="B362" s="326"/>
      <c r="C362" s="282" t="s">
        <v>883</v>
      </c>
      <c r="D362" s="282">
        <v>19042</v>
      </c>
      <c r="E362" s="280">
        <v>68400</v>
      </c>
      <c r="F362" s="280">
        <v>31.9</v>
      </c>
      <c r="G362" s="280">
        <v>1</v>
      </c>
      <c r="H362" s="281">
        <v>0</v>
      </c>
      <c r="I362" s="280">
        <v>0</v>
      </c>
    </row>
    <row r="363" spans="1:9" x14ac:dyDescent="0.3">
      <c r="A363" s="326"/>
      <c r="B363" s="326"/>
      <c r="C363" s="282" t="s">
        <v>882</v>
      </c>
      <c r="D363" s="282">
        <v>12251</v>
      </c>
      <c r="E363" s="280">
        <v>114300</v>
      </c>
      <c r="F363" s="280">
        <v>52.6</v>
      </c>
      <c r="G363" s="280">
        <v>1</v>
      </c>
      <c r="H363" s="281">
        <v>0</v>
      </c>
      <c r="I363" s="280">
        <v>0</v>
      </c>
    </row>
    <row r="364" spans="1:9" x14ac:dyDescent="0.3">
      <c r="A364" s="326"/>
      <c r="B364" s="326"/>
      <c r="C364" s="282" t="s">
        <v>881</v>
      </c>
      <c r="D364" s="282">
        <v>15558</v>
      </c>
      <c r="E364" s="280">
        <v>185800</v>
      </c>
      <c r="F364" s="280">
        <v>85</v>
      </c>
      <c r="G364" s="280">
        <v>1</v>
      </c>
      <c r="H364" s="281">
        <v>12</v>
      </c>
      <c r="I364" s="280">
        <v>0</v>
      </c>
    </row>
    <row r="365" spans="1:9" x14ac:dyDescent="0.3">
      <c r="A365" s="326"/>
      <c r="B365" s="326"/>
      <c r="C365" s="282" t="s">
        <v>880</v>
      </c>
      <c r="D365" s="282">
        <v>11687</v>
      </c>
      <c r="E365" s="280">
        <v>203600</v>
      </c>
      <c r="F365" s="280">
        <v>92.7</v>
      </c>
      <c r="G365" s="280">
        <v>1</v>
      </c>
      <c r="H365" s="281">
        <v>0</v>
      </c>
      <c r="I365" s="280">
        <v>0</v>
      </c>
    </row>
    <row r="366" spans="1:9" x14ac:dyDescent="0.3">
      <c r="A366" s="326"/>
      <c r="B366" s="326"/>
      <c r="C366" s="282" t="s">
        <v>879</v>
      </c>
      <c r="D366" s="282">
        <v>11692</v>
      </c>
      <c r="E366" s="280">
        <v>69150</v>
      </c>
      <c r="F366" s="280">
        <v>32.200000000000003</v>
      </c>
      <c r="G366" s="280">
        <v>6.2</v>
      </c>
      <c r="H366" s="281">
        <v>0</v>
      </c>
      <c r="I366" s="280">
        <v>0</v>
      </c>
    </row>
    <row r="367" spans="1:9" x14ac:dyDescent="0.3">
      <c r="A367" s="326"/>
      <c r="B367" s="326"/>
      <c r="C367" s="282" t="s">
        <v>878</v>
      </c>
      <c r="D367" s="282">
        <v>12257</v>
      </c>
      <c r="E367" s="280">
        <v>94700</v>
      </c>
      <c r="F367" s="280">
        <v>43.9</v>
      </c>
      <c r="G367" s="280">
        <v>1</v>
      </c>
      <c r="H367" s="281">
        <v>0</v>
      </c>
      <c r="I367" s="280">
        <v>0</v>
      </c>
    </row>
    <row r="368" spans="1:9" x14ac:dyDescent="0.3">
      <c r="A368" s="326"/>
      <c r="B368" s="326"/>
      <c r="C368" s="282" t="s">
        <v>877</v>
      </c>
      <c r="D368" s="282">
        <v>12250</v>
      </c>
      <c r="E368" s="280">
        <v>115650</v>
      </c>
      <c r="F368" s="280">
        <v>53.1</v>
      </c>
      <c r="G368" s="280">
        <v>1</v>
      </c>
      <c r="H368" s="281">
        <v>0</v>
      </c>
      <c r="I368" s="280">
        <v>0</v>
      </c>
    </row>
    <row r="369" spans="1:9" x14ac:dyDescent="0.3">
      <c r="A369" s="326"/>
      <c r="B369" s="326"/>
      <c r="C369" s="282" t="s">
        <v>876</v>
      </c>
      <c r="D369" s="282">
        <v>11924</v>
      </c>
      <c r="E369" s="280">
        <v>206050</v>
      </c>
      <c r="F369" s="280">
        <v>93.7</v>
      </c>
      <c r="G369" s="280">
        <v>16.8</v>
      </c>
      <c r="H369" s="281">
        <v>0</v>
      </c>
      <c r="I369" s="280">
        <v>0</v>
      </c>
    </row>
    <row r="370" spans="1:9" x14ac:dyDescent="0.3">
      <c r="A370" s="326"/>
      <c r="B370" s="326"/>
      <c r="C370" s="282" t="s">
        <v>875</v>
      </c>
      <c r="D370" s="282">
        <v>11693</v>
      </c>
      <c r="E370" s="280">
        <v>69900</v>
      </c>
      <c r="F370" s="280">
        <v>32.5</v>
      </c>
      <c r="G370" s="280">
        <v>3.6</v>
      </c>
      <c r="H370" s="281">
        <v>0</v>
      </c>
      <c r="I370" s="280">
        <v>0</v>
      </c>
    </row>
    <row r="371" spans="1:9" x14ac:dyDescent="0.3">
      <c r="A371" s="326"/>
      <c r="B371" s="326"/>
      <c r="C371" s="282" t="s">
        <v>874</v>
      </c>
      <c r="D371" s="282">
        <v>12256</v>
      </c>
      <c r="E371" s="280">
        <v>95700</v>
      </c>
      <c r="F371" s="280">
        <v>44.3</v>
      </c>
      <c r="G371" s="280">
        <v>1</v>
      </c>
      <c r="H371" s="281">
        <v>0</v>
      </c>
      <c r="I371" s="280">
        <v>0</v>
      </c>
    </row>
    <row r="372" spans="1:9" x14ac:dyDescent="0.3">
      <c r="A372" s="326"/>
      <c r="B372" s="326"/>
      <c r="C372" s="282" t="s">
        <v>873</v>
      </c>
      <c r="D372" s="282">
        <v>18554</v>
      </c>
      <c r="E372" s="280">
        <v>116950</v>
      </c>
      <c r="F372" s="280">
        <v>53.6</v>
      </c>
      <c r="G372" s="280">
        <v>1</v>
      </c>
      <c r="H372" s="281">
        <v>1</v>
      </c>
      <c r="I372" s="280">
        <v>0</v>
      </c>
    </row>
    <row r="373" spans="1:9" x14ac:dyDescent="0.3">
      <c r="A373" s="326"/>
      <c r="B373" s="326"/>
      <c r="C373" s="282" t="s">
        <v>872</v>
      </c>
      <c r="D373" s="282">
        <v>13498</v>
      </c>
      <c r="E373" s="280">
        <v>208500</v>
      </c>
      <c r="F373" s="280">
        <v>94.7</v>
      </c>
      <c r="G373" s="280">
        <v>1</v>
      </c>
      <c r="H373" s="281">
        <v>13</v>
      </c>
      <c r="I373" s="280">
        <v>0</v>
      </c>
    </row>
    <row r="374" spans="1:9" x14ac:dyDescent="0.3">
      <c r="A374" s="326"/>
      <c r="B374" s="326"/>
      <c r="C374" s="282" t="s">
        <v>871</v>
      </c>
      <c r="D374" s="282">
        <v>17293</v>
      </c>
      <c r="E374" s="280">
        <v>70650</v>
      </c>
      <c r="F374" s="280">
        <v>32.799999999999997</v>
      </c>
      <c r="G374" s="280">
        <v>1</v>
      </c>
      <c r="H374" s="281">
        <v>0</v>
      </c>
      <c r="I374" s="280">
        <v>0</v>
      </c>
    </row>
    <row r="375" spans="1:9" x14ac:dyDescent="0.3">
      <c r="A375" s="326"/>
      <c r="B375" s="326"/>
      <c r="C375" s="282" t="s">
        <v>870</v>
      </c>
      <c r="D375" s="282">
        <v>17514</v>
      </c>
      <c r="E375" s="280">
        <v>101850</v>
      </c>
      <c r="F375" s="280">
        <v>46.9</v>
      </c>
      <c r="G375" s="280">
        <v>1</v>
      </c>
      <c r="H375" s="281">
        <v>0</v>
      </c>
      <c r="I375" s="280">
        <v>0</v>
      </c>
    </row>
    <row r="376" spans="1:9" x14ac:dyDescent="0.3">
      <c r="A376" s="326"/>
      <c r="B376" s="326"/>
      <c r="C376" s="282" t="s">
        <v>869</v>
      </c>
      <c r="D376" s="282">
        <v>6829</v>
      </c>
      <c r="E376" s="280">
        <v>118250</v>
      </c>
      <c r="F376" s="280">
        <v>54.2</v>
      </c>
      <c r="G376" s="280">
        <v>8.6</v>
      </c>
      <c r="H376" s="281">
        <v>0</v>
      </c>
      <c r="I376" s="280">
        <v>0</v>
      </c>
    </row>
    <row r="377" spans="1:9" x14ac:dyDescent="0.3">
      <c r="A377" s="326"/>
      <c r="B377" s="326"/>
      <c r="C377" s="282" t="s">
        <v>868</v>
      </c>
      <c r="D377" s="282">
        <v>14680</v>
      </c>
      <c r="E377" s="280">
        <v>138750</v>
      </c>
      <c r="F377" s="280">
        <v>63.2</v>
      </c>
      <c r="G377" s="280">
        <v>1</v>
      </c>
      <c r="H377" s="281">
        <v>14</v>
      </c>
      <c r="I377" s="280">
        <v>0</v>
      </c>
    </row>
    <row r="378" spans="1:9" x14ac:dyDescent="0.3">
      <c r="A378" s="326"/>
      <c r="B378" s="326"/>
      <c r="C378" s="282" t="s">
        <v>867</v>
      </c>
      <c r="D378" s="282">
        <v>15565</v>
      </c>
      <c r="E378" s="280">
        <v>172650</v>
      </c>
      <c r="F378" s="280">
        <v>79.099999999999994</v>
      </c>
      <c r="G378" s="280">
        <v>1</v>
      </c>
      <c r="H378" s="281">
        <v>15</v>
      </c>
      <c r="I378" s="280">
        <v>0</v>
      </c>
    </row>
    <row r="379" spans="1:9" x14ac:dyDescent="0.3">
      <c r="A379" s="326"/>
      <c r="B379" s="326"/>
      <c r="C379" s="282" t="s">
        <v>866</v>
      </c>
      <c r="D379" s="282">
        <v>15559</v>
      </c>
      <c r="E379" s="280">
        <v>192350</v>
      </c>
      <c r="F379" s="280">
        <v>87.7</v>
      </c>
      <c r="G379" s="280">
        <v>1</v>
      </c>
      <c r="H379" s="281">
        <v>16</v>
      </c>
      <c r="I379" s="280">
        <v>0</v>
      </c>
    </row>
    <row r="380" spans="1:9" x14ac:dyDescent="0.3">
      <c r="A380" s="326"/>
      <c r="B380" s="326"/>
      <c r="C380" s="282" t="s">
        <v>865</v>
      </c>
      <c r="D380" s="282">
        <v>6565</v>
      </c>
      <c r="E380" s="280">
        <v>210950</v>
      </c>
      <c r="F380" s="280">
        <v>95.7</v>
      </c>
      <c r="G380" s="280">
        <v>1</v>
      </c>
      <c r="H380" s="281">
        <v>0</v>
      </c>
      <c r="I380" s="280">
        <v>0</v>
      </c>
    </row>
    <row r="381" spans="1:9" x14ac:dyDescent="0.3">
      <c r="A381" s="326"/>
      <c r="B381" s="326"/>
      <c r="C381" s="282" t="s">
        <v>864</v>
      </c>
      <c r="D381" s="282">
        <v>6312</v>
      </c>
      <c r="E381" s="280">
        <v>71350</v>
      </c>
      <c r="F381" s="280">
        <v>33.200000000000003</v>
      </c>
      <c r="G381" s="280">
        <v>4.8</v>
      </c>
      <c r="H381" s="281">
        <v>0</v>
      </c>
      <c r="I381" s="280">
        <v>0</v>
      </c>
    </row>
    <row r="382" spans="1:9" x14ac:dyDescent="0.3">
      <c r="A382" s="326"/>
      <c r="B382" s="326"/>
      <c r="C382" s="282" t="s">
        <v>863</v>
      </c>
      <c r="D382" s="282">
        <v>6888</v>
      </c>
      <c r="E382" s="280">
        <v>97750</v>
      </c>
      <c r="F382" s="280">
        <v>45.2</v>
      </c>
      <c r="G382" s="280">
        <v>6.4</v>
      </c>
      <c r="H382" s="281">
        <v>0</v>
      </c>
      <c r="I382" s="280">
        <v>0</v>
      </c>
    </row>
    <row r="383" spans="1:9" x14ac:dyDescent="0.3">
      <c r="A383" s="326"/>
      <c r="B383" s="326"/>
      <c r="C383" s="282" t="s">
        <v>862</v>
      </c>
      <c r="D383" s="282">
        <v>12249</v>
      </c>
      <c r="E383" s="280">
        <v>120850</v>
      </c>
      <c r="F383" s="280">
        <v>55.3</v>
      </c>
      <c r="G383" s="280">
        <v>1</v>
      </c>
      <c r="H383" s="281">
        <v>0</v>
      </c>
      <c r="I383" s="280">
        <v>0</v>
      </c>
    </row>
    <row r="384" spans="1:9" x14ac:dyDescent="0.3">
      <c r="A384" s="326"/>
      <c r="B384" s="326"/>
      <c r="C384" s="282" t="s">
        <v>861</v>
      </c>
      <c r="D384" s="282">
        <v>11688</v>
      </c>
      <c r="E384" s="280">
        <v>215900</v>
      </c>
      <c r="F384" s="280">
        <v>97.8</v>
      </c>
      <c r="G384" s="280">
        <v>1</v>
      </c>
      <c r="H384" s="281">
        <v>0</v>
      </c>
      <c r="I384" s="280">
        <v>0</v>
      </c>
    </row>
    <row r="385" spans="1:9" x14ac:dyDescent="0.3">
      <c r="A385" s="326"/>
      <c r="B385" s="326"/>
      <c r="C385" s="282" t="s">
        <v>860</v>
      </c>
      <c r="D385" s="282">
        <v>11694</v>
      </c>
      <c r="E385" s="280">
        <v>72850</v>
      </c>
      <c r="F385" s="280">
        <v>33.700000000000003</v>
      </c>
      <c r="G385" s="280">
        <v>6.4</v>
      </c>
      <c r="H385" s="281">
        <v>0</v>
      </c>
      <c r="I385" s="280">
        <v>0</v>
      </c>
    </row>
    <row r="386" spans="1:9" x14ac:dyDescent="0.3">
      <c r="A386" s="326"/>
      <c r="B386" s="326"/>
      <c r="C386" s="282" t="s">
        <v>859</v>
      </c>
      <c r="D386" s="282">
        <v>12255</v>
      </c>
      <c r="E386" s="280">
        <v>99800</v>
      </c>
      <c r="F386" s="280">
        <v>46</v>
      </c>
      <c r="G386" s="280">
        <v>1</v>
      </c>
      <c r="H386" s="281">
        <v>0</v>
      </c>
      <c r="I386" s="280">
        <v>0</v>
      </c>
    </row>
    <row r="387" spans="1:9" x14ac:dyDescent="0.3">
      <c r="A387" s="326"/>
      <c r="B387" s="326"/>
      <c r="C387" s="282" t="s">
        <v>858</v>
      </c>
      <c r="D387" s="282">
        <v>12248</v>
      </c>
      <c r="E387" s="280">
        <v>122200</v>
      </c>
      <c r="F387" s="280">
        <v>55.8</v>
      </c>
      <c r="G387" s="280">
        <v>1</v>
      </c>
      <c r="H387" s="281">
        <v>0</v>
      </c>
      <c r="I387" s="280">
        <v>0</v>
      </c>
    </row>
    <row r="388" spans="1:9" x14ac:dyDescent="0.3">
      <c r="A388" s="326"/>
      <c r="B388" s="326"/>
      <c r="C388" s="282" t="s">
        <v>857</v>
      </c>
      <c r="D388" s="282">
        <v>17655</v>
      </c>
      <c r="E388" s="280">
        <v>178300</v>
      </c>
      <c r="F388" s="280">
        <v>81.400000000000006</v>
      </c>
      <c r="G388" s="280">
        <v>1</v>
      </c>
      <c r="H388" s="281">
        <v>0</v>
      </c>
      <c r="I388" s="280">
        <v>0</v>
      </c>
    </row>
    <row r="389" spans="1:9" x14ac:dyDescent="0.3">
      <c r="A389" s="326"/>
      <c r="B389" s="326"/>
      <c r="C389" s="282" t="s">
        <v>856</v>
      </c>
      <c r="D389" s="282">
        <v>11689</v>
      </c>
      <c r="E389" s="280">
        <v>220000</v>
      </c>
      <c r="F389" s="280">
        <v>99.4</v>
      </c>
      <c r="G389" s="280">
        <v>17.399999999999999</v>
      </c>
      <c r="H389" s="281">
        <v>0</v>
      </c>
      <c r="I389" s="280">
        <v>0</v>
      </c>
    </row>
    <row r="390" spans="1:9" x14ac:dyDescent="0.3">
      <c r="A390" s="326"/>
      <c r="B390" s="326"/>
      <c r="C390" s="282" t="s">
        <v>855</v>
      </c>
      <c r="D390" s="282">
        <v>11695</v>
      </c>
      <c r="E390" s="280">
        <v>76650</v>
      </c>
      <c r="F390" s="280">
        <v>35.299999999999997</v>
      </c>
      <c r="G390" s="280">
        <v>5</v>
      </c>
      <c r="H390" s="281">
        <v>0</v>
      </c>
      <c r="I390" s="280">
        <v>0</v>
      </c>
    </row>
    <row r="391" spans="1:9" x14ac:dyDescent="0.3">
      <c r="A391" s="326"/>
      <c r="B391" s="326"/>
      <c r="C391" s="282" t="s">
        <v>854</v>
      </c>
      <c r="D391" s="282">
        <v>12254</v>
      </c>
      <c r="E391" s="280">
        <v>100800</v>
      </c>
      <c r="F391" s="280">
        <v>46.5</v>
      </c>
      <c r="G391" s="280">
        <v>1</v>
      </c>
      <c r="H391" s="281">
        <v>0</v>
      </c>
      <c r="I391" s="280">
        <v>0</v>
      </c>
    </row>
    <row r="392" spans="1:9" x14ac:dyDescent="0.3">
      <c r="A392" s="326"/>
      <c r="B392" s="326"/>
      <c r="C392" s="282" t="s">
        <v>853</v>
      </c>
      <c r="D392" s="282">
        <v>6720</v>
      </c>
      <c r="E392" s="280">
        <v>127650</v>
      </c>
      <c r="F392" s="280">
        <v>58.1</v>
      </c>
      <c r="G392" s="280">
        <v>9.6</v>
      </c>
      <c r="H392" s="281">
        <v>0</v>
      </c>
      <c r="I392" s="280">
        <v>0</v>
      </c>
    </row>
    <row r="393" spans="1:9" x14ac:dyDescent="0.3">
      <c r="A393" s="326"/>
      <c r="B393" s="326"/>
      <c r="C393" s="282" t="s">
        <v>852</v>
      </c>
      <c r="D393" s="282">
        <v>14679</v>
      </c>
      <c r="E393" s="280">
        <v>149550</v>
      </c>
      <c r="F393" s="280">
        <v>67.7</v>
      </c>
      <c r="G393" s="280">
        <v>1</v>
      </c>
      <c r="H393" s="281">
        <v>17</v>
      </c>
      <c r="I393" s="280">
        <v>0</v>
      </c>
    </row>
    <row r="394" spans="1:9" x14ac:dyDescent="0.3">
      <c r="A394" s="326"/>
      <c r="B394" s="326"/>
      <c r="C394" s="282" t="s">
        <v>851</v>
      </c>
      <c r="D394" s="282">
        <v>15554</v>
      </c>
      <c r="E394" s="280">
        <v>184900</v>
      </c>
      <c r="F394" s="280">
        <v>84.1</v>
      </c>
      <c r="G394" s="280">
        <v>1</v>
      </c>
      <c r="H394" s="281">
        <v>18</v>
      </c>
      <c r="I394" s="280">
        <v>0</v>
      </c>
    </row>
    <row r="395" spans="1:9" x14ac:dyDescent="0.3">
      <c r="A395" s="326"/>
      <c r="B395" s="326"/>
      <c r="C395" s="282" t="s">
        <v>850</v>
      </c>
      <c r="D395" s="282">
        <v>15560</v>
      </c>
      <c r="E395" s="280">
        <v>206000</v>
      </c>
      <c r="F395" s="280">
        <v>93.3</v>
      </c>
      <c r="G395" s="280">
        <v>1</v>
      </c>
      <c r="H395" s="281">
        <v>20</v>
      </c>
      <c r="I395" s="280">
        <v>0</v>
      </c>
    </row>
    <row r="396" spans="1:9" x14ac:dyDescent="0.3">
      <c r="A396" s="326"/>
      <c r="B396" s="326"/>
      <c r="C396" s="282" t="s">
        <v>849</v>
      </c>
      <c r="D396" s="282">
        <v>6462</v>
      </c>
      <c r="E396" s="280">
        <v>226100</v>
      </c>
      <c r="F396" s="280">
        <v>102</v>
      </c>
      <c r="G396" s="280">
        <v>18.399999999999999</v>
      </c>
      <c r="H396" s="281">
        <v>0</v>
      </c>
      <c r="I396" s="280">
        <v>0</v>
      </c>
    </row>
    <row r="397" spans="1:9" x14ac:dyDescent="0.3">
      <c r="A397" s="326"/>
      <c r="B397" s="326"/>
      <c r="C397" s="282" t="s">
        <v>848</v>
      </c>
      <c r="D397" s="282">
        <v>6311</v>
      </c>
      <c r="E397" s="280">
        <v>77850</v>
      </c>
      <c r="F397" s="280">
        <v>35.799999999999997</v>
      </c>
      <c r="G397" s="280">
        <v>5.2</v>
      </c>
      <c r="H397" s="281">
        <v>0</v>
      </c>
      <c r="I397" s="280">
        <v>0</v>
      </c>
    </row>
    <row r="398" spans="1:9" x14ac:dyDescent="0.3">
      <c r="A398" s="326"/>
      <c r="B398" s="326"/>
      <c r="C398" s="282" t="s">
        <v>847</v>
      </c>
      <c r="D398" s="282">
        <v>6723</v>
      </c>
      <c r="E398" s="280">
        <v>105700</v>
      </c>
      <c r="F398" s="280">
        <v>48.5</v>
      </c>
      <c r="G398" s="280">
        <v>7.6</v>
      </c>
      <c r="H398" s="281">
        <v>0</v>
      </c>
      <c r="I398" s="280">
        <v>0</v>
      </c>
    </row>
    <row r="399" spans="1:9" x14ac:dyDescent="0.3">
      <c r="A399" s="326"/>
      <c r="B399" s="326"/>
      <c r="C399" s="282" t="s">
        <v>846</v>
      </c>
      <c r="D399" s="282">
        <v>17656</v>
      </c>
      <c r="E399" s="280">
        <v>128950</v>
      </c>
      <c r="F399" s="280">
        <v>58.6</v>
      </c>
      <c r="G399" s="280">
        <v>1</v>
      </c>
      <c r="H399" s="281">
        <v>0</v>
      </c>
      <c r="I399" s="280">
        <v>0</v>
      </c>
    </row>
    <row r="400" spans="1:9" x14ac:dyDescent="0.3">
      <c r="A400" s="326"/>
      <c r="B400" s="326"/>
      <c r="C400" s="282" t="s">
        <v>845</v>
      </c>
      <c r="D400" s="282">
        <v>19043</v>
      </c>
      <c r="E400" s="280">
        <v>228550</v>
      </c>
      <c r="F400" s="280">
        <v>103</v>
      </c>
      <c r="G400" s="280">
        <v>1</v>
      </c>
      <c r="H400" s="281">
        <v>0</v>
      </c>
      <c r="I400" s="280">
        <v>0</v>
      </c>
    </row>
    <row r="401" spans="1:9" x14ac:dyDescent="0.3">
      <c r="A401" s="326"/>
      <c r="B401" s="326"/>
      <c r="C401" s="282" t="s">
        <v>844</v>
      </c>
      <c r="D401" s="282">
        <v>19044</v>
      </c>
      <c r="E401" s="280">
        <v>78600</v>
      </c>
      <c r="F401" s="280">
        <v>36.1</v>
      </c>
      <c r="G401" s="280">
        <v>1</v>
      </c>
      <c r="H401" s="281">
        <v>0</v>
      </c>
      <c r="I401" s="280">
        <v>0</v>
      </c>
    </row>
    <row r="402" spans="1:9" x14ac:dyDescent="0.3">
      <c r="A402" s="326"/>
      <c r="B402" s="326"/>
      <c r="C402" s="282" t="s">
        <v>843</v>
      </c>
      <c r="D402" s="282">
        <v>19823</v>
      </c>
      <c r="E402" s="280">
        <v>106700</v>
      </c>
      <c r="F402" s="280">
        <v>48.9</v>
      </c>
      <c r="G402" s="280">
        <v>1</v>
      </c>
      <c r="H402" s="282"/>
      <c r="I402" s="282"/>
    </row>
    <row r="403" spans="1:9" x14ac:dyDescent="0.3">
      <c r="A403" s="326"/>
      <c r="B403" s="326"/>
      <c r="C403" s="282" t="s">
        <v>842</v>
      </c>
      <c r="D403" s="282">
        <v>12247</v>
      </c>
      <c r="E403" s="280">
        <v>128600</v>
      </c>
      <c r="F403" s="280">
        <v>58.5</v>
      </c>
      <c r="G403" s="280">
        <v>1</v>
      </c>
      <c r="H403" s="281">
        <v>0</v>
      </c>
      <c r="I403" s="280">
        <v>0</v>
      </c>
    </row>
    <row r="404" spans="1:9" x14ac:dyDescent="0.3">
      <c r="A404" s="326"/>
      <c r="B404" s="326"/>
      <c r="C404" s="282" t="s">
        <v>841</v>
      </c>
      <c r="D404" s="282">
        <v>17294</v>
      </c>
      <c r="E404" s="280">
        <v>152750</v>
      </c>
      <c r="F404" s="280">
        <v>69</v>
      </c>
      <c r="G404" s="280">
        <v>1</v>
      </c>
      <c r="H404" s="281">
        <v>0</v>
      </c>
      <c r="I404" s="280">
        <v>0</v>
      </c>
    </row>
    <row r="405" spans="1:9" x14ac:dyDescent="0.3">
      <c r="A405" s="326"/>
      <c r="B405" s="326"/>
      <c r="C405" s="282" t="s">
        <v>840</v>
      </c>
      <c r="D405" s="282">
        <v>15556</v>
      </c>
      <c r="E405" s="280">
        <v>210350</v>
      </c>
      <c r="F405" s="280">
        <v>95.1</v>
      </c>
      <c r="G405" s="280">
        <v>1</v>
      </c>
      <c r="H405" s="281">
        <v>21</v>
      </c>
      <c r="I405" s="280">
        <v>0</v>
      </c>
    </row>
    <row r="406" spans="1:9" x14ac:dyDescent="0.3">
      <c r="A406" s="326"/>
      <c r="B406" s="326"/>
      <c r="C406" s="282" t="s">
        <v>839</v>
      </c>
      <c r="D406" s="282">
        <v>11690</v>
      </c>
      <c r="E406" s="280">
        <v>231000</v>
      </c>
      <c r="F406" s="280">
        <v>104</v>
      </c>
      <c r="G406" s="280">
        <v>1</v>
      </c>
      <c r="H406" s="281">
        <v>0</v>
      </c>
      <c r="I406" s="280">
        <v>0</v>
      </c>
    </row>
    <row r="407" spans="1:9" x14ac:dyDescent="0.3">
      <c r="A407" s="326"/>
      <c r="B407" s="326"/>
      <c r="C407" s="282" t="s">
        <v>838</v>
      </c>
      <c r="D407" s="282">
        <v>11696</v>
      </c>
      <c r="E407" s="280">
        <v>79300</v>
      </c>
      <c r="F407" s="280">
        <v>36.4</v>
      </c>
      <c r="G407" s="280">
        <v>7.2</v>
      </c>
      <c r="H407" s="281">
        <v>0</v>
      </c>
      <c r="I407" s="280">
        <v>0</v>
      </c>
    </row>
    <row r="408" spans="1:9" x14ac:dyDescent="0.3">
      <c r="A408" s="326"/>
      <c r="B408" s="326"/>
      <c r="C408" s="282" t="s">
        <v>837</v>
      </c>
      <c r="D408" s="282">
        <v>12253</v>
      </c>
      <c r="E408" s="280">
        <v>107750</v>
      </c>
      <c r="F408" s="280">
        <v>49.3</v>
      </c>
      <c r="G408" s="280">
        <v>1</v>
      </c>
      <c r="H408" s="281">
        <v>0</v>
      </c>
      <c r="I408" s="280">
        <v>0</v>
      </c>
    </row>
    <row r="409" spans="1:9" x14ac:dyDescent="0.3">
      <c r="A409" s="326"/>
      <c r="B409" s="326"/>
      <c r="C409" s="282" t="s">
        <v>836</v>
      </c>
      <c r="D409" s="282">
        <v>17657</v>
      </c>
      <c r="E409" s="280">
        <v>131600</v>
      </c>
      <c r="F409" s="280">
        <v>59.7</v>
      </c>
      <c r="G409" s="280">
        <v>1</v>
      </c>
      <c r="H409" s="281">
        <v>0</v>
      </c>
      <c r="I409" s="280">
        <v>0</v>
      </c>
    </row>
    <row r="410" spans="1:9" x14ac:dyDescent="0.3">
      <c r="A410" s="326"/>
      <c r="B410" s="326"/>
      <c r="C410" s="282" t="s">
        <v>835</v>
      </c>
      <c r="D410" s="282">
        <v>17658</v>
      </c>
      <c r="E410" s="280">
        <v>108750</v>
      </c>
      <c r="F410" s="280">
        <v>49.7</v>
      </c>
      <c r="G410" s="280">
        <v>1</v>
      </c>
      <c r="H410" s="281">
        <v>0</v>
      </c>
      <c r="I410" s="280">
        <v>0</v>
      </c>
    </row>
    <row r="411" spans="1:9" x14ac:dyDescent="0.3">
      <c r="A411" s="326"/>
      <c r="B411" s="326"/>
      <c r="C411" s="282" t="s">
        <v>834</v>
      </c>
      <c r="D411" s="282">
        <v>19794</v>
      </c>
      <c r="E411" s="280">
        <v>235950</v>
      </c>
      <c r="F411" s="280">
        <v>106.1</v>
      </c>
      <c r="G411" s="280">
        <v>1</v>
      </c>
      <c r="H411" s="282"/>
      <c r="I411" s="282"/>
    </row>
    <row r="412" spans="1:9" x14ac:dyDescent="0.3">
      <c r="A412" s="326"/>
      <c r="B412" s="326"/>
      <c r="C412" s="282" t="s">
        <v>833</v>
      </c>
      <c r="D412" s="282">
        <v>15729</v>
      </c>
      <c r="E412" s="280">
        <v>115600</v>
      </c>
      <c r="F412" s="280">
        <v>52.6</v>
      </c>
      <c r="G412" s="280">
        <v>1</v>
      </c>
      <c r="H412" s="281">
        <v>0</v>
      </c>
      <c r="I412" s="280">
        <v>0</v>
      </c>
    </row>
    <row r="413" spans="1:9" x14ac:dyDescent="0.3">
      <c r="A413" s="326"/>
      <c r="B413" s="326"/>
      <c r="C413" s="282" t="s">
        <v>832</v>
      </c>
      <c r="D413" s="282">
        <v>6830</v>
      </c>
      <c r="E413" s="280">
        <v>134200</v>
      </c>
      <c r="F413" s="280">
        <v>60.8</v>
      </c>
      <c r="G413" s="280">
        <v>10</v>
      </c>
      <c r="H413" s="281">
        <v>0</v>
      </c>
      <c r="I413" s="280">
        <v>0</v>
      </c>
    </row>
    <row r="414" spans="1:9" x14ac:dyDescent="0.3">
      <c r="A414" s="326"/>
      <c r="B414" s="326"/>
      <c r="C414" s="282" t="s">
        <v>831</v>
      </c>
      <c r="D414" s="282">
        <v>14678</v>
      </c>
      <c r="E414" s="280">
        <v>157550</v>
      </c>
      <c r="F414" s="280">
        <v>71</v>
      </c>
      <c r="G414" s="280">
        <v>1</v>
      </c>
      <c r="H414" s="281">
        <v>22</v>
      </c>
      <c r="I414" s="280">
        <v>0</v>
      </c>
    </row>
    <row r="415" spans="1:9" x14ac:dyDescent="0.3">
      <c r="A415" s="326"/>
      <c r="B415" s="326"/>
      <c r="C415" s="282" t="s">
        <v>830</v>
      </c>
      <c r="D415" s="282">
        <v>14991</v>
      </c>
      <c r="E415" s="280">
        <v>194300</v>
      </c>
      <c r="F415" s="280">
        <v>88.1</v>
      </c>
      <c r="G415" s="280">
        <v>1</v>
      </c>
      <c r="H415" s="281">
        <v>23</v>
      </c>
      <c r="I415" s="280">
        <v>0</v>
      </c>
    </row>
    <row r="416" spans="1:9" x14ac:dyDescent="0.3">
      <c r="A416" s="326"/>
      <c r="B416" s="326"/>
      <c r="C416" s="282" t="s">
        <v>829</v>
      </c>
      <c r="D416" s="282">
        <v>15583</v>
      </c>
      <c r="E416" s="280">
        <v>216900</v>
      </c>
      <c r="F416" s="280">
        <v>97.8</v>
      </c>
      <c r="G416" s="280">
        <v>1</v>
      </c>
      <c r="H416" s="281">
        <v>24</v>
      </c>
      <c r="I416" s="280">
        <v>0</v>
      </c>
    </row>
    <row r="417" spans="1:9" x14ac:dyDescent="0.3">
      <c r="A417" s="326"/>
      <c r="B417" s="326"/>
      <c r="C417" s="282" t="s">
        <v>828</v>
      </c>
      <c r="D417" s="282">
        <v>6716</v>
      </c>
      <c r="E417" s="280">
        <v>238400</v>
      </c>
      <c r="F417" s="280">
        <v>107.1</v>
      </c>
      <c r="G417" s="280">
        <v>19.2</v>
      </c>
      <c r="H417" s="281">
        <v>0</v>
      </c>
      <c r="I417" s="280">
        <v>0</v>
      </c>
    </row>
    <row r="418" spans="1:9" x14ac:dyDescent="0.3">
      <c r="A418" s="326"/>
      <c r="B418" s="326"/>
      <c r="C418" s="282" t="s">
        <v>827</v>
      </c>
      <c r="D418" s="282">
        <v>6297</v>
      </c>
      <c r="E418" s="280">
        <v>81500</v>
      </c>
      <c r="F418" s="280">
        <v>37.299999999999997</v>
      </c>
      <c r="G418" s="280">
        <v>6</v>
      </c>
      <c r="H418" s="281">
        <v>0</v>
      </c>
      <c r="I418" s="280">
        <v>0</v>
      </c>
    </row>
    <row r="419" spans="1:9" x14ac:dyDescent="0.3">
      <c r="A419" s="326"/>
      <c r="B419" s="326"/>
      <c r="C419" s="282" t="s">
        <v>826</v>
      </c>
      <c r="D419" s="282">
        <v>6889</v>
      </c>
      <c r="E419" s="280">
        <v>110800</v>
      </c>
      <c r="F419" s="280">
        <v>50.6</v>
      </c>
      <c r="G419" s="280">
        <v>8</v>
      </c>
      <c r="H419" s="281">
        <v>0</v>
      </c>
      <c r="I419" s="280">
        <v>0</v>
      </c>
    </row>
    <row r="420" spans="1:9" x14ac:dyDescent="0.3">
      <c r="A420" s="326"/>
      <c r="B420" s="326"/>
      <c r="C420" s="282" t="s">
        <v>825</v>
      </c>
      <c r="D420" s="282">
        <v>15418</v>
      </c>
      <c r="E420" s="280">
        <v>136800</v>
      </c>
      <c r="F420" s="280">
        <v>61.8</v>
      </c>
      <c r="G420" s="280">
        <v>1</v>
      </c>
      <c r="H420" s="281">
        <v>25</v>
      </c>
      <c r="I420" s="280">
        <v>0</v>
      </c>
    </row>
    <row r="421" spans="1:9" x14ac:dyDescent="0.3">
      <c r="A421" s="326"/>
      <c r="B421" s="326"/>
      <c r="C421" s="282" t="s">
        <v>824</v>
      </c>
      <c r="D421" s="282">
        <v>15354</v>
      </c>
      <c r="E421" s="280">
        <v>243350</v>
      </c>
      <c r="F421" s="280">
        <v>109.1</v>
      </c>
      <c r="G421" s="280">
        <v>1</v>
      </c>
      <c r="H421" s="281">
        <v>26</v>
      </c>
      <c r="I421" s="280">
        <v>0</v>
      </c>
    </row>
    <row r="422" spans="1:9" x14ac:dyDescent="0.3">
      <c r="A422" s="326"/>
      <c r="B422" s="326"/>
      <c r="C422" s="282" t="s">
        <v>823</v>
      </c>
      <c r="D422" s="282">
        <v>15419</v>
      </c>
      <c r="E422" s="280">
        <v>138100</v>
      </c>
      <c r="F422" s="280">
        <v>62.4</v>
      </c>
      <c r="G422" s="280">
        <v>1</v>
      </c>
      <c r="H422" s="281">
        <v>27</v>
      </c>
      <c r="I422" s="280">
        <v>0</v>
      </c>
    </row>
    <row r="423" spans="1:9" x14ac:dyDescent="0.3">
      <c r="A423" s="326"/>
      <c r="B423" s="326"/>
      <c r="C423" s="282" t="s">
        <v>822</v>
      </c>
      <c r="D423" s="282">
        <v>15566</v>
      </c>
      <c r="E423" s="280">
        <v>200000</v>
      </c>
      <c r="F423" s="280">
        <v>90.4</v>
      </c>
      <c r="G423" s="280">
        <v>1</v>
      </c>
      <c r="H423" s="281">
        <v>28</v>
      </c>
      <c r="I423" s="280">
        <v>0</v>
      </c>
    </row>
    <row r="424" spans="1:9" x14ac:dyDescent="0.3">
      <c r="A424" s="326"/>
      <c r="B424" s="326"/>
      <c r="C424" s="282" t="s">
        <v>821</v>
      </c>
      <c r="D424" s="282">
        <v>15561</v>
      </c>
      <c r="E424" s="280">
        <v>223400</v>
      </c>
      <c r="F424" s="280">
        <v>100.5</v>
      </c>
      <c r="G424" s="280">
        <v>1</v>
      </c>
      <c r="H424" s="281">
        <v>29</v>
      </c>
      <c r="I424" s="280">
        <v>0</v>
      </c>
    </row>
    <row r="425" spans="1:9" x14ac:dyDescent="0.3">
      <c r="A425" s="326"/>
      <c r="B425" s="326"/>
      <c r="C425" s="282" t="s">
        <v>820</v>
      </c>
      <c r="D425" s="282">
        <v>13499</v>
      </c>
      <c r="E425" s="280">
        <v>245800</v>
      </c>
      <c r="F425" s="280">
        <v>110.1</v>
      </c>
      <c r="G425" s="280">
        <v>1</v>
      </c>
      <c r="H425" s="281">
        <v>30</v>
      </c>
      <c r="I425" s="280">
        <v>0</v>
      </c>
    </row>
    <row r="426" spans="1:9" x14ac:dyDescent="0.3">
      <c r="A426" s="326"/>
      <c r="B426" s="326"/>
      <c r="C426" s="282" t="s">
        <v>819</v>
      </c>
      <c r="D426" s="282">
        <v>15635</v>
      </c>
      <c r="E426" s="280">
        <v>83750</v>
      </c>
      <c r="F426" s="280">
        <v>38.299999999999997</v>
      </c>
      <c r="G426" s="280">
        <v>1</v>
      </c>
      <c r="H426" s="281">
        <v>0</v>
      </c>
      <c r="I426" s="280">
        <v>0</v>
      </c>
    </row>
    <row r="427" spans="1:9" x14ac:dyDescent="0.3">
      <c r="A427" s="326"/>
      <c r="B427" s="326"/>
      <c r="C427" s="282" t="s">
        <v>818</v>
      </c>
      <c r="D427" s="282">
        <v>17659</v>
      </c>
      <c r="E427" s="280">
        <v>113450</v>
      </c>
      <c r="F427" s="280">
        <v>51.8</v>
      </c>
      <c r="G427" s="280">
        <v>1</v>
      </c>
      <c r="H427" s="281">
        <v>0</v>
      </c>
      <c r="I427" s="280">
        <v>0</v>
      </c>
    </row>
    <row r="428" spans="1:9" x14ac:dyDescent="0.3">
      <c r="A428" s="326"/>
      <c r="B428" s="326"/>
      <c r="C428" s="282" t="s">
        <v>817</v>
      </c>
      <c r="D428" s="282">
        <v>15732</v>
      </c>
      <c r="E428" s="280">
        <v>121050</v>
      </c>
      <c r="F428" s="280">
        <v>54.8</v>
      </c>
      <c r="G428" s="280">
        <v>1</v>
      </c>
      <c r="H428" s="281">
        <v>0</v>
      </c>
      <c r="I428" s="280">
        <v>0</v>
      </c>
    </row>
    <row r="429" spans="1:9" x14ac:dyDescent="0.3">
      <c r="A429" s="326"/>
      <c r="B429" s="326"/>
      <c r="C429" s="282" t="s">
        <v>816</v>
      </c>
      <c r="D429" s="282">
        <v>6886</v>
      </c>
      <c r="E429" s="280">
        <v>140750</v>
      </c>
      <c r="F429" s="280">
        <v>63.5</v>
      </c>
      <c r="G429" s="280">
        <v>10.8</v>
      </c>
      <c r="H429" s="281">
        <v>0</v>
      </c>
      <c r="I429" s="280">
        <v>0</v>
      </c>
    </row>
    <row r="430" spans="1:9" x14ac:dyDescent="0.3">
      <c r="A430" s="326"/>
      <c r="B430" s="326"/>
      <c r="C430" s="282" t="s">
        <v>815</v>
      </c>
      <c r="D430" s="282">
        <v>15568</v>
      </c>
      <c r="E430" s="280">
        <v>165550</v>
      </c>
      <c r="F430" s="280">
        <v>74.3</v>
      </c>
      <c r="G430" s="280">
        <v>1</v>
      </c>
      <c r="H430" s="281">
        <v>31</v>
      </c>
      <c r="I430" s="280">
        <v>0</v>
      </c>
    </row>
    <row r="431" spans="1:9" x14ac:dyDescent="0.3">
      <c r="A431" s="326"/>
      <c r="B431" s="326"/>
      <c r="C431" s="282" t="s">
        <v>814</v>
      </c>
      <c r="D431" s="282">
        <v>15555</v>
      </c>
      <c r="E431" s="280">
        <v>203750</v>
      </c>
      <c r="F431" s="280">
        <v>91.9</v>
      </c>
      <c r="G431" s="280">
        <v>1</v>
      </c>
      <c r="H431" s="281">
        <v>32</v>
      </c>
      <c r="I431" s="280">
        <v>0</v>
      </c>
    </row>
    <row r="432" spans="1:9" x14ac:dyDescent="0.3">
      <c r="A432" s="326"/>
      <c r="B432" s="326"/>
      <c r="C432" s="282" t="s">
        <v>813</v>
      </c>
      <c r="D432" s="282">
        <v>15562</v>
      </c>
      <c r="E432" s="280">
        <v>227750</v>
      </c>
      <c r="F432" s="280">
        <v>102.3</v>
      </c>
      <c r="G432" s="280">
        <v>1</v>
      </c>
      <c r="H432" s="281">
        <v>34</v>
      </c>
      <c r="I432" s="280">
        <v>0</v>
      </c>
    </row>
    <row r="433" spans="1:9" x14ac:dyDescent="0.3">
      <c r="A433" s="326"/>
      <c r="B433" s="326"/>
      <c r="C433" s="282" t="s">
        <v>812</v>
      </c>
      <c r="D433" s="282">
        <v>6447</v>
      </c>
      <c r="E433" s="280">
        <v>250700</v>
      </c>
      <c r="F433" s="280">
        <v>112.2</v>
      </c>
      <c r="G433" s="280">
        <v>19.8</v>
      </c>
      <c r="H433" s="281">
        <v>0</v>
      </c>
      <c r="I433" s="280">
        <v>0</v>
      </c>
    </row>
    <row r="434" spans="1:9" x14ac:dyDescent="0.3">
      <c r="A434" s="326"/>
      <c r="B434" s="326"/>
      <c r="C434" s="282" t="s">
        <v>811</v>
      </c>
      <c r="D434" s="282">
        <v>6304</v>
      </c>
      <c r="E434" s="280">
        <v>85200</v>
      </c>
      <c r="F434" s="280">
        <v>38.9</v>
      </c>
      <c r="G434" s="280">
        <v>6</v>
      </c>
      <c r="H434" s="281">
        <v>0</v>
      </c>
      <c r="I434" s="280">
        <v>0</v>
      </c>
    </row>
    <row r="435" spans="1:9" x14ac:dyDescent="0.3">
      <c r="A435" s="326"/>
      <c r="B435" s="326"/>
      <c r="C435" s="282" t="s">
        <v>810</v>
      </c>
      <c r="D435" s="282">
        <v>6887</v>
      </c>
      <c r="E435" s="280">
        <v>115900</v>
      </c>
      <c r="F435" s="280">
        <v>52.7</v>
      </c>
      <c r="G435" s="280">
        <v>8.4</v>
      </c>
      <c r="H435" s="281">
        <v>0</v>
      </c>
      <c r="I435" s="280">
        <v>0</v>
      </c>
    </row>
    <row r="436" spans="1:9" x14ac:dyDescent="0.3">
      <c r="A436" s="326"/>
      <c r="B436" s="326"/>
      <c r="C436" s="282" t="s">
        <v>809</v>
      </c>
      <c r="D436" s="282">
        <v>19800</v>
      </c>
      <c r="E436" s="280">
        <v>86700</v>
      </c>
      <c r="F436" s="280">
        <v>39.5</v>
      </c>
      <c r="G436" s="280">
        <v>1</v>
      </c>
      <c r="H436" s="282"/>
      <c r="I436" s="282"/>
    </row>
    <row r="437" spans="1:9" x14ac:dyDescent="0.3">
      <c r="A437" s="326"/>
      <c r="B437" s="326"/>
      <c r="C437" s="282" t="s">
        <v>808</v>
      </c>
      <c r="D437" s="282">
        <v>19793</v>
      </c>
      <c r="E437" s="280">
        <v>260550</v>
      </c>
      <c r="F437" s="280">
        <v>116.3</v>
      </c>
      <c r="G437" s="280">
        <v>1</v>
      </c>
      <c r="H437" s="282"/>
      <c r="I437" s="282"/>
    </row>
    <row r="438" spans="1:9" x14ac:dyDescent="0.3">
      <c r="A438" s="326"/>
      <c r="B438" s="326"/>
      <c r="C438" s="282" t="s">
        <v>807</v>
      </c>
      <c r="D438" s="282">
        <v>6648</v>
      </c>
      <c r="E438" s="280">
        <v>147300</v>
      </c>
      <c r="F438" s="280">
        <v>66.2</v>
      </c>
      <c r="G438" s="280">
        <v>11</v>
      </c>
      <c r="H438" s="281">
        <v>0</v>
      </c>
      <c r="I438" s="280">
        <v>0</v>
      </c>
    </row>
    <row r="439" spans="1:9" x14ac:dyDescent="0.3">
      <c r="A439" s="326"/>
      <c r="B439" s="326"/>
      <c r="C439" s="282" t="s">
        <v>806</v>
      </c>
      <c r="D439" s="282">
        <v>15569</v>
      </c>
      <c r="E439" s="280">
        <v>173550</v>
      </c>
      <c r="F439" s="280">
        <v>77.599999999999994</v>
      </c>
      <c r="G439" s="280">
        <v>1</v>
      </c>
      <c r="H439" s="281">
        <v>35</v>
      </c>
      <c r="I439" s="280">
        <v>0</v>
      </c>
    </row>
    <row r="440" spans="1:9" x14ac:dyDescent="0.3">
      <c r="A440" s="326"/>
      <c r="B440" s="326"/>
      <c r="C440" s="282" t="s">
        <v>805</v>
      </c>
      <c r="D440" s="282">
        <v>15567</v>
      </c>
      <c r="E440" s="280">
        <v>213200</v>
      </c>
      <c r="F440" s="280">
        <v>95.8</v>
      </c>
      <c r="G440" s="280">
        <v>1</v>
      </c>
      <c r="H440" s="281">
        <v>36</v>
      </c>
      <c r="I440" s="280">
        <v>0</v>
      </c>
    </row>
    <row r="441" spans="1:9" x14ac:dyDescent="0.3">
      <c r="A441" s="326"/>
      <c r="B441" s="326"/>
      <c r="C441" s="282" t="s">
        <v>804</v>
      </c>
      <c r="D441" s="282">
        <v>6455</v>
      </c>
      <c r="E441" s="280">
        <v>263000</v>
      </c>
      <c r="F441" s="280">
        <v>117.3</v>
      </c>
      <c r="G441" s="280">
        <v>21</v>
      </c>
      <c r="H441" s="281">
        <v>0</v>
      </c>
      <c r="I441" s="280">
        <v>0</v>
      </c>
    </row>
    <row r="442" spans="1:9" x14ac:dyDescent="0.3">
      <c r="A442" s="326"/>
      <c r="B442" s="326"/>
      <c r="C442" s="282" t="s">
        <v>803</v>
      </c>
      <c r="D442" s="282">
        <v>6303</v>
      </c>
      <c r="E442" s="280">
        <v>88850</v>
      </c>
      <c r="F442" s="280">
        <v>40.4</v>
      </c>
      <c r="G442" s="280">
        <v>6.4</v>
      </c>
      <c r="H442" s="281">
        <v>0</v>
      </c>
      <c r="I442" s="280">
        <v>0</v>
      </c>
    </row>
    <row r="443" spans="1:9" x14ac:dyDescent="0.3">
      <c r="A443" s="326"/>
      <c r="B443" s="326"/>
      <c r="C443" s="282" t="s">
        <v>802</v>
      </c>
      <c r="D443" s="282">
        <v>6722</v>
      </c>
      <c r="E443" s="280">
        <v>121000</v>
      </c>
      <c r="F443" s="280">
        <v>54.8</v>
      </c>
      <c r="G443" s="280">
        <v>9.1999999999999993</v>
      </c>
      <c r="H443" s="281">
        <v>0</v>
      </c>
      <c r="I443" s="280">
        <v>0</v>
      </c>
    </row>
    <row r="444" spans="1:9" x14ac:dyDescent="0.3">
      <c r="A444" s="326"/>
      <c r="B444" s="326"/>
      <c r="C444" s="282" t="s">
        <v>801</v>
      </c>
      <c r="D444" s="282">
        <v>6647</v>
      </c>
      <c r="E444" s="280">
        <v>154200</v>
      </c>
      <c r="F444" s="280">
        <v>69.099999999999994</v>
      </c>
      <c r="G444" s="280">
        <v>12.4</v>
      </c>
      <c r="H444" s="281">
        <v>0</v>
      </c>
      <c r="I444" s="280">
        <v>0</v>
      </c>
    </row>
    <row r="445" spans="1:9" x14ac:dyDescent="0.3">
      <c r="A445" s="326"/>
      <c r="B445" s="326"/>
      <c r="C445" s="282" t="s">
        <v>800</v>
      </c>
      <c r="D445" s="282">
        <v>15570</v>
      </c>
      <c r="E445" s="280">
        <v>182250</v>
      </c>
      <c r="F445" s="280">
        <v>81.2</v>
      </c>
      <c r="G445" s="280">
        <v>1</v>
      </c>
      <c r="H445" s="281">
        <v>37</v>
      </c>
      <c r="I445" s="280">
        <v>0</v>
      </c>
    </row>
    <row r="446" spans="1:9" x14ac:dyDescent="0.3">
      <c r="A446" s="326"/>
      <c r="B446" s="326"/>
      <c r="C446" s="282" t="s">
        <v>799</v>
      </c>
      <c r="D446" s="282">
        <v>17317</v>
      </c>
      <c r="E446" s="280">
        <v>250250</v>
      </c>
      <c r="F446" s="280">
        <v>111.7</v>
      </c>
      <c r="G446" s="280">
        <v>1</v>
      </c>
      <c r="H446" s="281">
        <v>0</v>
      </c>
      <c r="I446" s="280">
        <v>0</v>
      </c>
    </row>
    <row r="447" spans="1:9" x14ac:dyDescent="0.3">
      <c r="A447" s="326"/>
      <c r="B447" s="326"/>
      <c r="C447" s="282" t="s">
        <v>798</v>
      </c>
      <c r="D447" s="282">
        <v>6425</v>
      </c>
      <c r="E447" s="280">
        <v>276100</v>
      </c>
      <c r="F447" s="280">
        <v>122.7</v>
      </c>
      <c r="G447" s="280">
        <v>21.8</v>
      </c>
      <c r="H447" s="281">
        <v>0</v>
      </c>
      <c r="I447" s="280">
        <v>0</v>
      </c>
    </row>
    <row r="448" spans="1:9" x14ac:dyDescent="0.3">
      <c r="A448" s="326"/>
      <c r="B448" s="326"/>
      <c r="C448" s="282" t="s">
        <v>797</v>
      </c>
      <c r="D448" s="282">
        <v>6302</v>
      </c>
      <c r="E448" s="280">
        <v>92550</v>
      </c>
      <c r="F448" s="280">
        <v>41.9</v>
      </c>
      <c r="G448" s="280">
        <v>6.6</v>
      </c>
      <c r="H448" s="281">
        <v>0</v>
      </c>
      <c r="I448" s="280">
        <v>0</v>
      </c>
    </row>
    <row r="449" spans="1:9" x14ac:dyDescent="0.3">
      <c r="A449" s="326"/>
      <c r="B449" s="326"/>
      <c r="C449" s="282" t="s">
        <v>796</v>
      </c>
      <c r="D449" s="282">
        <v>6721</v>
      </c>
      <c r="E449" s="280">
        <v>126500</v>
      </c>
      <c r="F449" s="280">
        <v>57.1</v>
      </c>
      <c r="G449" s="280">
        <v>1</v>
      </c>
      <c r="H449" s="281">
        <v>0</v>
      </c>
      <c r="I449" s="280">
        <v>0</v>
      </c>
    </row>
    <row r="450" spans="1:9" x14ac:dyDescent="0.3">
      <c r="A450" s="326"/>
      <c r="B450" s="326"/>
      <c r="C450" s="282" t="s">
        <v>795</v>
      </c>
      <c r="D450" s="282">
        <v>19792</v>
      </c>
      <c r="E450" s="280">
        <v>283450</v>
      </c>
      <c r="F450" s="280">
        <v>125.8</v>
      </c>
      <c r="G450" s="280">
        <v>1</v>
      </c>
      <c r="H450" s="282"/>
      <c r="I450" s="282"/>
    </row>
    <row r="451" spans="1:9" x14ac:dyDescent="0.3">
      <c r="A451" s="326"/>
      <c r="B451" s="326"/>
      <c r="C451" s="282" t="s">
        <v>794</v>
      </c>
      <c r="D451" s="282">
        <v>6640</v>
      </c>
      <c r="E451" s="280">
        <v>160750</v>
      </c>
      <c r="F451" s="280">
        <v>71.8</v>
      </c>
      <c r="G451" s="280">
        <v>12.1</v>
      </c>
      <c r="H451" s="281">
        <v>0</v>
      </c>
      <c r="I451" s="280">
        <v>0</v>
      </c>
    </row>
    <row r="452" spans="1:9" x14ac:dyDescent="0.3">
      <c r="A452" s="326"/>
      <c r="B452" s="326"/>
      <c r="C452" s="282" t="s">
        <v>793</v>
      </c>
      <c r="D452" s="282">
        <v>15571</v>
      </c>
      <c r="E452" s="280">
        <v>190250</v>
      </c>
      <c r="F452" s="280">
        <v>84.5</v>
      </c>
      <c r="G452" s="280">
        <v>1</v>
      </c>
      <c r="H452" s="281">
        <v>39</v>
      </c>
      <c r="I452" s="280">
        <v>0</v>
      </c>
    </row>
    <row r="453" spans="1:9" x14ac:dyDescent="0.3">
      <c r="A453" s="326"/>
      <c r="B453" s="326"/>
      <c r="C453" s="282" t="s">
        <v>792</v>
      </c>
      <c r="D453" s="282">
        <v>6368</v>
      </c>
      <c r="E453" s="280">
        <v>288400</v>
      </c>
      <c r="F453" s="280">
        <v>127.8</v>
      </c>
      <c r="G453" s="280">
        <v>23.2</v>
      </c>
      <c r="H453" s="281">
        <v>0</v>
      </c>
      <c r="I453" s="280">
        <v>0</v>
      </c>
    </row>
    <row r="454" spans="1:9" x14ac:dyDescent="0.3">
      <c r="A454" s="326"/>
      <c r="B454" s="326"/>
      <c r="C454" s="282" t="s">
        <v>791</v>
      </c>
      <c r="D454" s="282">
        <v>6296</v>
      </c>
      <c r="E454" s="280">
        <v>96200</v>
      </c>
      <c r="F454" s="280">
        <v>43.4</v>
      </c>
      <c r="G454" s="280">
        <v>7.5</v>
      </c>
      <c r="H454" s="281">
        <v>0</v>
      </c>
      <c r="I454" s="280">
        <v>0</v>
      </c>
    </row>
    <row r="455" spans="1:9" x14ac:dyDescent="0.3">
      <c r="A455" s="326"/>
      <c r="B455" s="326"/>
      <c r="C455" s="282" t="s">
        <v>790</v>
      </c>
      <c r="D455" s="282">
        <v>6719</v>
      </c>
      <c r="E455" s="280">
        <v>131600</v>
      </c>
      <c r="F455" s="280">
        <v>59.2</v>
      </c>
      <c r="G455" s="280">
        <v>10.199999999999999</v>
      </c>
      <c r="H455" s="281">
        <v>0</v>
      </c>
      <c r="I455" s="280">
        <v>0</v>
      </c>
    </row>
    <row r="456" spans="1:9" x14ac:dyDescent="0.3">
      <c r="A456" s="326"/>
      <c r="B456" s="326"/>
      <c r="C456" s="282" t="s">
        <v>789</v>
      </c>
      <c r="D456" s="282">
        <v>19796</v>
      </c>
      <c r="E456" s="280">
        <v>163400</v>
      </c>
      <c r="F456" s="280">
        <v>72.900000000000006</v>
      </c>
      <c r="G456" s="280">
        <v>1</v>
      </c>
      <c r="H456" s="282"/>
      <c r="I456" s="282"/>
    </row>
    <row r="457" spans="1:9" x14ac:dyDescent="0.3">
      <c r="A457" s="326"/>
      <c r="B457" s="326"/>
      <c r="C457" s="282" t="s">
        <v>788</v>
      </c>
      <c r="D457" s="282">
        <v>17515</v>
      </c>
      <c r="E457" s="280">
        <v>143250</v>
      </c>
      <c r="F457" s="280">
        <v>64</v>
      </c>
      <c r="G457" s="280">
        <v>1</v>
      </c>
      <c r="H457" s="281">
        <v>0</v>
      </c>
      <c r="I457" s="280">
        <v>0</v>
      </c>
    </row>
    <row r="458" spans="1:9" x14ac:dyDescent="0.3">
      <c r="A458" s="326"/>
      <c r="B458" s="326"/>
      <c r="C458" s="282" t="s">
        <v>787</v>
      </c>
      <c r="D458" s="282">
        <v>9094</v>
      </c>
      <c r="E458" s="280">
        <v>167300</v>
      </c>
      <c r="F458" s="280">
        <v>74.5</v>
      </c>
      <c r="G458" s="280">
        <v>13.3</v>
      </c>
      <c r="H458" s="281">
        <v>0</v>
      </c>
      <c r="I458" s="280">
        <v>0</v>
      </c>
    </row>
    <row r="459" spans="1:9" x14ac:dyDescent="0.3">
      <c r="A459" s="326"/>
      <c r="B459" s="326"/>
      <c r="C459" s="282" t="s">
        <v>786</v>
      </c>
      <c r="D459" s="282">
        <v>14676</v>
      </c>
      <c r="E459" s="280">
        <v>198250</v>
      </c>
      <c r="F459" s="280">
        <v>87.8</v>
      </c>
      <c r="G459" s="280">
        <v>1</v>
      </c>
      <c r="H459" s="281">
        <v>40</v>
      </c>
      <c r="I459" s="280">
        <v>0</v>
      </c>
    </row>
    <row r="460" spans="1:9" x14ac:dyDescent="0.3">
      <c r="A460" s="326"/>
      <c r="B460" s="326"/>
      <c r="C460" s="282" t="s">
        <v>785</v>
      </c>
      <c r="D460" s="282">
        <v>14992</v>
      </c>
      <c r="E460" s="280">
        <v>241850</v>
      </c>
      <c r="F460" s="280">
        <v>107.7</v>
      </c>
      <c r="G460" s="280">
        <v>1</v>
      </c>
      <c r="H460" s="281">
        <v>41</v>
      </c>
      <c r="I460" s="280">
        <v>0</v>
      </c>
    </row>
    <row r="461" spans="1:9" x14ac:dyDescent="0.3">
      <c r="A461" s="326"/>
      <c r="B461" s="326"/>
      <c r="C461" s="282" t="s">
        <v>784</v>
      </c>
      <c r="D461" s="282">
        <v>15563</v>
      </c>
      <c r="E461" s="280">
        <v>272000</v>
      </c>
      <c r="F461" s="280">
        <v>120.7</v>
      </c>
      <c r="G461" s="280">
        <v>1</v>
      </c>
      <c r="H461" s="281">
        <v>42</v>
      </c>
      <c r="I461" s="280">
        <v>0</v>
      </c>
    </row>
    <row r="462" spans="1:9" x14ac:dyDescent="0.3">
      <c r="A462" s="326"/>
      <c r="B462" s="326"/>
      <c r="C462" s="282" t="s">
        <v>783</v>
      </c>
      <c r="D462" s="282">
        <v>5983</v>
      </c>
      <c r="E462" s="280">
        <v>300700</v>
      </c>
      <c r="F462" s="280">
        <v>132.9</v>
      </c>
      <c r="G462" s="280">
        <v>24.6</v>
      </c>
      <c r="H462" s="281">
        <v>0</v>
      </c>
      <c r="I462" s="280">
        <v>0</v>
      </c>
    </row>
    <row r="463" spans="1:9" x14ac:dyDescent="0.3">
      <c r="A463" s="326"/>
      <c r="B463" s="326"/>
      <c r="C463" s="282" t="s">
        <v>782</v>
      </c>
      <c r="D463" s="282">
        <v>6251</v>
      </c>
      <c r="E463" s="280">
        <v>99900</v>
      </c>
      <c r="F463" s="280">
        <v>44.9</v>
      </c>
      <c r="G463" s="280">
        <v>7.8</v>
      </c>
      <c r="H463" s="281">
        <v>0</v>
      </c>
      <c r="I463" s="280">
        <v>0</v>
      </c>
    </row>
    <row r="464" spans="1:9" x14ac:dyDescent="0.3">
      <c r="A464" s="326"/>
      <c r="B464" s="326"/>
      <c r="C464" s="282" t="s">
        <v>781</v>
      </c>
      <c r="D464" s="282">
        <v>6252</v>
      </c>
      <c r="E464" s="280">
        <v>136750</v>
      </c>
      <c r="F464" s="280">
        <v>61.3</v>
      </c>
      <c r="G464" s="280">
        <v>10.6</v>
      </c>
      <c r="H464" s="281">
        <v>0</v>
      </c>
      <c r="I464" s="280">
        <v>0</v>
      </c>
    </row>
    <row r="465" spans="1:9" x14ac:dyDescent="0.3">
      <c r="A465" s="326"/>
      <c r="B465" s="326"/>
      <c r="C465" s="282" t="s">
        <v>780</v>
      </c>
      <c r="D465" s="282">
        <v>12980</v>
      </c>
      <c r="E465" s="280">
        <v>97200</v>
      </c>
      <c r="F465" s="280">
        <v>45.5</v>
      </c>
      <c r="G465" s="280">
        <v>1</v>
      </c>
      <c r="H465" s="281">
        <v>0</v>
      </c>
      <c r="I465" s="280">
        <v>0</v>
      </c>
    </row>
    <row r="466" spans="1:9" x14ac:dyDescent="0.3">
      <c r="A466" s="326"/>
      <c r="B466" s="326"/>
      <c r="C466" s="282" t="s">
        <v>779</v>
      </c>
      <c r="D466" s="282">
        <v>18555</v>
      </c>
      <c r="E466" s="280">
        <v>112800</v>
      </c>
      <c r="F466" s="280">
        <v>52.4</v>
      </c>
      <c r="G466" s="280">
        <v>1</v>
      </c>
      <c r="H466" s="281">
        <v>1</v>
      </c>
      <c r="I466" s="280">
        <v>0</v>
      </c>
    </row>
    <row r="467" spans="1:9" x14ac:dyDescent="0.3">
      <c r="A467" s="326"/>
      <c r="B467" s="326"/>
      <c r="C467" s="282" t="s">
        <v>778</v>
      </c>
      <c r="D467" s="282">
        <v>12702</v>
      </c>
      <c r="E467" s="280">
        <v>170350</v>
      </c>
      <c r="F467" s="280">
        <v>78.900000000000006</v>
      </c>
      <c r="G467" s="280">
        <v>12.6</v>
      </c>
      <c r="H467" s="281">
        <v>0</v>
      </c>
      <c r="I467" s="280">
        <v>0</v>
      </c>
    </row>
    <row r="468" spans="1:9" x14ac:dyDescent="0.3">
      <c r="A468" s="326"/>
      <c r="B468" s="327"/>
      <c r="C468" s="282" t="s">
        <v>777</v>
      </c>
      <c r="D468" s="282">
        <v>12701</v>
      </c>
      <c r="E468" s="280">
        <v>60100</v>
      </c>
      <c r="F468" s="280">
        <v>28.5</v>
      </c>
      <c r="G468" s="280">
        <v>3.2</v>
      </c>
      <c r="H468" s="281">
        <v>0</v>
      </c>
      <c r="I468" s="280">
        <v>0</v>
      </c>
    </row>
    <row r="469" spans="1:9" x14ac:dyDescent="0.3">
      <c r="A469" s="326"/>
      <c r="B469" s="325" t="s">
        <v>776</v>
      </c>
      <c r="C469" s="282" t="s">
        <v>373</v>
      </c>
      <c r="D469" s="282" t="s">
        <v>373</v>
      </c>
      <c r="E469" s="282" t="s">
        <v>373</v>
      </c>
      <c r="F469" s="282" t="s">
        <v>373</v>
      </c>
      <c r="G469" s="282" t="s">
        <v>373</v>
      </c>
      <c r="H469" s="282" t="s">
        <v>373</v>
      </c>
      <c r="I469" s="282" t="s">
        <v>373</v>
      </c>
    </row>
    <row r="470" spans="1:9" x14ac:dyDescent="0.3">
      <c r="A470" s="326"/>
      <c r="B470" s="326"/>
      <c r="C470" s="282" t="s">
        <v>775</v>
      </c>
      <c r="D470" s="282">
        <v>1603</v>
      </c>
      <c r="E470" s="280">
        <v>140026</v>
      </c>
      <c r="F470" s="280">
        <v>72</v>
      </c>
      <c r="G470" s="280">
        <v>2.5</v>
      </c>
      <c r="H470" s="281">
        <v>0</v>
      </c>
      <c r="I470" s="280">
        <v>0</v>
      </c>
    </row>
    <row r="471" spans="1:9" x14ac:dyDescent="0.3">
      <c r="A471" s="326"/>
      <c r="B471" s="326"/>
      <c r="C471" s="282" t="s">
        <v>774</v>
      </c>
      <c r="D471" s="282">
        <v>1948</v>
      </c>
      <c r="E471" s="280">
        <v>654080</v>
      </c>
      <c r="F471" s="280">
        <v>335.4</v>
      </c>
      <c r="G471" s="280">
        <v>27</v>
      </c>
      <c r="H471" s="281">
        <v>0</v>
      </c>
      <c r="I471" s="280">
        <v>0</v>
      </c>
    </row>
    <row r="472" spans="1:9" x14ac:dyDescent="0.3">
      <c r="A472" s="326"/>
      <c r="B472" s="326"/>
      <c r="C472" s="282" t="s">
        <v>773</v>
      </c>
      <c r="D472" s="282">
        <v>6705</v>
      </c>
      <c r="E472" s="280">
        <v>290702</v>
      </c>
      <c r="F472" s="280">
        <v>149.1</v>
      </c>
      <c r="G472" s="280">
        <v>12</v>
      </c>
      <c r="H472" s="281">
        <v>0</v>
      </c>
      <c r="I472" s="280">
        <v>0</v>
      </c>
    </row>
    <row r="473" spans="1:9" x14ac:dyDescent="0.3">
      <c r="A473" s="326"/>
      <c r="B473" s="326"/>
      <c r="C473" s="282" t="s">
        <v>772</v>
      </c>
      <c r="D473" s="282">
        <v>2042</v>
      </c>
      <c r="E473" s="280">
        <v>363379</v>
      </c>
      <c r="F473" s="280">
        <v>186.3</v>
      </c>
      <c r="G473" s="280">
        <v>15</v>
      </c>
      <c r="H473" s="281">
        <v>0</v>
      </c>
      <c r="I473" s="280">
        <v>0</v>
      </c>
    </row>
    <row r="474" spans="1:9" x14ac:dyDescent="0.3">
      <c r="A474" s="326"/>
      <c r="B474" s="326"/>
      <c r="C474" s="282" t="s">
        <v>771</v>
      </c>
      <c r="D474" s="282">
        <v>2053</v>
      </c>
      <c r="E474" s="280">
        <v>436054</v>
      </c>
      <c r="F474" s="280">
        <v>223.6</v>
      </c>
      <c r="G474" s="280">
        <v>18</v>
      </c>
      <c r="H474" s="281">
        <v>0</v>
      </c>
      <c r="I474" s="280">
        <v>0</v>
      </c>
    </row>
    <row r="475" spans="1:9" x14ac:dyDescent="0.3">
      <c r="A475" s="326"/>
      <c r="B475" s="326"/>
      <c r="C475" s="282" t="s">
        <v>770</v>
      </c>
      <c r="D475" s="282">
        <v>11375</v>
      </c>
      <c r="E475" s="280">
        <v>581405</v>
      </c>
      <c r="F475" s="280">
        <v>298.2</v>
      </c>
      <c r="G475" s="280">
        <v>24</v>
      </c>
      <c r="H475" s="281">
        <v>0</v>
      </c>
      <c r="I475" s="280">
        <v>0</v>
      </c>
    </row>
    <row r="476" spans="1:9" x14ac:dyDescent="0.3">
      <c r="A476" s="326"/>
      <c r="B476" s="326"/>
      <c r="C476" s="282" t="s">
        <v>769</v>
      </c>
      <c r="D476" s="282">
        <v>6473</v>
      </c>
      <c r="E476" s="280">
        <v>654080</v>
      </c>
      <c r="F476" s="280">
        <v>335.4</v>
      </c>
      <c r="G476" s="280">
        <v>27</v>
      </c>
      <c r="H476" s="281">
        <v>0</v>
      </c>
      <c r="I476" s="280">
        <v>0</v>
      </c>
    </row>
    <row r="477" spans="1:9" x14ac:dyDescent="0.3">
      <c r="A477" s="326"/>
      <c r="B477" s="326"/>
      <c r="C477" s="282" t="s">
        <v>768</v>
      </c>
      <c r="D477" s="282">
        <v>11374</v>
      </c>
      <c r="E477" s="280">
        <v>726756</v>
      </c>
      <c r="F477" s="280">
        <v>372.7</v>
      </c>
      <c r="G477" s="280">
        <v>30</v>
      </c>
      <c r="H477" s="281">
        <v>0</v>
      </c>
      <c r="I477" s="280">
        <v>0</v>
      </c>
    </row>
    <row r="478" spans="1:9" x14ac:dyDescent="0.3">
      <c r="A478" s="326"/>
      <c r="B478" s="327"/>
      <c r="C478" s="282" t="s">
        <v>767</v>
      </c>
      <c r="D478" s="282">
        <v>11370</v>
      </c>
      <c r="E478" s="280">
        <v>872107</v>
      </c>
      <c r="F478" s="280">
        <v>447.2</v>
      </c>
      <c r="G478" s="280">
        <v>0</v>
      </c>
      <c r="H478" s="281">
        <v>0</v>
      </c>
      <c r="I478" s="280">
        <v>0</v>
      </c>
    </row>
    <row r="479" spans="1:9" x14ac:dyDescent="0.3">
      <c r="A479" s="326"/>
      <c r="B479" s="325" t="s">
        <v>766</v>
      </c>
      <c r="C479" s="282" t="s">
        <v>373</v>
      </c>
      <c r="D479" s="282" t="s">
        <v>373</v>
      </c>
      <c r="E479" s="282" t="s">
        <v>373</v>
      </c>
      <c r="F479" s="282" t="s">
        <v>373</v>
      </c>
      <c r="G479" s="282" t="s">
        <v>373</v>
      </c>
      <c r="H479" s="282" t="s">
        <v>373</v>
      </c>
      <c r="I479" s="282" t="s">
        <v>373</v>
      </c>
    </row>
    <row r="480" spans="1:9" x14ac:dyDescent="0.3">
      <c r="A480" s="326"/>
      <c r="B480" s="326"/>
      <c r="C480" s="282" t="s">
        <v>765</v>
      </c>
      <c r="D480" s="282">
        <v>4894</v>
      </c>
      <c r="E480" s="280">
        <v>119250</v>
      </c>
      <c r="F480" s="280">
        <v>59.62</v>
      </c>
      <c r="G480" s="280">
        <v>4.5999999999999996</v>
      </c>
      <c r="H480" s="281">
        <v>5000</v>
      </c>
      <c r="I480" s="280">
        <v>4.4000000000000004</v>
      </c>
    </row>
    <row r="481" spans="1:9" x14ac:dyDescent="0.3">
      <c r="A481" s="326"/>
      <c r="B481" s="326"/>
      <c r="C481" s="282" t="s">
        <v>764</v>
      </c>
      <c r="D481" s="282">
        <v>4895</v>
      </c>
      <c r="E481" s="280">
        <v>119250</v>
      </c>
      <c r="F481" s="280">
        <v>59.62</v>
      </c>
      <c r="G481" s="280">
        <v>4.8</v>
      </c>
      <c r="H481" s="281">
        <v>4231</v>
      </c>
      <c r="I481" s="280">
        <v>4.4000000000000004</v>
      </c>
    </row>
    <row r="482" spans="1:9" x14ac:dyDescent="0.3">
      <c r="A482" s="326"/>
      <c r="B482" s="326"/>
      <c r="C482" s="282" t="s">
        <v>763</v>
      </c>
      <c r="D482" s="282">
        <v>4896</v>
      </c>
      <c r="E482" s="280">
        <v>119250</v>
      </c>
      <c r="F482" s="280">
        <v>59.62</v>
      </c>
      <c r="G482" s="280">
        <v>5.0999999999999996</v>
      </c>
      <c r="H482" s="281">
        <v>3438</v>
      </c>
      <c r="I482" s="280">
        <v>4.4000000000000004</v>
      </c>
    </row>
    <row r="483" spans="1:9" x14ac:dyDescent="0.3">
      <c r="A483" s="326"/>
      <c r="B483" s="326"/>
      <c r="C483" s="282" t="s">
        <v>762</v>
      </c>
      <c r="D483" s="282">
        <v>7765</v>
      </c>
      <c r="E483" s="280">
        <v>119250</v>
      </c>
      <c r="F483" s="280">
        <v>59.62</v>
      </c>
      <c r="G483" s="280">
        <v>4.7</v>
      </c>
      <c r="H483" s="281">
        <v>6110</v>
      </c>
      <c r="I483" s="280">
        <v>4.4000000000000004</v>
      </c>
    </row>
    <row r="484" spans="1:9" x14ac:dyDescent="0.3">
      <c r="A484" s="326"/>
      <c r="B484" s="326"/>
      <c r="C484" s="282" t="s">
        <v>761</v>
      </c>
      <c r="D484" s="282">
        <v>2604</v>
      </c>
      <c r="E484" s="280">
        <v>54761</v>
      </c>
      <c r="F484" s="280">
        <v>27.38</v>
      </c>
      <c r="G484" s="280">
        <v>3</v>
      </c>
      <c r="H484" s="281">
        <v>1</v>
      </c>
      <c r="I484" s="280">
        <v>3</v>
      </c>
    </row>
    <row r="485" spans="1:9" x14ac:dyDescent="0.3">
      <c r="A485" s="327"/>
      <c r="B485" s="327"/>
      <c r="C485" s="282" t="s">
        <v>760</v>
      </c>
      <c r="D485" s="282">
        <v>4821</v>
      </c>
      <c r="E485" s="280">
        <v>108000</v>
      </c>
      <c r="F485" s="280">
        <v>54</v>
      </c>
      <c r="G485" s="280">
        <v>4.8</v>
      </c>
      <c r="H485" s="281">
        <v>1</v>
      </c>
      <c r="I485" s="280">
        <v>4.4000000000000004</v>
      </c>
    </row>
    <row r="486" spans="1:9" x14ac:dyDescent="0.3">
      <c r="A486" s="325" t="s">
        <v>759</v>
      </c>
      <c r="B486" s="282" t="s">
        <v>373</v>
      </c>
      <c r="C486" s="282" t="s">
        <v>373</v>
      </c>
      <c r="D486" s="282" t="s">
        <v>373</v>
      </c>
      <c r="E486" s="282" t="s">
        <v>373</v>
      </c>
      <c r="F486" s="282" t="s">
        <v>373</v>
      </c>
      <c r="G486" s="282" t="s">
        <v>373</v>
      </c>
      <c r="H486" s="282" t="s">
        <v>373</v>
      </c>
      <c r="I486" s="282" t="s">
        <v>373</v>
      </c>
    </row>
    <row r="487" spans="1:9" x14ac:dyDescent="0.3">
      <c r="A487" s="326"/>
      <c r="B487" s="325" t="s">
        <v>758</v>
      </c>
      <c r="C487" s="282" t="s">
        <v>373</v>
      </c>
      <c r="D487" s="282" t="s">
        <v>373</v>
      </c>
      <c r="E487" s="282" t="s">
        <v>373</v>
      </c>
      <c r="F487" s="282" t="s">
        <v>373</v>
      </c>
      <c r="G487" s="282" t="s">
        <v>373</v>
      </c>
      <c r="H487" s="282" t="s">
        <v>373</v>
      </c>
      <c r="I487" s="282" t="s">
        <v>373</v>
      </c>
    </row>
    <row r="488" spans="1:9" x14ac:dyDescent="0.3">
      <c r="A488" s="326"/>
      <c r="B488" s="327"/>
      <c r="C488" s="282" t="s">
        <v>475</v>
      </c>
      <c r="D488" s="282">
        <v>14333</v>
      </c>
      <c r="E488" s="280">
        <v>153800</v>
      </c>
      <c r="F488" s="280">
        <v>78.900000000000006</v>
      </c>
      <c r="G488" s="280">
        <v>23.6</v>
      </c>
      <c r="H488" s="281">
        <v>0</v>
      </c>
      <c r="I488" s="280">
        <v>0</v>
      </c>
    </row>
    <row r="489" spans="1:9" x14ac:dyDescent="0.3">
      <c r="A489" s="326"/>
      <c r="B489" s="325" t="s">
        <v>757</v>
      </c>
      <c r="C489" s="282" t="s">
        <v>373</v>
      </c>
      <c r="D489" s="282" t="s">
        <v>373</v>
      </c>
      <c r="E489" s="282" t="s">
        <v>373</v>
      </c>
      <c r="F489" s="282" t="s">
        <v>373</v>
      </c>
      <c r="G489" s="282" t="s">
        <v>373</v>
      </c>
      <c r="H489" s="282" t="s">
        <v>373</v>
      </c>
      <c r="I489" s="282" t="s">
        <v>373</v>
      </c>
    </row>
    <row r="490" spans="1:9" x14ac:dyDescent="0.3">
      <c r="A490" s="326"/>
      <c r="B490" s="327"/>
      <c r="C490" s="282" t="s">
        <v>475</v>
      </c>
      <c r="D490" s="282">
        <v>8124</v>
      </c>
      <c r="E490" s="280">
        <v>11050</v>
      </c>
      <c r="F490" s="280">
        <v>5.7</v>
      </c>
      <c r="G490" s="280">
        <v>0.96</v>
      </c>
      <c r="H490" s="281">
        <v>0</v>
      </c>
      <c r="I490" s="280">
        <v>0</v>
      </c>
    </row>
    <row r="491" spans="1:9" x14ac:dyDescent="0.3">
      <c r="A491" s="326"/>
      <c r="B491" s="325" t="s">
        <v>756</v>
      </c>
      <c r="C491" s="282" t="s">
        <v>373</v>
      </c>
      <c r="D491" s="282" t="s">
        <v>373</v>
      </c>
      <c r="E491" s="282" t="s">
        <v>373</v>
      </c>
      <c r="F491" s="282" t="s">
        <v>373</v>
      </c>
      <c r="G491" s="282" t="s">
        <v>373</v>
      </c>
      <c r="H491" s="282" t="s">
        <v>373</v>
      </c>
      <c r="I491" s="282" t="s">
        <v>373</v>
      </c>
    </row>
    <row r="492" spans="1:9" x14ac:dyDescent="0.3">
      <c r="A492" s="326"/>
      <c r="B492" s="326"/>
      <c r="C492" s="282" t="s">
        <v>755</v>
      </c>
      <c r="D492" s="282">
        <v>6654</v>
      </c>
      <c r="E492" s="280">
        <v>126042</v>
      </c>
      <c r="F492" s="280">
        <v>64.599999999999994</v>
      </c>
      <c r="G492" s="280">
        <v>16.399999999999999</v>
      </c>
      <c r="H492" s="281">
        <v>0</v>
      </c>
      <c r="I492" s="280">
        <v>0</v>
      </c>
    </row>
    <row r="493" spans="1:9" x14ac:dyDescent="0.3">
      <c r="A493" s="326"/>
      <c r="B493" s="326"/>
      <c r="C493" s="282" t="s">
        <v>754</v>
      </c>
      <c r="D493" s="282">
        <v>6655</v>
      </c>
      <c r="E493" s="280">
        <v>138392</v>
      </c>
      <c r="F493" s="280">
        <v>69.2</v>
      </c>
      <c r="G493" s="280">
        <v>21.2</v>
      </c>
      <c r="H493" s="281">
        <v>0</v>
      </c>
      <c r="I493" s="280">
        <v>0</v>
      </c>
    </row>
    <row r="494" spans="1:9" x14ac:dyDescent="0.3">
      <c r="A494" s="326"/>
      <c r="B494" s="326"/>
      <c r="C494" s="282" t="s">
        <v>753</v>
      </c>
      <c r="D494" s="282">
        <v>6656</v>
      </c>
      <c r="E494" s="280">
        <v>150625</v>
      </c>
      <c r="F494" s="280">
        <v>75.31</v>
      </c>
      <c r="G494" s="280">
        <v>10</v>
      </c>
      <c r="H494" s="281">
        <v>0</v>
      </c>
      <c r="I494" s="280">
        <v>0</v>
      </c>
    </row>
    <row r="495" spans="1:9" x14ac:dyDescent="0.3">
      <c r="A495" s="326"/>
      <c r="B495" s="326"/>
      <c r="C495" s="282" t="s">
        <v>752</v>
      </c>
      <c r="D495" s="282">
        <v>6651</v>
      </c>
      <c r="E495" s="280">
        <v>80303</v>
      </c>
      <c r="F495" s="280">
        <v>40.15</v>
      </c>
      <c r="G495" s="280">
        <v>9.4</v>
      </c>
      <c r="H495" s="281">
        <v>0</v>
      </c>
      <c r="I495" s="280">
        <v>0</v>
      </c>
    </row>
    <row r="496" spans="1:9" x14ac:dyDescent="0.3">
      <c r="A496" s="326"/>
      <c r="B496" s="326"/>
      <c r="C496" s="282" t="s">
        <v>751</v>
      </c>
      <c r="D496" s="282">
        <v>6652</v>
      </c>
      <c r="E496" s="280">
        <v>101577</v>
      </c>
      <c r="F496" s="280">
        <v>50.79</v>
      </c>
      <c r="G496" s="280">
        <v>10.9</v>
      </c>
      <c r="H496" s="281">
        <v>0</v>
      </c>
      <c r="I496" s="280">
        <v>0</v>
      </c>
    </row>
    <row r="497" spans="1:9" x14ac:dyDescent="0.3">
      <c r="A497" s="326"/>
      <c r="B497" s="326"/>
      <c r="C497" s="282" t="s">
        <v>750</v>
      </c>
      <c r="D497" s="282">
        <v>6653</v>
      </c>
      <c r="E497" s="280">
        <v>113811</v>
      </c>
      <c r="F497" s="280">
        <v>56.91</v>
      </c>
      <c r="G497" s="280">
        <v>14.7</v>
      </c>
      <c r="H497" s="281">
        <v>0</v>
      </c>
      <c r="I497" s="280">
        <v>0</v>
      </c>
    </row>
    <row r="498" spans="1:9" x14ac:dyDescent="0.3">
      <c r="A498" s="327"/>
      <c r="B498" s="327"/>
      <c r="C498" s="282" t="s">
        <v>749</v>
      </c>
      <c r="D498" s="282">
        <v>12651</v>
      </c>
      <c r="E498" s="280">
        <v>0</v>
      </c>
      <c r="F498" s="280">
        <v>0</v>
      </c>
      <c r="G498" s="280">
        <v>10</v>
      </c>
      <c r="H498" s="281">
        <v>0</v>
      </c>
      <c r="I498" s="280">
        <v>0</v>
      </c>
    </row>
    <row r="499" spans="1:9" x14ac:dyDescent="0.3">
      <c r="A499" s="325" t="s">
        <v>748</v>
      </c>
      <c r="B499" s="282" t="s">
        <v>373</v>
      </c>
      <c r="C499" s="282" t="s">
        <v>373</v>
      </c>
      <c r="D499" s="282" t="s">
        <v>373</v>
      </c>
      <c r="E499" s="282" t="s">
        <v>373</v>
      </c>
      <c r="F499" s="282" t="s">
        <v>373</v>
      </c>
      <c r="G499" s="282" t="s">
        <v>373</v>
      </c>
      <c r="H499" s="282" t="s">
        <v>373</v>
      </c>
      <c r="I499" s="282" t="s">
        <v>373</v>
      </c>
    </row>
    <row r="500" spans="1:9" x14ac:dyDescent="0.3">
      <c r="A500" s="326"/>
      <c r="B500" s="325" t="s">
        <v>747</v>
      </c>
      <c r="C500" s="282" t="s">
        <v>373</v>
      </c>
      <c r="D500" s="282" t="s">
        <v>373</v>
      </c>
      <c r="E500" s="282" t="s">
        <v>373</v>
      </c>
      <c r="F500" s="282" t="s">
        <v>373</v>
      </c>
      <c r="G500" s="282" t="s">
        <v>373</v>
      </c>
      <c r="H500" s="282" t="s">
        <v>373</v>
      </c>
      <c r="I500" s="282" t="s">
        <v>373</v>
      </c>
    </row>
    <row r="501" spans="1:9" ht="20.399999999999999" x14ac:dyDescent="0.3">
      <c r="A501" s="326"/>
      <c r="B501" s="326"/>
      <c r="C501" s="282" t="s">
        <v>746</v>
      </c>
      <c r="D501" s="282">
        <v>23093</v>
      </c>
      <c r="E501" s="280">
        <v>35070</v>
      </c>
      <c r="F501" s="280">
        <v>17.98</v>
      </c>
      <c r="G501" s="280">
        <v>0</v>
      </c>
      <c r="H501" s="281">
        <v>0</v>
      </c>
      <c r="I501" s="280">
        <v>0</v>
      </c>
    </row>
    <row r="502" spans="1:9" x14ac:dyDescent="0.3">
      <c r="A502" s="326"/>
      <c r="B502" s="326"/>
      <c r="C502" s="282" t="s">
        <v>745</v>
      </c>
      <c r="D502" s="282">
        <v>25664</v>
      </c>
      <c r="E502" s="280">
        <v>14200</v>
      </c>
      <c r="F502" s="280">
        <v>7.3</v>
      </c>
      <c r="G502" s="280">
        <v>0</v>
      </c>
      <c r="H502" s="281">
        <v>0</v>
      </c>
      <c r="I502" s="280">
        <v>0</v>
      </c>
    </row>
    <row r="503" spans="1:9" ht="20.399999999999999" x14ac:dyDescent="0.3">
      <c r="A503" s="326"/>
      <c r="B503" s="326"/>
      <c r="C503" s="282" t="s">
        <v>744</v>
      </c>
      <c r="D503" s="282">
        <v>24677</v>
      </c>
      <c r="E503" s="280">
        <v>0</v>
      </c>
      <c r="F503" s="280">
        <v>0</v>
      </c>
      <c r="G503" s="280">
        <v>0</v>
      </c>
      <c r="H503" s="281">
        <v>0</v>
      </c>
      <c r="I503" s="280">
        <v>0</v>
      </c>
    </row>
    <row r="504" spans="1:9" x14ac:dyDescent="0.3">
      <c r="A504" s="326"/>
      <c r="B504" s="326"/>
      <c r="C504" s="282" t="s">
        <v>743</v>
      </c>
      <c r="D504" s="282">
        <v>23998</v>
      </c>
      <c r="E504" s="280">
        <v>23000</v>
      </c>
      <c r="F504" s="280">
        <v>11.8</v>
      </c>
      <c r="G504" s="280">
        <v>0</v>
      </c>
      <c r="H504" s="281">
        <v>0</v>
      </c>
      <c r="I504" s="280">
        <v>0</v>
      </c>
    </row>
    <row r="505" spans="1:9" x14ac:dyDescent="0.3">
      <c r="A505" s="326"/>
      <c r="B505" s="326"/>
      <c r="C505" s="282" t="s">
        <v>742</v>
      </c>
      <c r="D505" s="282">
        <v>24675</v>
      </c>
      <c r="E505" s="280">
        <v>0</v>
      </c>
      <c r="F505" s="280">
        <v>0</v>
      </c>
      <c r="G505" s="280">
        <v>0</v>
      </c>
      <c r="H505" s="281">
        <v>0</v>
      </c>
      <c r="I505" s="280">
        <v>0</v>
      </c>
    </row>
    <row r="506" spans="1:9" x14ac:dyDescent="0.3">
      <c r="A506" s="326"/>
      <c r="B506" s="326"/>
      <c r="C506" s="282" t="s">
        <v>741</v>
      </c>
      <c r="D506" s="282">
        <v>27479</v>
      </c>
      <c r="E506" s="280">
        <v>179000</v>
      </c>
      <c r="F506" s="280">
        <v>91.8</v>
      </c>
      <c r="G506" s="280">
        <v>0</v>
      </c>
      <c r="H506" s="281">
        <v>0</v>
      </c>
      <c r="I506" s="280">
        <v>0</v>
      </c>
    </row>
    <row r="507" spans="1:9" x14ac:dyDescent="0.3">
      <c r="A507" s="326"/>
      <c r="B507" s="326"/>
      <c r="C507" s="282" t="s">
        <v>740</v>
      </c>
      <c r="D507" s="282">
        <v>25512</v>
      </c>
      <c r="E507" s="280">
        <v>10300</v>
      </c>
      <c r="F507" s="280">
        <v>5.3</v>
      </c>
      <c r="G507" s="280">
        <v>0</v>
      </c>
      <c r="H507" s="281">
        <v>0</v>
      </c>
      <c r="I507" s="280">
        <v>0</v>
      </c>
    </row>
    <row r="508" spans="1:9" x14ac:dyDescent="0.3">
      <c r="A508" s="326"/>
      <c r="B508" s="326"/>
      <c r="C508" s="282" t="s">
        <v>739</v>
      </c>
      <c r="D508" s="282">
        <v>15848</v>
      </c>
      <c r="E508" s="280">
        <v>28111</v>
      </c>
      <c r="F508" s="280">
        <v>14.06</v>
      </c>
      <c r="G508" s="280">
        <v>0.97680999999999996</v>
      </c>
      <c r="H508" s="281">
        <v>0</v>
      </c>
      <c r="I508" s="280">
        <v>0</v>
      </c>
    </row>
    <row r="509" spans="1:9" x14ac:dyDescent="0.3">
      <c r="A509" s="326"/>
      <c r="B509" s="326"/>
      <c r="C509" s="282" t="s">
        <v>738</v>
      </c>
      <c r="D509" s="282">
        <v>23097</v>
      </c>
      <c r="E509" s="280">
        <v>0</v>
      </c>
      <c r="F509" s="280">
        <v>0</v>
      </c>
      <c r="G509" s="280">
        <v>0</v>
      </c>
      <c r="H509" s="281">
        <v>0</v>
      </c>
      <c r="I509" s="280">
        <v>0</v>
      </c>
    </row>
    <row r="510" spans="1:9" x14ac:dyDescent="0.3">
      <c r="A510" s="326"/>
      <c r="B510" s="326"/>
      <c r="C510" s="282" t="s">
        <v>737</v>
      </c>
      <c r="D510" s="282">
        <v>25634</v>
      </c>
      <c r="E510" s="280">
        <v>148000</v>
      </c>
      <c r="F510" s="280">
        <v>75.900000000000006</v>
      </c>
      <c r="G510" s="280">
        <v>0</v>
      </c>
      <c r="H510" s="281">
        <v>0</v>
      </c>
      <c r="I510" s="280">
        <v>0</v>
      </c>
    </row>
    <row r="511" spans="1:9" x14ac:dyDescent="0.3">
      <c r="A511" s="326"/>
      <c r="B511" s="326"/>
      <c r="C511" s="282" t="s">
        <v>736</v>
      </c>
      <c r="D511" s="282">
        <v>22421</v>
      </c>
      <c r="E511" s="280">
        <v>14200</v>
      </c>
      <c r="F511" s="280">
        <v>7.3</v>
      </c>
      <c r="G511" s="280">
        <v>0</v>
      </c>
      <c r="H511" s="281">
        <v>0</v>
      </c>
      <c r="I511" s="282"/>
    </row>
    <row r="512" spans="1:9" x14ac:dyDescent="0.3">
      <c r="A512" s="326"/>
      <c r="B512" s="326"/>
      <c r="C512" s="282" t="s">
        <v>735</v>
      </c>
      <c r="D512" s="282">
        <v>24676</v>
      </c>
      <c r="E512" s="280">
        <v>0</v>
      </c>
      <c r="F512" s="280">
        <v>0</v>
      </c>
      <c r="G512" s="280">
        <v>0</v>
      </c>
      <c r="H512" s="281">
        <v>0</v>
      </c>
      <c r="I512" s="280">
        <v>0</v>
      </c>
    </row>
    <row r="513" spans="1:9" x14ac:dyDescent="0.3">
      <c r="A513" s="326"/>
      <c r="B513" s="326"/>
      <c r="C513" s="282" t="s">
        <v>734</v>
      </c>
      <c r="D513" s="282">
        <v>24674</v>
      </c>
      <c r="E513" s="280">
        <v>0</v>
      </c>
      <c r="F513" s="280">
        <v>0</v>
      </c>
      <c r="G513" s="280">
        <v>0</v>
      </c>
      <c r="H513" s="281">
        <v>0</v>
      </c>
      <c r="I513" s="280">
        <v>0</v>
      </c>
    </row>
    <row r="514" spans="1:9" ht="20.399999999999999" x14ac:dyDescent="0.3">
      <c r="A514" s="326"/>
      <c r="B514" s="326"/>
      <c r="C514" s="282" t="s">
        <v>733</v>
      </c>
      <c r="D514" s="282">
        <v>23098</v>
      </c>
      <c r="E514" s="280">
        <v>122309</v>
      </c>
      <c r="F514" s="280">
        <v>62.7</v>
      </c>
      <c r="G514" s="280">
        <v>0</v>
      </c>
      <c r="H514" s="281">
        <v>0</v>
      </c>
      <c r="I514" s="280">
        <v>0</v>
      </c>
    </row>
    <row r="515" spans="1:9" ht="20.399999999999999" x14ac:dyDescent="0.3">
      <c r="A515" s="326"/>
      <c r="B515" s="326"/>
      <c r="C515" s="282" t="s">
        <v>732</v>
      </c>
      <c r="D515" s="282">
        <v>25667</v>
      </c>
      <c r="E515" s="280">
        <v>18000</v>
      </c>
      <c r="F515" s="280">
        <v>5.5</v>
      </c>
      <c r="G515" s="280">
        <v>0</v>
      </c>
      <c r="H515" s="281">
        <v>0</v>
      </c>
      <c r="I515" s="280">
        <v>0</v>
      </c>
    </row>
    <row r="516" spans="1:9" x14ac:dyDescent="0.3">
      <c r="A516" s="326"/>
      <c r="B516" s="326"/>
      <c r="C516" s="282" t="s">
        <v>731</v>
      </c>
      <c r="D516" s="282">
        <v>23068</v>
      </c>
      <c r="E516" s="280">
        <v>309500</v>
      </c>
      <c r="F516" s="280">
        <v>158.69999999999999</v>
      </c>
      <c r="G516" s="280">
        <v>0</v>
      </c>
      <c r="H516" s="281">
        <v>0</v>
      </c>
      <c r="I516" s="280">
        <v>0</v>
      </c>
    </row>
    <row r="517" spans="1:9" x14ac:dyDescent="0.3">
      <c r="A517" s="326"/>
      <c r="B517" s="326"/>
      <c r="C517" s="282" t="s">
        <v>730</v>
      </c>
      <c r="D517" s="282">
        <v>24885</v>
      </c>
      <c r="E517" s="280">
        <v>57360</v>
      </c>
      <c r="F517" s="280">
        <v>29.4</v>
      </c>
      <c r="G517" s="280">
        <v>0</v>
      </c>
      <c r="H517" s="281">
        <v>0</v>
      </c>
      <c r="I517" s="280">
        <v>0</v>
      </c>
    </row>
    <row r="518" spans="1:9" x14ac:dyDescent="0.3">
      <c r="A518" s="326"/>
      <c r="B518" s="326"/>
      <c r="C518" s="282" t="s">
        <v>729</v>
      </c>
      <c r="D518" s="282">
        <v>23371</v>
      </c>
      <c r="E518" s="280">
        <v>196060</v>
      </c>
      <c r="F518" s="280">
        <v>100.5</v>
      </c>
      <c r="G518" s="280">
        <v>0</v>
      </c>
      <c r="H518" s="281">
        <v>0</v>
      </c>
      <c r="I518" s="280">
        <v>0</v>
      </c>
    </row>
    <row r="519" spans="1:9" x14ac:dyDescent="0.3">
      <c r="A519" s="326"/>
      <c r="B519" s="326"/>
      <c r="C519" s="282" t="s">
        <v>728</v>
      </c>
      <c r="D519" s="282">
        <v>22418</v>
      </c>
      <c r="E519" s="280">
        <v>9550</v>
      </c>
      <c r="F519" s="280">
        <v>4.9000000000000004</v>
      </c>
      <c r="G519" s="280">
        <v>0</v>
      </c>
      <c r="H519" s="281">
        <v>0</v>
      </c>
      <c r="I519" s="282"/>
    </row>
    <row r="520" spans="1:9" x14ac:dyDescent="0.3">
      <c r="A520" s="327"/>
      <c r="B520" s="327"/>
      <c r="C520" s="282" t="s">
        <v>727</v>
      </c>
      <c r="D520" s="282">
        <v>21901</v>
      </c>
      <c r="E520" s="280">
        <v>13500</v>
      </c>
      <c r="F520" s="280">
        <v>6.9</v>
      </c>
      <c r="G520" s="280">
        <v>0</v>
      </c>
      <c r="H520" s="282"/>
      <c r="I520" s="282"/>
    </row>
    <row r="521" spans="1:9" x14ac:dyDescent="0.3">
      <c r="A521" s="325" t="s">
        <v>726</v>
      </c>
      <c r="B521" s="282" t="s">
        <v>373</v>
      </c>
      <c r="C521" s="282" t="s">
        <v>373</v>
      </c>
      <c r="D521" s="282" t="s">
        <v>373</v>
      </c>
      <c r="E521" s="282" t="s">
        <v>373</v>
      </c>
      <c r="F521" s="282" t="s">
        <v>373</v>
      </c>
      <c r="G521" s="282" t="s">
        <v>373</v>
      </c>
      <c r="H521" s="282" t="s">
        <v>373</v>
      </c>
      <c r="I521" s="282" t="s">
        <v>373</v>
      </c>
    </row>
    <row r="522" spans="1:9" x14ac:dyDescent="0.3">
      <c r="A522" s="326"/>
      <c r="B522" s="325" t="s">
        <v>725</v>
      </c>
      <c r="C522" s="282" t="s">
        <v>373</v>
      </c>
      <c r="D522" s="282" t="s">
        <v>373</v>
      </c>
      <c r="E522" s="282" t="s">
        <v>373</v>
      </c>
      <c r="F522" s="282" t="s">
        <v>373</v>
      </c>
      <c r="G522" s="282" t="s">
        <v>373</v>
      </c>
      <c r="H522" s="282" t="s">
        <v>373</v>
      </c>
      <c r="I522" s="282" t="s">
        <v>373</v>
      </c>
    </row>
    <row r="523" spans="1:9" x14ac:dyDescent="0.3">
      <c r="A523" s="326"/>
      <c r="B523" s="326"/>
      <c r="C523" s="282" t="s">
        <v>724</v>
      </c>
      <c r="D523" s="282">
        <v>24176</v>
      </c>
      <c r="E523" s="280">
        <v>121650</v>
      </c>
      <c r="F523" s="280">
        <v>62.4</v>
      </c>
      <c r="G523" s="280">
        <v>24.4</v>
      </c>
      <c r="H523" s="281">
        <v>0</v>
      </c>
      <c r="I523" s="280">
        <v>0</v>
      </c>
    </row>
    <row r="524" spans="1:9" x14ac:dyDescent="0.3">
      <c r="A524" s="326"/>
      <c r="B524" s="327"/>
      <c r="C524" s="282" t="s">
        <v>723</v>
      </c>
      <c r="D524" s="282">
        <v>6409</v>
      </c>
      <c r="E524" s="280">
        <v>205400</v>
      </c>
      <c r="F524" s="280">
        <v>105.3</v>
      </c>
      <c r="G524" s="280">
        <v>24.96</v>
      </c>
      <c r="H524" s="281">
        <v>0</v>
      </c>
      <c r="I524" s="280">
        <v>0</v>
      </c>
    </row>
    <row r="525" spans="1:9" x14ac:dyDescent="0.3">
      <c r="A525" s="326"/>
      <c r="B525" s="325" t="s">
        <v>722</v>
      </c>
      <c r="C525" s="282" t="s">
        <v>373</v>
      </c>
      <c r="D525" s="282" t="s">
        <v>373</v>
      </c>
      <c r="E525" s="282" t="s">
        <v>373</v>
      </c>
      <c r="F525" s="282" t="s">
        <v>373</v>
      </c>
      <c r="G525" s="282" t="s">
        <v>373</v>
      </c>
      <c r="H525" s="282" t="s">
        <v>373</v>
      </c>
      <c r="I525" s="282" t="s">
        <v>373</v>
      </c>
    </row>
    <row r="526" spans="1:9" x14ac:dyDescent="0.3">
      <c r="A526" s="326"/>
      <c r="B526" s="326"/>
      <c r="C526" s="282" t="s">
        <v>721</v>
      </c>
      <c r="D526" s="282">
        <v>1346</v>
      </c>
      <c r="E526" s="280">
        <v>17500</v>
      </c>
      <c r="F526" s="280">
        <v>9</v>
      </c>
      <c r="G526" s="280">
        <v>0.35</v>
      </c>
      <c r="H526" s="281">
        <v>1</v>
      </c>
      <c r="I526" s="280">
        <v>0.4</v>
      </c>
    </row>
    <row r="527" spans="1:9" x14ac:dyDescent="0.3">
      <c r="A527" s="326"/>
      <c r="B527" s="326"/>
      <c r="C527" s="282" t="s">
        <v>720</v>
      </c>
      <c r="D527" s="282">
        <v>1347</v>
      </c>
      <c r="E527" s="280">
        <v>11123</v>
      </c>
      <c r="F527" s="280">
        <v>6.18</v>
      </c>
      <c r="G527" s="280">
        <v>0.15</v>
      </c>
      <c r="H527" s="281">
        <v>1</v>
      </c>
      <c r="I527" s="280">
        <v>0.2</v>
      </c>
    </row>
    <row r="528" spans="1:9" x14ac:dyDescent="0.3">
      <c r="A528" s="326"/>
      <c r="B528" s="326"/>
      <c r="C528" s="282" t="s">
        <v>719</v>
      </c>
      <c r="D528" s="282">
        <v>144</v>
      </c>
      <c r="E528" s="280">
        <v>6992</v>
      </c>
      <c r="F528" s="280">
        <v>3.84</v>
      </c>
      <c r="G528" s="280">
        <v>0.15</v>
      </c>
      <c r="H528" s="281">
        <v>1</v>
      </c>
      <c r="I528" s="280">
        <v>0.1</v>
      </c>
    </row>
    <row r="529" spans="1:9" x14ac:dyDescent="0.3">
      <c r="A529" s="326"/>
      <c r="B529" s="326"/>
      <c r="C529" s="282" t="s">
        <v>718</v>
      </c>
      <c r="D529" s="282">
        <v>18232</v>
      </c>
      <c r="E529" s="280">
        <v>15600</v>
      </c>
      <c r="F529" s="280">
        <v>8</v>
      </c>
      <c r="G529" s="280">
        <v>0</v>
      </c>
      <c r="H529" s="281">
        <v>0</v>
      </c>
      <c r="I529" s="280">
        <v>0</v>
      </c>
    </row>
    <row r="530" spans="1:9" x14ac:dyDescent="0.3">
      <c r="A530" s="326"/>
      <c r="B530" s="327"/>
      <c r="C530" s="282" t="s">
        <v>717</v>
      </c>
      <c r="D530" s="282">
        <v>16936</v>
      </c>
      <c r="E530" s="280">
        <v>7800</v>
      </c>
      <c r="F530" s="280">
        <v>4</v>
      </c>
      <c r="G530" s="280">
        <v>0</v>
      </c>
      <c r="H530" s="281">
        <v>0</v>
      </c>
      <c r="I530" s="280">
        <v>0</v>
      </c>
    </row>
    <row r="531" spans="1:9" x14ac:dyDescent="0.3">
      <c r="A531" s="326"/>
      <c r="B531" s="325" t="s">
        <v>716</v>
      </c>
      <c r="C531" s="282" t="s">
        <v>373</v>
      </c>
      <c r="D531" s="282" t="s">
        <v>373</v>
      </c>
      <c r="E531" s="282" t="s">
        <v>373</v>
      </c>
      <c r="F531" s="282" t="s">
        <v>373</v>
      </c>
      <c r="G531" s="282" t="s">
        <v>373</v>
      </c>
      <c r="H531" s="282" t="s">
        <v>373</v>
      </c>
      <c r="I531" s="282" t="s">
        <v>373</v>
      </c>
    </row>
    <row r="532" spans="1:9" x14ac:dyDescent="0.3">
      <c r="A532" s="327"/>
      <c r="B532" s="327"/>
      <c r="C532" s="282" t="s">
        <v>475</v>
      </c>
      <c r="D532" s="282">
        <v>6559</v>
      </c>
      <c r="E532" s="280">
        <v>17400</v>
      </c>
      <c r="F532" s="280">
        <v>8.9</v>
      </c>
      <c r="G532" s="280">
        <v>0.6</v>
      </c>
      <c r="H532" s="281">
        <v>1</v>
      </c>
      <c r="I532" s="280">
        <v>0.6</v>
      </c>
    </row>
    <row r="533" spans="1:9" x14ac:dyDescent="0.3">
      <c r="A533" s="325" t="s">
        <v>715</v>
      </c>
      <c r="B533" s="282" t="s">
        <v>373</v>
      </c>
      <c r="C533" s="282" t="s">
        <v>373</v>
      </c>
      <c r="D533" s="282" t="s">
        <v>373</v>
      </c>
      <c r="E533" s="282" t="s">
        <v>373</v>
      </c>
      <c r="F533" s="282" t="s">
        <v>373</v>
      </c>
      <c r="G533" s="282" t="s">
        <v>373</v>
      </c>
      <c r="H533" s="282" t="s">
        <v>373</v>
      </c>
      <c r="I533" s="282" t="s">
        <v>373</v>
      </c>
    </row>
    <row r="534" spans="1:9" x14ac:dyDescent="0.3">
      <c r="A534" s="326"/>
      <c r="B534" s="325" t="s">
        <v>714</v>
      </c>
      <c r="C534" s="282" t="s">
        <v>373</v>
      </c>
      <c r="D534" s="282" t="s">
        <v>373</v>
      </c>
      <c r="E534" s="282" t="s">
        <v>373</v>
      </c>
      <c r="F534" s="282" t="s">
        <v>373</v>
      </c>
      <c r="G534" s="282" t="s">
        <v>373</v>
      </c>
      <c r="H534" s="282" t="s">
        <v>373</v>
      </c>
      <c r="I534" s="282" t="s">
        <v>373</v>
      </c>
    </row>
    <row r="535" spans="1:9" x14ac:dyDescent="0.3">
      <c r="A535" s="326"/>
      <c r="B535" s="326"/>
      <c r="C535" s="282" t="s">
        <v>713</v>
      </c>
      <c r="D535" s="282">
        <v>1162</v>
      </c>
      <c r="E535" s="280">
        <v>31679</v>
      </c>
      <c r="F535" s="280">
        <v>15.84</v>
      </c>
      <c r="G535" s="280">
        <v>7.2</v>
      </c>
      <c r="H535" s="281">
        <v>0</v>
      </c>
      <c r="I535" s="280">
        <v>0</v>
      </c>
    </row>
    <row r="536" spans="1:9" x14ac:dyDescent="0.3">
      <c r="A536" s="326"/>
      <c r="B536" s="326"/>
      <c r="C536" s="282" t="s">
        <v>712</v>
      </c>
      <c r="D536" s="282">
        <v>1163</v>
      </c>
      <c r="E536" s="280">
        <v>41595</v>
      </c>
      <c r="F536" s="280">
        <v>20.8</v>
      </c>
      <c r="G536" s="280">
        <v>9.6</v>
      </c>
      <c r="H536" s="281">
        <v>0</v>
      </c>
      <c r="I536" s="280">
        <v>0</v>
      </c>
    </row>
    <row r="537" spans="1:9" x14ac:dyDescent="0.3">
      <c r="A537" s="326"/>
      <c r="B537" s="326"/>
      <c r="C537" s="282" t="s">
        <v>711</v>
      </c>
      <c r="D537" s="282">
        <v>1164</v>
      </c>
      <c r="E537" s="280">
        <v>0</v>
      </c>
      <c r="F537" s="280">
        <v>0</v>
      </c>
      <c r="G537" s="280">
        <v>0</v>
      </c>
      <c r="H537" s="281">
        <v>0</v>
      </c>
      <c r="I537" s="280">
        <v>0</v>
      </c>
    </row>
    <row r="538" spans="1:9" x14ac:dyDescent="0.3">
      <c r="A538" s="326"/>
      <c r="B538" s="326"/>
      <c r="C538" s="282" t="s">
        <v>710</v>
      </c>
      <c r="D538" s="282">
        <v>4797</v>
      </c>
      <c r="E538" s="280">
        <v>82400</v>
      </c>
      <c r="F538" s="280">
        <v>42.3</v>
      </c>
      <c r="G538" s="280">
        <v>0.95</v>
      </c>
      <c r="H538" s="281">
        <v>0</v>
      </c>
      <c r="I538" s="280">
        <v>0</v>
      </c>
    </row>
    <row r="539" spans="1:9" ht="20.399999999999999" x14ac:dyDescent="0.3">
      <c r="A539" s="326"/>
      <c r="B539" s="326"/>
      <c r="C539" s="282" t="s">
        <v>709</v>
      </c>
      <c r="D539" s="282">
        <v>17613</v>
      </c>
      <c r="E539" s="280">
        <v>119776</v>
      </c>
      <c r="F539" s="280">
        <v>61.4</v>
      </c>
      <c r="G539" s="280">
        <v>35.200000000000003</v>
      </c>
      <c r="H539" s="281">
        <v>0</v>
      </c>
      <c r="I539" s="280">
        <v>0</v>
      </c>
    </row>
    <row r="540" spans="1:9" x14ac:dyDescent="0.3">
      <c r="A540" s="326"/>
      <c r="B540" s="326"/>
      <c r="C540" s="282" t="s">
        <v>708</v>
      </c>
      <c r="D540" s="282">
        <v>7926</v>
      </c>
      <c r="E540" s="280">
        <v>118690</v>
      </c>
      <c r="F540" s="280">
        <v>60.9</v>
      </c>
      <c r="G540" s="280">
        <v>0</v>
      </c>
      <c r="H540" s="281">
        <v>0</v>
      </c>
      <c r="I540" s="280">
        <v>0</v>
      </c>
    </row>
    <row r="541" spans="1:9" x14ac:dyDescent="0.3">
      <c r="A541" s="326"/>
      <c r="B541" s="326"/>
      <c r="C541" s="282" t="s">
        <v>707</v>
      </c>
      <c r="D541" s="282">
        <v>18701</v>
      </c>
      <c r="E541" s="280">
        <v>1</v>
      </c>
      <c r="F541" s="280">
        <v>1</v>
      </c>
      <c r="G541" s="280">
        <v>0</v>
      </c>
      <c r="H541" s="281">
        <v>0</v>
      </c>
      <c r="I541" s="280">
        <v>0</v>
      </c>
    </row>
    <row r="542" spans="1:9" x14ac:dyDescent="0.3">
      <c r="A542" s="326"/>
      <c r="B542" s="326"/>
      <c r="C542" s="282" t="s">
        <v>706</v>
      </c>
      <c r="D542" s="282">
        <v>21866</v>
      </c>
      <c r="E542" s="280">
        <v>27050</v>
      </c>
      <c r="F542" s="280">
        <v>13.87</v>
      </c>
      <c r="G542" s="280">
        <v>0</v>
      </c>
      <c r="H542" s="281">
        <v>0</v>
      </c>
      <c r="I542" s="280">
        <v>0</v>
      </c>
    </row>
    <row r="543" spans="1:9" x14ac:dyDescent="0.3">
      <c r="A543" s="326"/>
      <c r="B543" s="326"/>
      <c r="C543" s="282" t="s">
        <v>705</v>
      </c>
      <c r="D543" s="282">
        <v>14252</v>
      </c>
      <c r="E543" s="280">
        <v>20893</v>
      </c>
      <c r="F543" s="280">
        <v>10.44</v>
      </c>
      <c r="G543" s="280">
        <v>5.66</v>
      </c>
      <c r="H543" s="281">
        <v>0</v>
      </c>
      <c r="I543" s="280">
        <v>0</v>
      </c>
    </row>
    <row r="544" spans="1:9" x14ac:dyDescent="0.3">
      <c r="A544" s="326"/>
      <c r="B544" s="326"/>
      <c r="C544" s="282" t="s">
        <v>704</v>
      </c>
      <c r="D544" s="282">
        <v>6521</v>
      </c>
      <c r="E544" s="280">
        <v>22011</v>
      </c>
      <c r="F544" s="280">
        <v>10.48</v>
      </c>
      <c r="G544" s="280">
        <v>0</v>
      </c>
      <c r="H544" s="281">
        <v>0</v>
      </c>
      <c r="I544" s="280">
        <v>0</v>
      </c>
    </row>
    <row r="545" spans="1:9" x14ac:dyDescent="0.3">
      <c r="A545" s="326"/>
      <c r="B545" s="326"/>
      <c r="C545" s="282" t="s">
        <v>703</v>
      </c>
      <c r="D545" s="282">
        <v>3626</v>
      </c>
      <c r="E545" s="280">
        <v>16286</v>
      </c>
      <c r="F545" s="280">
        <v>7.76</v>
      </c>
      <c r="G545" s="280">
        <v>0</v>
      </c>
      <c r="H545" s="281">
        <v>0</v>
      </c>
      <c r="I545" s="280">
        <v>0</v>
      </c>
    </row>
    <row r="546" spans="1:9" x14ac:dyDescent="0.3">
      <c r="A546" s="326"/>
      <c r="B546" s="326"/>
      <c r="C546" s="282" t="s">
        <v>702</v>
      </c>
      <c r="D546" s="282">
        <v>23491</v>
      </c>
      <c r="E546" s="280">
        <v>95400</v>
      </c>
      <c r="F546" s="280">
        <v>48.9</v>
      </c>
      <c r="G546" s="280">
        <v>0</v>
      </c>
      <c r="H546" s="281">
        <v>0</v>
      </c>
      <c r="I546" s="280">
        <v>0</v>
      </c>
    </row>
    <row r="547" spans="1:9" x14ac:dyDescent="0.3">
      <c r="A547" s="326"/>
      <c r="B547" s="326"/>
      <c r="C547" s="282" t="s">
        <v>701</v>
      </c>
      <c r="D547" s="282">
        <v>6856</v>
      </c>
      <c r="E547" s="280">
        <v>4750</v>
      </c>
      <c r="F547" s="280">
        <v>2.4</v>
      </c>
      <c r="G547" s="280">
        <v>2.4E-2</v>
      </c>
      <c r="H547" s="281">
        <v>0</v>
      </c>
      <c r="I547" s="280">
        <v>0</v>
      </c>
    </row>
    <row r="548" spans="1:9" x14ac:dyDescent="0.3">
      <c r="A548" s="326"/>
      <c r="B548" s="326"/>
      <c r="C548" s="282" t="s">
        <v>700</v>
      </c>
      <c r="D548" s="282">
        <v>25676</v>
      </c>
      <c r="E548" s="280">
        <v>6050</v>
      </c>
      <c r="F548" s="280">
        <v>3.1</v>
      </c>
      <c r="G548" s="280">
        <v>1.2</v>
      </c>
      <c r="H548" s="281">
        <v>0</v>
      </c>
      <c r="I548" s="280">
        <v>0</v>
      </c>
    </row>
    <row r="549" spans="1:9" x14ac:dyDescent="0.3">
      <c r="A549" s="326"/>
      <c r="B549" s="327"/>
      <c r="C549" s="282" t="s">
        <v>699</v>
      </c>
      <c r="D549" s="282">
        <v>4332</v>
      </c>
      <c r="E549" s="280">
        <v>9050</v>
      </c>
      <c r="F549" s="280">
        <v>4.5999999999999996</v>
      </c>
      <c r="G549" s="280">
        <v>0.40500000000000003</v>
      </c>
      <c r="H549" s="281">
        <v>0</v>
      </c>
      <c r="I549" s="280">
        <v>0</v>
      </c>
    </row>
    <row r="550" spans="1:9" x14ac:dyDescent="0.3">
      <c r="A550" s="326"/>
      <c r="B550" s="325" t="s">
        <v>698</v>
      </c>
      <c r="C550" s="282" t="s">
        <v>373</v>
      </c>
      <c r="D550" s="282" t="s">
        <v>373</v>
      </c>
      <c r="E550" s="282" t="s">
        <v>373</v>
      </c>
      <c r="F550" s="282" t="s">
        <v>373</v>
      </c>
      <c r="G550" s="282" t="s">
        <v>373</v>
      </c>
      <c r="H550" s="282" t="s">
        <v>373</v>
      </c>
      <c r="I550" s="282" t="s">
        <v>373</v>
      </c>
    </row>
    <row r="551" spans="1:9" x14ac:dyDescent="0.3">
      <c r="A551" s="326"/>
      <c r="B551" s="326"/>
      <c r="C551" s="282" t="s">
        <v>697</v>
      </c>
      <c r="D551" s="282">
        <v>6441</v>
      </c>
      <c r="E551" s="280">
        <v>158513</v>
      </c>
      <c r="F551" s="280">
        <v>79.3</v>
      </c>
      <c r="G551" s="280">
        <v>10.7799</v>
      </c>
      <c r="H551" s="281">
        <v>0</v>
      </c>
      <c r="I551" s="280">
        <v>1</v>
      </c>
    </row>
    <row r="552" spans="1:9" ht="20.399999999999999" x14ac:dyDescent="0.3">
      <c r="A552" s="326"/>
      <c r="B552" s="326"/>
      <c r="C552" s="282" t="s">
        <v>696</v>
      </c>
      <c r="D552" s="282">
        <v>1349</v>
      </c>
      <c r="E552" s="280">
        <v>108057</v>
      </c>
      <c r="F552" s="280">
        <v>54</v>
      </c>
      <c r="G552" s="280">
        <v>7.45</v>
      </c>
      <c r="H552" s="281">
        <v>0</v>
      </c>
      <c r="I552" s="280">
        <v>1</v>
      </c>
    </row>
    <row r="553" spans="1:9" x14ac:dyDescent="0.3">
      <c r="A553" s="326"/>
      <c r="B553" s="326"/>
      <c r="C553" s="282" t="s">
        <v>695</v>
      </c>
      <c r="D553" s="282">
        <v>28576</v>
      </c>
      <c r="E553" s="280">
        <v>932</v>
      </c>
      <c r="F553" s="280">
        <v>0.5</v>
      </c>
      <c r="G553" s="280">
        <v>5.8000000000000003E-2</v>
      </c>
      <c r="H553" s="281">
        <v>0</v>
      </c>
      <c r="I553" s="280">
        <v>0</v>
      </c>
    </row>
    <row r="554" spans="1:9" x14ac:dyDescent="0.3">
      <c r="A554" s="326"/>
      <c r="B554" s="326"/>
      <c r="C554" s="282" t="s">
        <v>694</v>
      </c>
      <c r="D554" s="282">
        <v>1042</v>
      </c>
      <c r="E554" s="280">
        <v>48000</v>
      </c>
      <c r="F554" s="280">
        <v>24.6</v>
      </c>
      <c r="G554" s="280">
        <v>6.9000000000000006E-2</v>
      </c>
      <c r="H554" s="281">
        <v>0</v>
      </c>
      <c r="I554" s="280">
        <v>0</v>
      </c>
    </row>
    <row r="555" spans="1:9" x14ac:dyDescent="0.3">
      <c r="A555" s="326"/>
      <c r="B555" s="326"/>
      <c r="C555" s="282" t="s">
        <v>693</v>
      </c>
      <c r="D555" s="282">
        <v>21686</v>
      </c>
      <c r="E555" s="280">
        <v>48000</v>
      </c>
      <c r="F555" s="280">
        <v>24.6</v>
      </c>
      <c r="G555" s="280">
        <v>0</v>
      </c>
      <c r="H555" s="281">
        <v>0</v>
      </c>
      <c r="I555" s="280">
        <v>0</v>
      </c>
    </row>
    <row r="556" spans="1:9" x14ac:dyDescent="0.3">
      <c r="A556" s="326"/>
      <c r="B556" s="326"/>
      <c r="C556" s="282" t="s">
        <v>692</v>
      </c>
      <c r="D556" s="282">
        <v>20272</v>
      </c>
      <c r="E556" s="280">
        <v>131380</v>
      </c>
      <c r="F556" s="280">
        <v>65.7</v>
      </c>
      <c r="G556" s="280">
        <v>8.8000000000000007</v>
      </c>
      <c r="H556" s="281">
        <v>0</v>
      </c>
      <c r="I556" s="280">
        <v>0</v>
      </c>
    </row>
    <row r="557" spans="1:9" x14ac:dyDescent="0.3">
      <c r="A557" s="326"/>
      <c r="B557" s="326"/>
      <c r="C557" s="282" t="s">
        <v>691</v>
      </c>
      <c r="D557" s="282">
        <v>1052</v>
      </c>
      <c r="E557" s="280">
        <v>84880</v>
      </c>
      <c r="F557" s="280">
        <v>42.4</v>
      </c>
      <c r="G557" s="280">
        <v>5</v>
      </c>
      <c r="H557" s="281">
        <v>0</v>
      </c>
      <c r="I557" s="280">
        <v>0</v>
      </c>
    </row>
    <row r="558" spans="1:9" x14ac:dyDescent="0.3">
      <c r="A558" s="326"/>
      <c r="B558" s="326"/>
      <c r="C558" s="282" t="s">
        <v>690</v>
      </c>
      <c r="D558" s="282">
        <v>20559</v>
      </c>
      <c r="E558" s="280">
        <v>115143</v>
      </c>
      <c r="F558" s="280">
        <v>59</v>
      </c>
      <c r="G558" s="280">
        <v>7.8</v>
      </c>
      <c r="H558" s="281">
        <v>0</v>
      </c>
      <c r="I558" s="280">
        <v>0</v>
      </c>
    </row>
    <row r="559" spans="1:9" x14ac:dyDescent="0.3">
      <c r="A559" s="326"/>
      <c r="B559" s="326"/>
      <c r="C559" s="282" t="s">
        <v>689</v>
      </c>
      <c r="D559" s="282">
        <v>9161</v>
      </c>
      <c r="E559" s="280">
        <v>101857</v>
      </c>
      <c r="F559" s="280">
        <v>52.2</v>
      </c>
      <c r="G559" s="280">
        <v>5.65</v>
      </c>
      <c r="H559" s="281">
        <v>0</v>
      </c>
      <c r="I559" s="280">
        <v>0</v>
      </c>
    </row>
    <row r="560" spans="1:9" x14ac:dyDescent="0.3">
      <c r="A560" s="326"/>
      <c r="B560" s="326"/>
      <c r="C560" s="282" t="s">
        <v>688</v>
      </c>
      <c r="D560" s="282">
        <v>26194</v>
      </c>
      <c r="E560" s="280">
        <v>8190</v>
      </c>
      <c r="F560" s="280">
        <v>4.4000000000000004</v>
      </c>
      <c r="G560" s="280">
        <v>0.375</v>
      </c>
      <c r="H560" s="281">
        <v>0</v>
      </c>
      <c r="I560" s="280">
        <v>0</v>
      </c>
    </row>
    <row r="561" spans="1:9" x14ac:dyDescent="0.3">
      <c r="A561" s="326"/>
      <c r="B561" s="326"/>
      <c r="C561" s="282" t="s">
        <v>687</v>
      </c>
      <c r="D561" s="282">
        <v>26455</v>
      </c>
      <c r="E561" s="280">
        <v>46390</v>
      </c>
      <c r="F561" s="280">
        <v>24.4</v>
      </c>
      <c r="G561" s="280">
        <v>3.1</v>
      </c>
      <c r="H561" s="281">
        <v>0</v>
      </c>
      <c r="I561" s="280">
        <v>0</v>
      </c>
    </row>
    <row r="562" spans="1:9" x14ac:dyDescent="0.3">
      <c r="A562" s="326"/>
      <c r="B562" s="326"/>
      <c r="C562" s="282" t="s">
        <v>686</v>
      </c>
      <c r="D562" s="282">
        <v>26038</v>
      </c>
      <c r="E562" s="280">
        <v>68780</v>
      </c>
      <c r="F562" s="280">
        <v>36.200000000000003</v>
      </c>
      <c r="G562" s="280">
        <v>6.2</v>
      </c>
      <c r="H562" s="281">
        <v>0</v>
      </c>
      <c r="I562" s="280">
        <v>0</v>
      </c>
    </row>
    <row r="563" spans="1:9" x14ac:dyDescent="0.3">
      <c r="A563" s="326"/>
      <c r="B563" s="326"/>
      <c r="C563" s="282" t="s">
        <v>685</v>
      </c>
      <c r="D563" s="282">
        <v>1045</v>
      </c>
      <c r="E563" s="280">
        <v>10333</v>
      </c>
      <c r="F563" s="280">
        <v>5.3</v>
      </c>
      <c r="G563" s="280">
        <v>0.72</v>
      </c>
      <c r="H563" s="281">
        <v>0</v>
      </c>
      <c r="I563" s="280">
        <v>1</v>
      </c>
    </row>
    <row r="564" spans="1:9" x14ac:dyDescent="0.3">
      <c r="A564" s="326"/>
      <c r="B564" s="326"/>
      <c r="C564" s="282" t="s">
        <v>684</v>
      </c>
      <c r="D564" s="282">
        <v>13518</v>
      </c>
      <c r="E564" s="280">
        <v>370523</v>
      </c>
      <c r="F564" s="280">
        <v>190</v>
      </c>
      <c r="G564" s="280">
        <v>25.1</v>
      </c>
      <c r="H564" s="281">
        <v>0</v>
      </c>
      <c r="I564" s="280">
        <v>0</v>
      </c>
    </row>
    <row r="565" spans="1:9" x14ac:dyDescent="0.3">
      <c r="A565" s="326"/>
      <c r="B565" s="326"/>
      <c r="C565" s="282" t="s">
        <v>683</v>
      </c>
      <c r="D565" s="282">
        <v>7909</v>
      </c>
      <c r="E565" s="280">
        <v>155000</v>
      </c>
      <c r="F565" s="280">
        <v>79.5</v>
      </c>
      <c r="G565" s="280">
        <v>1</v>
      </c>
      <c r="H565" s="281">
        <v>0</v>
      </c>
      <c r="I565" s="280">
        <v>0</v>
      </c>
    </row>
    <row r="566" spans="1:9" x14ac:dyDescent="0.3">
      <c r="A566" s="326"/>
      <c r="B566" s="326"/>
      <c r="C566" s="282" t="s">
        <v>682</v>
      </c>
      <c r="D566" s="282">
        <v>18689</v>
      </c>
      <c r="E566" s="280">
        <v>143930</v>
      </c>
      <c r="F566" s="280">
        <v>73.8</v>
      </c>
      <c r="G566" s="280">
        <v>0</v>
      </c>
      <c r="H566" s="281">
        <v>0</v>
      </c>
      <c r="I566" s="280">
        <v>0</v>
      </c>
    </row>
    <row r="567" spans="1:9" x14ac:dyDescent="0.3">
      <c r="A567" s="326"/>
      <c r="B567" s="326"/>
      <c r="C567" s="282" t="s">
        <v>681</v>
      </c>
      <c r="D567" s="282">
        <v>1048</v>
      </c>
      <c r="E567" s="280">
        <v>297452</v>
      </c>
      <c r="F567" s="280">
        <v>152.5</v>
      </c>
      <c r="G567" s="280">
        <v>19.260000000000002</v>
      </c>
      <c r="H567" s="281">
        <v>0</v>
      </c>
      <c r="I567" s="280">
        <v>0</v>
      </c>
    </row>
    <row r="568" spans="1:9" x14ac:dyDescent="0.3">
      <c r="A568" s="326"/>
      <c r="B568" s="326"/>
      <c r="C568" s="282" t="s">
        <v>680</v>
      </c>
      <c r="D568" s="282">
        <v>3512</v>
      </c>
      <c r="E568" s="280">
        <v>143190</v>
      </c>
      <c r="F568" s="280">
        <v>73.400000000000006</v>
      </c>
      <c r="G568" s="280">
        <v>13.6099</v>
      </c>
      <c r="H568" s="281">
        <v>0</v>
      </c>
      <c r="I568" s="280">
        <v>1</v>
      </c>
    </row>
    <row r="569" spans="1:9" x14ac:dyDescent="0.3">
      <c r="A569" s="326"/>
      <c r="B569" s="326"/>
      <c r="C569" s="282" t="s">
        <v>679</v>
      </c>
      <c r="D569" s="282">
        <v>3511</v>
      </c>
      <c r="E569" s="280">
        <v>151541</v>
      </c>
      <c r="F569" s="280">
        <v>77.7</v>
      </c>
      <c r="G569" s="280">
        <v>0</v>
      </c>
      <c r="H569" s="281">
        <v>0</v>
      </c>
      <c r="I569" s="280">
        <v>0</v>
      </c>
    </row>
    <row r="570" spans="1:9" ht="20.399999999999999" x14ac:dyDescent="0.3">
      <c r="A570" s="326"/>
      <c r="B570" s="326"/>
      <c r="C570" s="282" t="s">
        <v>678</v>
      </c>
      <c r="D570" s="282">
        <v>22917</v>
      </c>
      <c r="E570" s="280">
        <v>35856</v>
      </c>
      <c r="F570" s="280">
        <v>18.899999999999999</v>
      </c>
      <c r="G570" s="280">
        <v>11.75</v>
      </c>
      <c r="H570" s="281">
        <v>0</v>
      </c>
      <c r="I570" s="280">
        <v>0</v>
      </c>
    </row>
    <row r="571" spans="1:9" x14ac:dyDescent="0.3">
      <c r="A571" s="326"/>
      <c r="B571" s="326"/>
      <c r="C571" s="282" t="s">
        <v>677</v>
      </c>
      <c r="D571" s="282">
        <v>1033</v>
      </c>
      <c r="E571" s="280">
        <v>109976</v>
      </c>
      <c r="F571" s="280">
        <v>56.4</v>
      </c>
      <c r="G571" s="280">
        <v>8.4</v>
      </c>
      <c r="H571" s="281">
        <v>0</v>
      </c>
      <c r="I571" s="280">
        <v>8.4</v>
      </c>
    </row>
    <row r="572" spans="1:9" x14ac:dyDescent="0.3">
      <c r="A572" s="326"/>
      <c r="B572" s="326"/>
      <c r="C572" s="282" t="s">
        <v>676</v>
      </c>
      <c r="D572" s="282">
        <v>26255</v>
      </c>
      <c r="E572" s="280">
        <v>136082</v>
      </c>
      <c r="F572" s="280">
        <v>73.599999999999994</v>
      </c>
      <c r="G572" s="280">
        <v>6.7249999999999996</v>
      </c>
      <c r="H572" s="281">
        <v>0</v>
      </c>
      <c r="I572" s="280">
        <v>0</v>
      </c>
    </row>
    <row r="573" spans="1:9" x14ac:dyDescent="0.3">
      <c r="A573" s="326"/>
      <c r="B573" s="326"/>
      <c r="C573" s="282" t="s">
        <v>675</v>
      </c>
      <c r="D573" s="282">
        <v>1047</v>
      </c>
      <c r="E573" s="280">
        <v>123262</v>
      </c>
      <c r="F573" s="280">
        <v>63.2</v>
      </c>
      <c r="G573" s="280">
        <v>4</v>
      </c>
      <c r="H573" s="281">
        <v>0</v>
      </c>
      <c r="I573" s="280">
        <v>0</v>
      </c>
    </row>
    <row r="574" spans="1:9" x14ac:dyDescent="0.3">
      <c r="A574" s="326"/>
      <c r="B574" s="326"/>
      <c r="C574" s="282" t="s">
        <v>674</v>
      </c>
      <c r="D574" s="282">
        <v>1081</v>
      </c>
      <c r="E574" s="280">
        <v>1025387</v>
      </c>
      <c r="F574" s="280">
        <v>525.79999999999995</v>
      </c>
      <c r="G574" s="280">
        <v>0</v>
      </c>
      <c r="H574" s="281">
        <v>0</v>
      </c>
      <c r="I574" s="280">
        <v>0</v>
      </c>
    </row>
    <row r="575" spans="1:9" x14ac:dyDescent="0.3">
      <c r="A575" s="326"/>
      <c r="B575" s="326"/>
      <c r="C575" s="282" t="s">
        <v>673</v>
      </c>
      <c r="D575" s="282">
        <v>2638</v>
      </c>
      <c r="E575" s="280">
        <v>369047</v>
      </c>
      <c r="F575" s="280">
        <v>189.3</v>
      </c>
      <c r="G575" s="280">
        <v>2.52</v>
      </c>
      <c r="H575" s="281">
        <v>0</v>
      </c>
      <c r="I575" s="280">
        <v>1</v>
      </c>
    </row>
    <row r="576" spans="1:9" x14ac:dyDescent="0.3">
      <c r="A576" s="326"/>
      <c r="B576" s="326"/>
      <c r="C576" s="282" t="s">
        <v>672</v>
      </c>
      <c r="D576" s="282">
        <v>1084</v>
      </c>
      <c r="E576" s="280">
        <v>454666</v>
      </c>
      <c r="F576" s="280">
        <v>233.2</v>
      </c>
      <c r="G576" s="280">
        <v>0</v>
      </c>
      <c r="H576" s="281">
        <v>0</v>
      </c>
      <c r="I576" s="280">
        <v>0</v>
      </c>
    </row>
    <row r="577" spans="1:9" ht="20.399999999999999" x14ac:dyDescent="0.3">
      <c r="A577" s="326"/>
      <c r="B577" s="326"/>
      <c r="C577" s="282" t="s">
        <v>671</v>
      </c>
      <c r="D577" s="282">
        <v>1083</v>
      </c>
      <c r="E577" s="280">
        <v>459095</v>
      </c>
      <c r="F577" s="280">
        <v>235.4</v>
      </c>
      <c r="G577" s="280">
        <v>31.85</v>
      </c>
      <c r="H577" s="281">
        <v>0</v>
      </c>
      <c r="I577" s="280">
        <v>0</v>
      </c>
    </row>
    <row r="578" spans="1:9" ht="20.399999999999999" x14ac:dyDescent="0.3">
      <c r="A578" s="326"/>
      <c r="B578" s="326"/>
      <c r="C578" s="282" t="s">
        <v>670</v>
      </c>
      <c r="D578" s="282">
        <v>6542</v>
      </c>
      <c r="E578" s="280">
        <v>370523</v>
      </c>
      <c r="F578" s="280">
        <v>190</v>
      </c>
      <c r="G578" s="280">
        <v>25</v>
      </c>
      <c r="H578" s="281">
        <v>0</v>
      </c>
      <c r="I578" s="280">
        <v>0</v>
      </c>
    </row>
    <row r="579" spans="1:9" x14ac:dyDescent="0.3">
      <c r="A579" s="326"/>
      <c r="B579" s="326"/>
      <c r="C579" s="282" t="s">
        <v>669</v>
      </c>
      <c r="D579" s="282">
        <v>1079</v>
      </c>
      <c r="E579" s="280">
        <v>540088</v>
      </c>
      <c r="F579" s="280">
        <v>219.5</v>
      </c>
      <c r="G579" s="280">
        <v>20</v>
      </c>
      <c r="H579" s="281">
        <v>0</v>
      </c>
      <c r="I579" s="280">
        <v>0</v>
      </c>
    </row>
    <row r="580" spans="1:9" x14ac:dyDescent="0.3">
      <c r="A580" s="326"/>
      <c r="B580" s="326"/>
      <c r="C580" s="282" t="s">
        <v>668</v>
      </c>
      <c r="D580" s="282">
        <v>1078</v>
      </c>
      <c r="E580" s="280">
        <v>76844</v>
      </c>
      <c r="F580" s="280">
        <v>39.4</v>
      </c>
      <c r="G580" s="280">
        <v>1</v>
      </c>
      <c r="H580" s="281">
        <v>0</v>
      </c>
      <c r="I580" s="280">
        <v>0</v>
      </c>
    </row>
    <row r="581" spans="1:9" x14ac:dyDescent="0.3">
      <c r="A581" s="326"/>
      <c r="B581" s="326"/>
      <c r="C581" s="282" t="s">
        <v>667</v>
      </c>
      <c r="D581" s="282">
        <v>6418</v>
      </c>
      <c r="E581" s="280">
        <v>112190</v>
      </c>
      <c r="F581" s="280">
        <v>57.5</v>
      </c>
      <c r="G581" s="280">
        <v>2.5</v>
      </c>
      <c r="H581" s="281">
        <v>0</v>
      </c>
      <c r="I581" s="280">
        <v>0</v>
      </c>
    </row>
    <row r="582" spans="1:9" x14ac:dyDescent="0.3">
      <c r="A582" s="326"/>
      <c r="B582" s="326"/>
      <c r="C582" s="282" t="s">
        <v>666</v>
      </c>
      <c r="D582" s="282">
        <v>6224</v>
      </c>
      <c r="E582" s="280">
        <v>143190</v>
      </c>
      <c r="F582" s="280">
        <v>73.400000000000006</v>
      </c>
      <c r="G582" s="280">
        <v>9.8000000000000007</v>
      </c>
      <c r="H582" s="281">
        <v>0</v>
      </c>
      <c r="I582" s="280">
        <v>1</v>
      </c>
    </row>
    <row r="583" spans="1:9" x14ac:dyDescent="0.3">
      <c r="A583" s="326"/>
      <c r="B583" s="326"/>
      <c r="C583" s="282" t="s">
        <v>665</v>
      </c>
      <c r="D583" s="282">
        <v>6420</v>
      </c>
      <c r="E583" s="280">
        <v>111452</v>
      </c>
      <c r="F583" s="280">
        <v>57.2</v>
      </c>
      <c r="G583" s="280">
        <v>2.5</v>
      </c>
      <c r="H583" s="281">
        <v>0</v>
      </c>
      <c r="I583" s="280">
        <v>0</v>
      </c>
    </row>
    <row r="584" spans="1:9" x14ac:dyDescent="0.3">
      <c r="A584" s="326"/>
      <c r="B584" s="326"/>
      <c r="C584" s="282" t="s">
        <v>664</v>
      </c>
      <c r="D584" s="282">
        <v>6222</v>
      </c>
      <c r="E584" s="280">
        <v>138762</v>
      </c>
      <c r="F584" s="280">
        <v>71.2</v>
      </c>
      <c r="G584" s="280">
        <v>10.24</v>
      </c>
      <c r="H584" s="281">
        <v>0</v>
      </c>
      <c r="I584" s="280">
        <v>1</v>
      </c>
    </row>
    <row r="585" spans="1:9" x14ac:dyDescent="0.3">
      <c r="A585" s="326"/>
      <c r="B585" s="326"/>
      <c r="C585" s="282" t="s">
        <v>663</v>
      </c>
      <c r="D585" s="282">
        <v>2738</v>
      </c>
      <c r="E585" s="280">
        <v>83404</v>
      </c>
      <c r="F585" s="280">
        <v>42.8</v>
      </c>
      <c r="G585" s="280">
        <v>1</v>
      </c>
      <c r="H585" s="281">
        <v>0</v>
      </c>
      <c r="I585" s="280">
        <v>0</v>
      </c>
    </row>
    <row r="586" spans="1:9" x14ac:dyDescent="0.3">
      <c r="A586" s="326"/>
      <c r="B586" s="326"/>
      <c r="C586" s="282" t="s">
        <v>662</v>
      </c>
      <c r="D586" s="282">
        <v>1072</v>
      </c>
      <c r="E586" s="280">
        <v>50190</v>
      </c>
      <c r="F586" s="280">
        <v>25.7</v>
      </c>
      <c r="G586" s="280">
        <v>3.3426</v>
      </c>
      <c r="H586" s="281">
        <v>0</v>
      </c>
      <c r="I586" s="280">
        <v>1</v>
      </c>
    </row>
    <row r="587" spans="1:9" x14ac:dyDescent="0.3">
      <c r="A587" s="326"/>
      <c r="B587" s="326"/>
      <c r="C587" s="282" t="s">
        <v>661</v>
      </c>
      <c r="D587" s="282">
        <v>1025</v>
      </c>
      <c r="E587" s="280">
        <v>159428</v>
      </c>
      <c r="F587" s="280">
        <v>81.8</v>
      </c>
      <c r="G587" s="280">
        <v>11.32</v>
      </c>
      <c r="H587" s="281">
        <v>0</v>
      </c>
      <c r="I587" s="280">
        <v>1</v>
      </c>
    </row>
    <row r="588" spans="1:9" x14ac:dyDescent="0.3">
      <c r="A588" s="326"/>
      <c r="B588" s="326"/>
      <c r="C588" s="282" t="s">
        <v>660</v>
      </c>
      <c r="D588" s="282">
        <v>7912</v>
      </c>
      <c r="E588" s="280">
        <v>166515</v>
      </c>
      <c r="F588" s="280">
        <v>85.4</v>
      </c>
      <c r="G588" s="280">
        <v>11</v>
      </c>
      <c r="H588" s="281">
        <v>0</v>
      </c>
      <c r="I588" s="280">
        <v>0</v>
      </c>
    </row>
    <row r="589" spans="1:9" x14ac:dyDescent="0.3">
      <c r="A589" s="326"/>
      <c r="B589" s="326"/>
      <c r="C589" s="282" t="s">
        <v>659</v>
      </c>
      <c r="D589" s="282">
        <v>1071</v>
      </c>
      <c r="E589" s="280">
        <v>91523</v>
      </c>
      <c r="F589" s="280">
        <v>46.9</v>
      </c>
      <c r="G589" s="280">
        <v>6.2446000000000002</v>
      </c>
      <c r="H589" s="281">
        <v>0</v>
      </c>
      <c r="I589" s="280">
        <v>1</v>
      </c>
    </row>
    <row r="590" spans="1:9" x14ac:dyDescent="0.3">
      <c r="A590" s="326"/>
      <c r="B590" s="326"/>
      <c r="C590" s="282" t="s">
        <v>658</v>
      </c>
      <c r="D590" s="282">
        <v>1026</v>
      </c>
      <c r="E590" s="280">
        <v>60025</v>
      </c>
      <c r="F590" s="280">
        <v>30.8</v>
      </c>
      <c r="G590" s="280">
        <v>0</v>
      </c>
      <c r="H590" s="281">
        <v>0</v>
      </c>
      <c r="I590" s="280">
        <v>0</v>
      </c>
    </row>
    <row r="591" spans="1:9" x14ac:dyDescent="0.3">
      <c r="A591" s="326"/>
      <c r="B591" s="326"/>
      <c r="C591" s="282" t="s">
        <v>657</v>
      </c>
      <c r="D591" s="282">
        <v>4794</v>
      </c>
      <c r="E591" s="280">
        <v>108500</v>
      </c>
      <c r="F591" s="280">
        <v>55.6</v>
      </c>
      <c r="G591" s="280">
        <v>7.92</v>
      </c>
      <c r="H591" s="281">
        <v>0</v>
      </c>
      <c r="I591" s="280">
        <v>1</v>
      </c>
    </row>
    <row r="592" spans="1:9" x14ac:dyDescent="0.3">
      <c r="A592" s="326"/>
      <c r="B592" s="326"/>
      <c r="C592" s="282" t="s">
        <v>656</v>
      </c>
      <c r="D592" s="282">
        <v>11490</v>
      </c>
      <c r="E592" s="280">
        <v>212571</v>
      </c>
      <c r="F592" s="280">
        <v>109</v>
      </c>
      <c r="G592" s="280">
        <v>17.33333</v>
      </c>
      <c r="H592" s="281">
        <v>0</v>
      </c>
      <c r="I592" s="280">
        <v>0</v>
      </c>
    </row>
    <row r="593" spans="1:9" x14ac:dyDescent="0.3">
      <c r="A593" s="326"/>
      <c r="B593" s="326"/>
      <c r="C593" s="282" t="s">
        <v>655</v>
      </c>
      <c r="D593" s="282">
        <v>16890</v>
      </c>
      <c r="E593" s="280">
        <v>50190</v>
      </c>
      <c r="F593" s="280">
        <v>25.7</v>
      </c>
      <c r="G593" s="280">
        <v>4.2857099999999999</v>
      </c>
      <c r="H593" s="281">
        <v>0</v>
      </c>
      <c r="I593" s="280">
        <v>0</v>
      </c>
    </row>
    <row r="594" spans="1:9" x14ac:dyDescent="0.3">
      <c r="A594" s="326"/>
      <c r="B594" s="326"/>
      <c r="C594" s="282" t="s">
        <v>654</v>
      </c>
      <c r="D594" s="282">
        <v>1073</v>
      </c>
      <c r="E594" s="280">
        <v>39857</v>
      </c>
      <c r="F594" s="280">
        <v>20.399999999999999</v>
      </c>
      <c r="G594" s="280">
        <v>2.7713000000000001</v>
      </c>
      <c r="H594" s="281">
        <v>0</v>
      </c>
      <c r="I594" s="280">
        <v>0</v>
      </c>
    </row>
    <row r="595" spans="1:9" x14ac:dyDescent="0.3">
      <c r="A595" s="326"/>
      <c r="B595" s="326"/>
      <c r="C595" s="282" t="s">
        <v>653</v>
      </c>
      <c r="D595" s="282">
        <v>1029</v>
      </c>
      <c r="E595" s="280">
        <v>39857</v>
      </c>
      <c r="F595" s="280">
        <v>20.399999999999999</v>
      </c>
      <c r="G595" s="280">
        <v>1.26</v>
      </c>
      <c r="H595" s="281">
        <v>0</v>
      </c>
      <c r="I595" s="280">
        <v>0</v>
      </c>
    </row>
    <row r="596" spans="1:9" x14ac:dyDescent="0.3">
      <c r="A596" s="326"/>
      <c r="B596" s="326"/>
      <c r="C596" s="282" t="s">
        <v>652</v>
      </c>
      <c r="D596" s="282">
        <v>1028</v>
      </c>
      <c r="E596" s="280">
        <v>32328</v>
      </c>
      <c r="F596" s="280">
        <v>16.600000000000001</v>
      </c>
      <c r="G596" s="280">
        <v>1</v>
      </c>
      <c r="H596" s="281">
        <v>0</v>
      </c>
      <c r="I596" s="280">
        <v>0</v>
      </c>
    </row>
    <row r="597" spans="1:9" x14ac:dyDescent="0.3">
      <c r="A597" s="326"/>
      <c r="B597" s="326"/>
      <c r="C597" s="282" t="s">
        <v>651</v>
      </c>
      <c r="D597" s="282">
        <v>21231</v>
      </c>
      <c r="E597" s="280">
        <v>252069</v>
      </c>
      <c r="F597" s="280">
        <v>132.69999999999999</v>
      </c>
      <c r="G597" s="280">
        <v>14</v>
      </c>
      <c r="H597" s="281">
        <v>0</v>
      </c>
      <c r="I597" s="280">
        <v>0</v>
      </c>
    </row>
    <row r="598" spans="1:9" x14ac:dyDescent="0.3">
      <c r="A598" s="326"/>
      <c r="B598" s="326"/>
      <c r="C598" s="282" t="s">
        <v>650</v>
      </c>
      <c r="D598" s="282">
        <v>1074</v>
      </c>
      <c r="E598" s="280">
        <v>67409</v>
      </c>
      <c r="F598" s="280">
        <v>35.5</v>
      </c>
      <c r="G598" s="280">
        <v>0.45</v>
      </c>
      <c r="H598" s="281">
        <v>0</v>
      </c>
      <c r="I598" s="280">
        <v>0</v>
      </c>
    </row>
    <row r="599" spans="1:9" x14ac:dyDescent="0.3">
      <c r="A599" s="326"/>
      <c r="B599" s="326"/>
      <c r="C599" s="282" t="s">
        <v>649</v>
      </c>
      <c r="D599" s="282">
        <v>1030</v>
      </c>
      <c r="E599" s="280">
        <v>67411</v>
      </c>
      <c r="F599" s="280">
        <v>35.5</v>
      </c>
      <c r="G599" s="280">
        <v>1</v>
      </c>
      <c r="H599" s="281">
        <v>0</v>
      </c>
      <c r="I599" s="280">
        <v>0</v>
      </c>
    </row>
    <row r="600" spans="1:9" x14ac:dyDescent="0.3">
      <c r="A600" s="326"/>
      <c r="B600" s="326"/>
      <c r="C600" s="282" t="s">
        <v>648</v>
      </c>
      <c r="D600" s="282">
        <v>1075</v>
      </c>
      <c r="E600" s="280">
        <v>65485</v>
      </c>
      <c r="F600" s="280">
        <v>34.5</v>
      </c>
      <c r="G600" s="280">
        <v>3.2</v>
      </c>
      <c r="H600" s="281">
        <v>0</v>
      </c>
      <c r="I600" s="280">
        <v>1</v>
      </c>
    </row>
    <row r="601" spans="1:9" x14ac:dyDescent="0.3">
      <c r="A601" s="326"/>
      <c r="B601" s="326"/>
      <c r="C601" s="282" t="s">
        <v>647</v>
      </c>
      <c r="D601" s="282">
        <v>1044</v>
      </c>
      <c r="E601" s="280">
        <v>29733</v>
      </c>
      <c r="F601" s="280">
        <v>16.52</v>
      </c>
      <c r="G601" s="280">
        <v>1</v>
      </c>
      <c r="H601" s="281">
        <v>0</v>
      </c>
      <c r="I601" s="280">
        <v>0</v>
      </c>
    </row>
    <row r="602" spans="1:9" x14ac:dyDescent="0.3">
      <c r="A602" s="326"/>
      <c r="B602" s="326"/>
      <c r="C602" s="282" t="s">
        <v>646</v>
      </c>
      <c r="D602" s="282">
        <v>26456</v>
      </c>
      <c r="E602" s="280">
        <v>3668</v>
      </c>
      <c r="F602" s="280">
        <v>1.9</v>
      </c>
      <c r="G602" s="280">
        <v>0.23</v>
      </c>
      <c r="H602" s="281">
        <v>0</v>
      </c>
      <c r="I602" s="280">
        <v>0</v>
      </c>
    </row>
    <row r="603" spans="1:9" x14ac:dyDescent="0.3">
      <c r="A603" s="326"/>
      <c r="B603" s="326"/>
      <c r="C603" s="282" t="s">
        <v>645</v>
      </c>
      <c r="D603" s="282">
        <v>1062</v>
      </c>
      <c r="E603" s="280">
        <v>242095</v>
      </c>
      <c r="F603" s="280">
        <v>124.2</v>
      </c>
      <c r="G603" s="280">
        <v>16.62</v>
      </c>
      <c r="H603" s="281">
        <v>0</v>
      </c>
      <c r="I603" s="280">
        <v>0</v>
      </c>
    </row>
    <row r="604" spans="1:9" x14ac:dyDescent="0.3">
      <c r="A604" s="326"/>
      <c r="B604" s="326"/>
      <c r="C604" s="282" t="s">
        <v>644</v>
      </c>
      <c r="D604" s="282">
        <v>6867</v>
      </c>
      <c r="E604" s="280">
        <v>242095</v>
      </c>
      <c r="F604" s="280">
        <v>124.2</v>
      </c>
      <c r="G604" s="280">
        <v>16.622</v>
      </c>
      <c r="H604" s="281">
        <v>0</v>
      </c>
      <c r="I604" s="280">
        <v>0</v>
      </c>
    </row>
    <row r="605" spans="1:9" x14ac:dyDescent="0.3">
      <c r="A605" s="326"/>
      <c r="B605" s="326"/>
      <c r="C605" s="282" t="s">
        <v>643</v>
      </c>
      <c r="D605" s="282">
        <v>18735</v>
      </c>
      <c r="E605" s="280">
        <v>327</v>
      </c>
      <c r="F605" s="280">
        <v>0.2</v>
      </c>
      <c r="G605" s="280">
        <v>0</v>
      </c>
      <c r="H605" s="281">
        <v>0</v>
      </c>
      <c r="I605" s="280">
        <v>0</v>
      </c>
    </row>
    <row r="606" spans="1:9" x14ac:dyDescent="0.3">
      <c r="A606" s="326"/>
      <c r="B606" s="326"/>
      <c r="C606" s="282" t="s">
        <v>642</v>
      </c>
      <c r="D606" s="282">
        <v>1076</v>
      </c>
      <c r="E606" s="280">
        <v>155000</v>
      </c>
      <c r="F606" s="280">
        <v>79.5</v>
      </c>
      <c r="G606" s="280">
        <v>10.5</v>
      </c>
      <c r="H606" s="281">
        <v>0</v>
      </c>
      <c r="I606" s="280">
        <v>0</v>
      </c>
    </row>
    <row r="607" spans="1:9" x14ac:dyDescent="0.3">
      <c r="A607" s="326"/>
      <c r="B607" s="326"/>
      <c r="C607" s="282" t="s">
        <v>641</v>
      </c>
      <c r="D607" s="282">
        <v>4178</v>
      </c>
      <c r="E607" s="280">
        <v>153523</v>
      </c>
      <c r="F607" s="280">
        <v>78.7</v>
      </c>
      <c r="G607" s="280">
        <v>10.9</v>
      </c>
      <c r="H607" s="281">
        <v>0</v>
      </c>
      <c r="I607" s="280">
        <v>0</v>
      </c>
    </row>
    <row r="608" spans="1:9" x14ac:dyDescent="0.3">
      <c r="A608" s="326"/>
      <c r="B608" s="326"/>
      <c r="C608" s="282" t="s">
        <v>640</v>
      </c>
      <c r="D608" s="282">
        <v>1054</v>
      </c>
      <c r="E608" s="280">
        <v>150571</v>
      </c>
      <c r="F608" s="280">
        <v>77.2</v>
      </c>
      <c r="G608" s="280">
        <v>10.199999999999999</v>
      </c>
      <c r="H608" s="281">
        <v>0</v>
      </c>
      <c r="I608" s="280">
        <v>0</v>
      </c>
    </row>
    <row r="609" spans="1:9" x14ac:dyDescent="0.3">
      <c r="A609" s="326"/>
      <c r="B609" s="326"/>
      <c r="C609" s="282" t="s">
        <v>639</v>
      </c>
      <c r="D609" s="282">
        <v>1053</v>
      </c>
      <c r="E609" s="280">
        <v>136547</v>
      </c>
      <c r="F609" s="280">
        <v>70</v>
      </c>
      <c r="G609" s="280">
        <v>9.25</v>
      </c>
      <c r="H609" s="281">
        <v>0</v>
      </c>
      <c r="I609" s="280">
        <v>0</v>
      </c>
    </row>
    <row r="610" spans="1:9" x14ac:dyDescent="0.3">
      <c r="A610" s="326"/>
      <c r="B610" s="326"/>
      <c r="C610" s="282" t="s">
        <v>638</v>
      </c>
      <c r="D610" s="282">
        <v>3706</v>
      </c>
      <c r="E610" s="280">
        <v>141197</v>
      </c>
      <c r="F610" s="280">
        <v>72.400000000000006</v>
      </c>
      <c r="G610" s="280">
        <v>1</v>
      </c>
      <c r="H610" s="281">
        <v>0</v>
      </c>
      <c r="I610" s="280">
        <v>0</v>
      </c>
    </row>
    <row r="611" spans="1:9" x14ac:dyDescent="0.3">
      <c r="A611" s="326"/>
      <c r="B611" s="327"/>
      <c r="C611" s="282" t="s">
        <v>637</v>
      </c>
      <c r="D611" s="282">
        <v>1049</v>
      </c>
      <c r="E611" s="280">
        <v>239143</v>
      </c>
      <c r="F611" s="280">
        <v>122.6</v>
      </c>
      <c r="G611" s="280">
        <v>0</v>
      </c>
      <c r="H611" s="281">
        <v>0</v>
      </c>
      <c r="I611" s="280">
        <v>0</v>
      </c>
    </row>
    <row r="612" spans="1:9" x14ac:dyDescent="0.3">
      <c r="A612" s="326"/>
      <c r="B612" s="325" t="s">
        <v>636</v>
      </c>
      <c r="C612" s="282" t="s">
        <v>373</v>
      </c>
      <c r="D612" s="282" t="s">
        <v>373</v>
      </c>
      <c r="E612" s="282" t="s">
        <v>373</v>
      </c>
      <c r="F612" s="282" t="s">
        <v>373</v>
      </c>
      <c r="G612" s="282" t="s">
        <v>373</v>
      </c>
      <c r="H612" s="282" t="s">
        <v>373</v>
      </c>
      <c r="I612" s="282" t="s">
        <v>373</v>
      </c>
    </row>
    <row r="613" spans="1:9" x14ac:dyDescent="0.3">
      <c r="A613" s="327"/>
      <c r="B613" s="327"/>
      <c r="C613" s="282" t="s">
        <v>635</v>
      </c>
      <c r="D613" s="282">
        <v>3814</v>
      </c>
      <c r="E613" s="280">
        <v>3500</v>
      </c>
      <c r="F613" s="280">
        <v>1.59</v>
      </c>
      <c r="G613" s="280">
        <v>0</v>
      </c>
      <c r="H613" s="281">
        <v>0</v>
      </c>
      <c r="I613" s="280">
        <v>0</v>
      </c>
    </row>
    <row r="614" spans="1:9" x14ac:dyDescent="0.3">
      <c r="A614" s="325" t="s">
        <v>634</v>
      </c>
      <c r="B614" s="282" t="s">
        <v>373</v>
      </c>
      <c r="C614" s="282" t="s">
        <v>373</v>
      </c>
      <c r="D614" s="282" t="s">
        <v>373</v>
      </c>
      <c r="E614" s="282" t="s">
        <v>373</v>
      </c>
      <c r="F614" s="282" t="s">
        <v>373</v>
      </c>
      <c r="G614" s="282" t="s">
        <v>373</v>
      </c>
      <c r="H614" s="282" t="s">
        <v>373</v>
      </c>
      <c r="I614" s="282" t="s">
        <v>373</v>
      </c>
    </row>
    <row r="615" spans="1:9" x14ac:dyDescent="0.3">
      <c r="A615" s="326"/>
      <c r="B615" s="325" t="s">
        <v>633</v>
      </c>
      <c r="C615" s="282" t="s">
        <v>373</v>
      </c>
      <c r="D615" s="282" t="s">
        <v>373</v>
      </c>
      <c r="E615" s="282" t="s">
        <v>373</v>
      </c>
      <c r="F615" s="282" t="s">
        <v>373</v>
      </c>
      <c r="G615" s="282" t="s">
        <v>373</v>
      </c>
      <c r="H615" s="282" t="s">
        <v>373</v>
      </c>
      <c r="I615" s="282" t="s">
        <v>373</v>
      </c>
    </row>
    <row r="616" spans="1:9" x14ac:dyDescent="0.3">
      <c r="A616" s="326"/>
      <c r="B616" s="326"/>
      <c r="C616" s="282" t="s">
        <v>632</v>
      </c>
      <c r="D616" s="282">
        <v>19036</v>
      </c>
      <c r="E616" s="280">
        <v>112500</v>
      </c>
      <c r="F616" s="280">
        <v>57.7</v>
      </c>
      <c r="G616" s="280">
        <v>12.6</v>
      </c>
      <c r="H616" s="281">
        <v>0</v>
      </c>
      <c r="I616" s="280">
        <v>0</v>
      </c>
    </row>
    <row r="617" spans="1:9" x14ac:dyDescent="0.3">
      <c r="A617" s="326"/>
      <c r="B617" s="326"/>
      <c r="C617" s="282" t="s">
        <v>631</v>
      </c>
      <c r="D617" s="282">
        <v>19034</v>
      </c>
      <c r="E617" s="280">
        <v>37500</v>
      </c>
      <c r="F617" s="280">
        <v>19.2</v>
      </c>
      <c r="G617" s="280">
        <v>3.6</v>
      </c>
      <c r="H617" s="281">
        <v>0</v>
      </c>
      <c r="I617" s="280">
        <v>0</v>
      </c>
    </row>
    <row r="618" spans="1:9" x14ac:dyDescent="0.3">
      <c r="A618" s="326"/>
      <c r="B618" s="326"/>
      <c r="C618" s="282" t="s">
        <v>630</v>
      </c>
      <c r="D618" s="282">
        <v>19037</v>
      </c>
      <c r="E618" s="280">
        <v>150000</v>
      </c>
      <c r="F618" s="280">
        <v>76.900000000000006</v>
      </c>
      <c r="G618" s="280">
        <v>16.600000000000001</v>
      </c>
      <c r="H618" s="281">
        <v>0</v>
      </c>
      <c r="I618" s="280">
        <v>0</v>
      </c>
    </row>
    <row r="619" spans="1:9" x14ac:dyDescent="0.3">
      <c r="A619" s="326"/>
      <c r="B619" s="326"/>
      <c r="C619" s="282" t="s">
        <v>629</v>
      </c>
      <c r="D619" s="282">
        <v>19038</v>
      </c>
      <c r="E619" s="280">
        <v>187500</v>
      </c>
      <c r="F619" s="280">
        <v>96.2</v>
      </c>
      <c r="G619" s="280">
        <v>19.19999</v>
      </c>
      <c r="H619" s="281">
        <v>0</v>
      </c>
      <c r="I619" s="280">
        <v>0</v>
      </c>
    </row>
    <row r="620" spans="1:9" x14ac:dyDescent="0.3">
      <c r="A620" s="326"/>
      <c r="B620" s="326"/>
      <c r="C620" s="282" t="s">
        <v>628</v>
      </c>
      <c r="D620" s="282">
        <v>19039</v>
      </c>
      <c r="E620" s="280">
        <v>225000</v>
      </c>
      <c r="F620" s="280">
        <v>115.4</v>
      </c>
      <c r="G620" s="280">
        <v>26.399989999999999</v>
      </c>
      <c r="H620" s="281">
        <v>0</v>
      </c>
      <c r="I620" s="280">
        <v>0</v>
      </c>
    </row>
    <row r="621" spans="1:9" x14ac:dyDescent="0.3">
      <c r="A621" s="326"/>
      <c r="B621" s="327"/>
      <c r="C621" s="282" t="s">
        <v>627</v>
      </c>
      <c r="D621" s="282">
        <v>19035</v>
      </c>
      <c r="E621" s="280">
        <v>75000</v>
      </c>
      <c r="F621" s="280">
        <v>38.5</v>
      </c>
      <c r="G621" s="280">
        <v>3.8</v>
      </c>
      <c r="H621" s="281">
        <v>0</v>
      </c>
      <c r="I621" s="280">
        <v>0</v>
      </c>
    </row>
    <row r="622" spans="1:9" x14ac:dyDescent="0.3">
      <c r="A622" s="326"/>
      <c r="B622" s="325" t="s">
        <v>626</v>
      </c>
      <c r="C622" s="282" t="s">
        <v>373</v>
      </c>
      <c r="D622" s="282" t="s">
        <v>373</v>
      </c>
      <c r="E622" s="282" t="s">
        <v>373</v>
      </c>
      <c r="F622" s="282" t="s">
        <v>373</v>
      </c>
      <c r="G622" s="282" t="s">
        <v>373</v>
      </c>
      <c r="H622" s="282" t="s">
        <v>373</v>
      </c>
      <c r="I622" s="282" t="s">
        <v>373</v>
      </c>
    </row>
    <row r="623" spans="1:9" x14ac:dyDescent="0.3">
      <c r="A623" s="327"/>
      <c r="B623" s="327"/>
      <c r="C623" s="282" t="s">
        <v>475</v>
      </c>
      <c r="D623" s="282">
        <v>4428</v>
      </c>
      <c r="E623" s="280">
        <v>25000</v>
      </c>
      <c r="F623" s="280">
        <v>12.8</v>
      </c>
      <c r="G623" s="280">
        <v>1.77</v>
      </c>
      <c r="H623" s="281">
        <v>0</v>
      </c>
      <c r="I623" s="280">
        <v>0</v>
      </c>
    </row>
    <row r="624" spans="1:9" x14ac:dyDescent="0.3">
      <c r="A624" s="325" t="s">
        <v>625</v>
      </c>
      <c r="B624" s="282" t="s">
        <v>373</v>
      </c>
      <c r="C624" s="282" t="s">
        <v>373</v>
      </c>
      <c r="D624" s="282" t="s">
        <v>373</v>
      </c>
      <c r="E624" s="282" t="s">
        <v>373</v>
      </c>
      <c r="F624" s="282" t="s">
        <v>373</v>
      </c>
      <c r="G624" s="282" t="s">
        <v>373</v>
      </c>
      <c r="H624" s="282" t="s">
        <v>373</v>
      </c>
      <c r="I624" s="282" t="s">
        <v>373</v>
      </c>
    </row>
    <row r="625" spans="1:9" x14ac:dyDescent="0.3">
      <c r="A625" s="326"/>
      <c r="B625" s="325" t="s">
        <v>624</v>
      </c>
      <c r="C625" s="282" t="s">
        <v>373</v>
      </c>
      <c r="D625" s="282" t="s">
        <v>373</v>
      </c>
      <c r="E625" s="282" t="s">
        <v>373</v>
      </c>
      <c r="F625" s="282" t="s">
        <v>373</v>
      </c>
      <c r="G625" s="282" t="s">
        <v>373</v>
      </c>
      <c r="H625" s="282" t="s">
        <v>373</v>
      </c>
      <c r="I625" s="282" t="s">
        <v>373</v>
      </c>
    </row>
    <row r="626" spans="1:9" x14ac:dyDescent="0.3">
      <c r="A626" s="326"/>
      <c r="B626" s="326"/>
      <c r="C626" s="282" t="s">
        <v>623</v>
      </c>
      <c r="D626" s="282">
        <v>3783</v>
      </c>
      <c r="E626" s="280">
        <v>2900</v>
      </c>
      <c r="F626" s="280">
        <v>1.5</v>
      </c>
      <c r="G626" s="280">
        <v>7.8E-2</v>
      </c>
      <c r="H626" s="281">
        <v>200</v>
      </c>
      <c r="I626" s="280">
        <v>15.4</v>
      </c>
    </row>
    <row r="627" spans="1:9" x14ac:dyDescent="0.3">
      <c r="A627" s="326"/>
      <c r="B627" s="326"/>
      <c r="C627" s="282" t="s">
        <v>622</v>
      </c>
      <c r="D627" s="282">
        <v>917</v>
      </c>
      <c r="E627" s="280">
        <v>2380</v>
      </c>
      <c r="F627" s="280">
        <v>1.2</v>
      </c>
      <c r="G627" s="280">
        <v>0.115</v>
      </c>
      <c r="H627" s="281">
        <v>200</v>
      </c>
      <c r="I627" s="280">
        <v>22.9</v>
      </c>
    </row>
    <row r="628" spans="1:9" x14ac:dyDescent="0.3">
      <c r="A628" s="326"/>
      <c r="B628" s="326"/>
      <c r="C628" s="282" t="s">
        <v>621</v>
      </c>
      <c r="D628" s="282">
        <v>921</v>
      </c>
      <c r="E628" s="280">
        <v>6666</v>
      </c>
      <c r="F628" s="280">
        <v>3.4</v>
      </c>
      <c r="G628" s="280">
        <v>0.22800000000000001</v>
      </c>
      <c r="H628" s="281">
        <v>30</v>
      </c>
      <c r="I628" s="280">
        <v>6.84</v>
      </c>
    </row>
    <row r="629" spans="1:9" x14ac:dyDescent="0.3">
      <c r="A629" s="326"/>
      <c r="B629" s="326"/>
      <c r="C629" s="282" t="s">
        <v>620</v>
      </c>
      <c r="D629" s="282">
        <v>2633</v>
      </c>
      <c r="E629" s="280">
        <v>6700</v>
      </c>
      <c r="F629" s="280">
        <v>3.4</v>
      </c>
      <c r="G629" s="280">
        <v>0.21299999999999999</v>
      </c>
      <c r="H629" s="281">
        <v>100</v>
      </c>
      <c r="I629" s="280">
        <v>24.8</v>
      </c>
    </row>
    <row r="630" spans="1:9" x14ac:dyDescent="0.3">
      <c r="A630" s="326"/>
      <c r="B630" s="326"/>
      <c r="C630" s="282" t="s">
        <v>619</v>
      </c>
      <c r="D630" s="282">
        <v>906</v>
      </c>
      <c r="E630" s="280">
        <v>3800</v>
      </c>
      <c r="F630" s="280">
        <v>1.9</v>
      </c>
      <c r="G630" s="280">
        <v>0.14299999999999999</v>
      </c>
      <c r="H630" s="281">
        <v>40</v>
      </c>
      <c r="I630" s="280">
        <v>5.7</v>
      </c>
    </row>
    <row r="631" spans="1:9" x14ac:dyDescent="0.3">
      <c r="A631" s="326"/>
      <c r="B631" s="326"/>
      <c r="C631" s="282" t="s">
        <v>618</v>
      </c>
      <c r="D631" s="282">
        <v>6941</v>
      </c>
      <c r="E631" s="280">
        <v>2231</v>
      </c>
      <c r="F631" s="280">
        <v>1.1000000000000001</v>
      </c>
      <c r="G631" s="280">
        <v>0.104</v>
      </c>
      <c r="H631" s="281">
        <v>0</v>
      </c>
      <c r="I631" s="280">
        <v>0</v>
      </c>
    </row>
    <row r="632" spans="1:9" x14ac:dyDescent="0.3">
      <c r="A632" s="326"/>
      <c r="B632" s="326"/>
      <c r="C632" s="282" t="s">
        <v>617</v>
      </c>
      <c r="D632" s="282">
        <v>6582</v>
      </c>
      <c r="E632" s="280">
        <v>3550</v>
      </c>
      <c r="F632" s="280">
        <v>1.8</v>
      </c>
      <c r="G632" s="280">
        <v>0.185</v>
      </c>
      <c r="H632" s="281">
        <v>0</v>
      </c>
      <c r="I632" s="280">
        <v>0</v>
      </c>
    </row>
    <row r="633" spans="1:9" x14ac:dyDescent="0.3">
      <c r="A633" s="326"/>
      <c r="B633" s="327"/>
      <c r="C633" s="282" t="s">
        <v>616</v>
      </c>
      <c r="D633" s="282">
        <v>11762</v>
      </c>
      <c r="E633" s="280">
        <v>6792</v>
      </c>
      <c r="F633" s="280">
        <v>3.5</v>
      </c>
      <c r="G633" s="280">
        <v>0.17499999999999999</v>
      </c>
      <c r="H633" s="281">
        <v>0</v>
      </c>
      <c r="I633" s="280">
        <v>0</v>
      </c>
    </row>
    <row r="634" spans="1:9" x14ac:dyDescent="0.3">
      <c r="A634" s="326"/>
      <c r="B634" s="325" t="s">
        <v>615</v>
      </c>
      <c r="C634" s="282" t="s">
        <v>373</v>
      </c>
      <c r="D634" s="282" t="s">
        <v>373</v>
      </c>
      <c r="E634" s="282" t="s">
        <v>373</v>
      </c>
      <c r="F634" s="282" t="s">
        <v>373</v>
      </c>
      <c r="G634" s="282" t="s">
        <v>373</v>
      </c>
      <c r="H634" s="282" t="s">
        <v>373</v>
      </c>
      <c r="I634" s="282" t="s">
        <v>373</v>
      </c>
    </row>
    <row r="635" spans="1:9" x14ac:dyDescent="0.3">
      <c r="A635" s="326"/>
      <c r="B635" s="326"/>
      <c r="C635" s="282" t="s">
        <v>614</v>
      </c>
      <c r="D635" s="282">
        <v>4533</v>
      </c>
      <c r="E635" s="280">
        <v>299000</v>
      </c>
      <c r="F635" s="280">
        <v>153.30000000000001</v>
      </c>
      <c r="G635" s="280">
        <v>49.3</v>
      </c>
      <c r="H635" s="281">
        <v>0</v>
      </c>
      <c r="I635" s="280">
        <v>0</v>
      </c>
    </row>
    <row r="636" spans="1:9" x14ac:dyDescent="0.3">
      <c r="A636" s="326"/>
      <c r="B636" s="326"/>
      <c r="C636" s="282" t="s">
        <v>613</v>
      </c>
      <c r="D636" s="282">
        <v>13085</v>
      </c>
      <c r="E636" s="280">
        <v>325000</v>
      </c>
      <c r="F636" s="280">
        <v>166.7</v>
      </c>
      <c r="G636" s="280">
        <v>1</v>
      </c>
      <c r="H636" s="281">
        <v>0</v>
      </c>
      <c r="I636" s="280">
        <v>0</v>
      </c>
    </row>
    <row r="637" spans="1:9" x14ac:dyDescent="0.3">
      <c r="A637" s="326"/>
      <c r="B637" s="327"/>
      <c r="C637" s="282" t="s">
        <v>612</v>
      </c>
      <c r="D637" s="282">
        <v>12072</v>
      </c>
      <c r="E637" s="280">
        <v>246896</v>
      </c>
      <c r="F637" s="280">
        <v>129.9</v>
      </c>
      <c r="G637" s="280">
        <v>29</v>
      </c>
      <c r="H637" s="281">
        <v>0</v>
      </c>
      <c r="I637" s="280">
        <v>0</v>
      </c>
    </row>
    <row r="638" spans="1:9" x14ac:dyDescent="0.3">
      <c r="A638" s="326"/>
      <c r="B638" s="325" t="s">
        <v>611</v>
      </c>
      <c r="C638" s="282" t="s">
        <v>373</v>
      </c>
      <c r="D638" s="282" t="s">
        <v>373</v>
      </c>
      <c r="E638" s="282" t="s">
        <v>373</v>
      </c>
      <c r="F638" s="282" t="s">
        <v>373</v>
      </c>
      <c r="G638" s="282" t="s">
        <v>373</v>
      </c>
      <c r="H638" s="282" t="s">
        <v>373</v>
      </c>
      <c r="I638" s="282" t="s">
        <v>373</v>
      </c>
    </row>
    <row r="639" spans="1:9" x14ac:dyDescent="0.3">
      <c r="A639" s="326"/>
      <c r="B639" s="326"/>
      <c r="C639" s="282" t="s">
        <v>610</v>
      </c>
      <c r="D639" s="282">
        <v>2610</v>
      </c>
      <c r="E639" s="280">
        <v>126500</v>
      </c>
      <c r="F639" s="280">
        <v>64.900000000000006</v>
      </c>
      <c r="G639" s="280">
        <v>15.6</v>
      </c>
      <c r="H639" s="281">
        <v>1</v>
      </c>
      <c r="I639" s="280">
        <v>14.7</v>
      </c>
    </row>
    <row r="640" spans="1:9" x14ac:dyDescent="0.3">
      <c r="A640" s="326"/>
      <c r="B640" s="326"/>
      <c r="C640" s="282" t="s">
        <v>609</v>
      </c>
      <c r="D640" s="282">
        <v>25416</v>
      </c>
      <c r="E640" s="280">
        <v>128000</v>
      </c>
      <c r="F640" s="280">
        <v>65.599999999999994</v>
      </c>
      <c r="G640" s="280">
        <v>0</v>
      </c>
      <c r="H640" s="281">
        <v>0</v>
      </c>
      <c r="I640" s="280">
        <v>0</v>
      </c>
    </row>
    <row r="641" spans="1:9" x14ac:dyDescent="0.3">
      <c r="A641" s="326"/>
      <c r="B641" s="326"/>
      <c r="C641" s="282" t="s">
        <v>608</v>
      </c>
      <c r="D641" s="282">
        <v>13072</v>
      </c>
      <c r="E641" s="280">
        <v>128000</v>
      </c>
      <c r="F641" s="280">
        <v>65.599999999999994</v>
      </c>
      <c r="G641" s="280">
        <v>1</v>
      </c>
      <c r="H641" s="281">
        <v>0</v>
      </c>
      <c r="I641" s="280">
        <v>0</v>
      </c>
    </row>
    <row r="642" spans="1:9" x14ac:dyDescent="0.3">
      <c r="A642" s="326"/>
      <c r="B642" s="326"/>
      <c r="C642" s="282" t="s">
        <v>607</v>
      </c>
      <c r="D642" s="282">
        <v>13071</v>
      </c>
      <c r="E642" s="280">
        <v>98915</v>
      </c>
      <c r="F642" s="280">
        <v>49.4</v>
      </c>
      <c r="G642" s="280">
        <v>10.4</v>
      </c>
      <c r="H642" s="281">
        <v>0</v>
      </c>
      <c r="I642" s="280">
        <v>0</v>
      </c>
    </row>
    <row r="643" spans="1:9" x14ac:dyDescent="0.3">
      <c r="A643" s="326"/>
      <c r="B643" s="327"/>
      <c r="C643" s="282" t="s">
        <v>597</v>
      </c>
      <c r="D643" s="282">
        <v>13073</v>
      </c>
      <c r="E643" s="280">
        <v>101000</v>
      </c>
      <c r="F643" s="280">
        <v>51.8</v>
      </c>
      <c r="G643" s="280">
        <v>1</v>
      </c>
      <c r="H643" s="281">
        <v>0</v>
      </c>
      <c r="I643" s="280">
        <v>0</v>
      </c>
    </row>
    <row r="644" spans="1:9" x14ac:dyDescent="0.3">
      <c r="A644" s="326"/>
      <c r="B644" s="325" t="s">
        <v>606</v>
      </c>
      <c r="C644" s="282" t="s">
        <v>373</v>
      </c>
      <c r="D644" s="282" t="s">
        <v>373</v>
      </c>
      <c r="E644" s="282" t="s">
        <v>373</v>
      </c>
      <c r="F644" s="282" t="s">
        <v>373</v>
      </c>
      <c r="G644" s="282" t="s">
        <v>373</v>
      </c>
      <c r="H644" s="282" t="s">
        <v>373</v>
      </c>
      <c r="I644" s="282" t="s">
        <v>373</v>
      </c>
    </row>
    <row r="645" spans="1:9" x14ac:dyDescent="0.3">
      <c r="A645" s="326"/>
      <c r="B645" s="327"/>
      <c r="C645" s="282" t="s">
        <v>475</v>
      </c>
      <c r="D645" s="282">
        <v>7707</v>
      </c>
      <c r="E645" s="280">
        <v>158000</v>
      </c>
      <c r="F645" s="280">
        <v>81</v>
      </c>
      <c r="G645" s="280">
        <v>19.600000000000001</v>
      </c>
      <c r="H645" s="281">
        <v>0</v>
      </c>
      <c r="I645" s="280">
        <v>1</v>
      </c>
    </row>
    <row r="646" spans="1:9" x14ac:dyDescent="0.3">
      <c r="A646" s="326"/>
      <c r="B646" s="325" t="s">
        <v>605</v>
      </c>
      <c r="C646" s="282" t="s">
        <v>373</v>
      </c>
      <c r="D646" s="282" t="s">
        <v>373</v>
      </c>
      <c r="E646" s="282" t="s">
        <v>373</v>
      </c>
      <c r="F646" s="282" t="s">
        <v>373</v>
      </c>
      <c r="G646" s="282" t="s">
        <v>373</v>
      </c>
      <c r="H646" s="282" t="s">
        <v>373</v>
      </c>
      <c r="I646" s="282" t="s">
        <v>373</v>
      </c>
    </row>
    <row r="647" spans="1:9" x14ac:dyDescent="0.3">
      <c r="A647" s="326"/>
      <c r="B647" s="327"/>
      <c r="C647" s="282" t="s">
        <v>604</v>
      </c>
      <c r="D647" s="282">
        <v>23743</v>
      </c>
      <c r="E647" s="280">
        <v>116000</v>
      </c>
      <c r="F647" s="280">
        <v>59.5</v>
      </c>
      <c r="G647" s="280">
        <v>0</v>
      </c>
      <c r="H647" s="281">
        <v>0</v>
      </c>
      <c r="I647" s="280">
        <v>0</v>
      </c>
    </row>
    <row r="648" spans="1:9" x14ac:dyDescent="0.3">
      <c r="A648" s="326"/>
      <c r="B648" s="325" t="s">
        <v>603</v>
      </c>
      <c r="C648" s="282" t="s">
        <v>373</v>
      </c>
      <c r="D648" s="282" t="s">
        <v>373</v>
      </c>
      <c r="E648" s="282" t="s">
        <v>373</v>
      </c>
      <c r="F648" s="282" t="s">
        <v>373</v>
      </c>
      <c r="G648" s="282" t="s">
        <v>373</v>
      </c>
      <c r="H648" s="282" t="s">
        <v>373</v>
      </c>
      <c r="I648" s="282" t="s">
        <v>373</v>
      </c>
    </row>
    <row r="649" spans="1:9" x14ac:dyDescent="0.3">
      <c r="A649" s="326"/>
      <c r="B649" s="327"/>
      <c r="C649" s="282" t="s">
        <v>475</v>
      </c>
      <c r="D649" s="282">
        <v>15515</v>
      </c>
      <c r="E649" s="280">
        <v>0</v>
      </c>
      <c r="F649" s="280">
        <v>0</v>
      </c>
      <c r="G649" s="280">
        <v>1</v>
      </c>
      <c r="H649" s="282"/>
      <c r="I649" s="282"/>
    </row>
    <row r="650" spans="1:9" x14ac:dyDescent="0.3">
      <c r="A650" s="326"/>
      <c r="B650" s="325" t="s">
        <v>602</v>
      </c>
      <c r="C650" s="282" t="s">
        <v>373</v>
      </c>
      <c r="D650" s="282" t="s">
        <v>373</v>
      </c>
      <c r="E650" s="282" t="s">
        <v>373</v>
      </c>
      <c r="F650" s="282" t="s">
        <v>373</v>
      </c>
      <c r="G650" s="282" t="s">
        <v>373</v>
      </c>
      <c r="H650" s="282" t="s">
        <v>373</v>
      </c>
      <c r="I650" s="282" t="s">
        <v>373</v>
      </c>
    </row>
    <row r="651" spans="1:9" x14ac:dyDescent="0.3">
      <c r="A651" s="326"/>
      <c r="B651" s="326"/>
      <c r="C651" s="282" t="s">
        <v>601</v>
      </c>
      <c r="D651" s="282">
        <v>2611</v>
      </c>
      <c r="E651" s="280">
        <v>166756</v>
      </c>
      <c r="F651" s="280">
        <v>83.38</v>
      </c>
      <c r="G651" s="280">
        <v>20.100000000000001</v>
      </c>
      <c r="H651" s="281">
        <v>1</v>
      </c>
      <c r="I651" s="280">
        <v>16.399999999999999</v>
      </c>
    </row>
    <row r="652" spans="1:9" x14ac:dyDescent="0.3">
      <c r="A652" s="326"/>
      <c r="B652" s="326"/>
      <c r="C652" s="282" t="s">
        <v>600</v>
      </c>
      <c r="D652" s="282">
        <v>25423</v>
      </c>
      <c r="E652" s="280">
        <v>162000</v>
      </c>
      <c r="F652" s="280">
        <v>83.1</v>
      </c>
      <c r="G652" s="280">
        <v>0</v>
      </c>
      <c r="H652" s="281">
        <v>0</v>
      </c>
      <c r="I652" s="280">
        <v>0</v>
      </c>
    </row>
    <row r="653" spans="1:9" x14ac:dyDescent="0.3">
      <c r="A653" s="326"/>
      <c r="B653" s="326"/>
      <c r="C653" s="282" t="s">
        <v>599</v>
      </c>
      <c r="D653" s="282">
        <v>13075</v>
      </c>
      <c r="E653" s="280">
        <v>159000</v>
      </c>
      <c r="F653" s="280">
        <v>81.5</v>
      </c>
      <c r="G653" s="280">
        <v>19</v>
      </c>
      <c r="H653" s="281">
        <v>0</v>
      </c>
      <c r="I653" s="280">
        <v>0</v>
      </c>
    </row>
    <row r="654" spans="1:9" x14ac:dyDescent="0.3">
      <c r="A654" s="326"/>
      <c r="B654" s="326"/>
      <c r="C654" s="282" t="s">
        <v>598</v>
      </c>
      <c r="D654" s="282">
        <v>13074</v>
      </c>
      <c r="E654" s="280">
        <v>123000</v>
      </c>
      <c r="F654" s="280">
        <v>63.1</v>
      </c>
      <c r="G654" s="280">
        <v>13.8</v>
      </c>
      <c r="H654" s="281">
        <v>0</v>
      </c>
      <c r="I654" s="280">
        <v>0</v>
      </c>
    </row>
    <row r="655" spans="1:9" x14ac:dyDescent="0.3">
      <c r="A655" s="326"/>
      <c r="B655" s="327"/>
      <c r="C655" s="282" t="s">
        <v>597</v>
      </c>
      <c r="D655" s="282">
        <v>13076</v>
      </c>
      <c r="E655" s="280">
        <v>126000</v>
      </c>
      <c r="F655" s="280">
        <v>64.599999999999994</v>
      </c>
      <c r="G655" s="280">
        <v>1</v>
      </c>
      <c r="H655" s="281">
        <v>0</v>
      </c>
      <c r="I655" s="280">
        <v>0</v>
      </c>
    </row>
    <row r="656" spans="1:9" x14ac:dyDescent="0.3">
      <c r="A656" s="326"/>
      <c r="B656" s="325" t="s">
        <v>596</v>
      </c>
      <c r="C656" s="282" t="s">
        <v>373</v>
      </c>
      <c r="D656" s="282" t="s">
        <v>373</v>
      </c>
      <c r="E656" s="282" t="s">
        <v>373</v>
      </c>
      <c r="F656" s="282" t="s">
        <v>373</v>
      </c>
      <c r="G656" s="282" t="s">
        <v>373</v>
      </c>
      <c r="H656" s="282" t="s">
        <v>373</v>
      </c>
      <c r="I656" s="282" t="s">
        <v>373</v>
      </c>
    </row>
    <row r="657" spans="1:9" x14ac:dyDescent="0.3">
      <c r="A657" s="326"/>
      <c r="B657" s="326"/>
      <c r="C657" s="282" t="s">
        <v>595</v>
      </c>
      <c r="D657" s="282">
        <v>18240</v>
      </c>
      <c r="E657" s="280">
        <v>156729</v>
      </c>
      <c r="F657" s="280">
        <v>80.400000000000006</v>
      </c>
      <c r="G657" s="280">
        <v>20.399989999999999</v>
      </c>
      <c r="H657" s="281">
        <v>0</v>
      </c>
      <c r="I657" s="280">
        <v>0</v>
      </c>
    </row>
    <row r="658" spans="1:9" x14ac:dyDescent="0.3">
      <c r="A658" s="326"/>
      <c r="B658" s="326"/>
      <c r="C658" s="282" t="s">
        <v>594</v>
      </c>
      <c r="D658" s="282">
        <v>25422</v>
      </c>
      <c r="E658" s="280">
        <v>167000</v>
      </c>
      <c r="F658" s="280">
        <v>85.6</v>
      </c>
      <c r="G658" s="280">
        <v>0</v>
      </c>
      <c r="H658" s="281">
        <v>0</v>
      </c>
      <c r="I658" s="280">
        <v>0</v>
      </c>
    </row>
    <row r="659" spans="1:9" x14ac:dyDescent="0.3">
      <c r="A659" s="326"/>
      <c r="B659" s="326"/>
      <c r="C659" s="282" t="s">
        <v>593</v>
      </c>
      <c r="D659" s="282">
        <v>18241</v>
      </c>
      <c r="E659" s="280">
        <v>156729</v>
      </c>
      <c r="F659" s="280">
        <v>80.400000000000006</v>
      </c>
      <c r="G659" s="280">
        <v>16</v>
      </c>
      <c r="H659" s="281">
        <v>0</v>
      </c>
      <c r="I659" s="280">
        <v>0</v>
      </c>
    </row>
    <row r="660" spans="1:9" x14ac:dyDescent="0.3">
      <c r="A660" s="326"/>
      <c r="B660" s="326"/>
      <c r="C660" s="282" t="s">
        <v>592</v>
      </c>
      <c r="D660" s="282">
        <v>18243</v>
      </c>
      <c r="E660" s="280">
        <v>141358</v>
      </c>
      <c r="F660" s="280">
        <v>70.680000000000007</v>
      </c>
      <c r="G660" s="280">
        <v>14.4</v>
      </c>
      <c r="H660" s="281">
        <v>0</v>
      </c>
      <c r="I660" s="280">
        <v>0</v>
      </c>
    </row>
    <row r="661" spans="1:9" x14ac:dyDescent="0.3">
      <c r="A661" s="326"/>
      <c r="B661" s="327"/>
      <c r="C661" s="282" t="s">
        <v>591</v>
      </c>
      <c r="D661" s="282">
        <v>18242</v>
      </c>
      <c r="E661" s="280">
        <v>141358</v>
      </c>
      <c r="F661" s="280">
        <v>70.680000000000007</v>
      </c>
      <c r="G661" s="280">
        <v>1</v>
      </c>
      <c r="H661" s="281">
        <v>0</v>
      </c>
      <c r="I661" s="280">
        <v>0</v>
      </c>
    </row>
    <row r="662" spans="1:9" x14ac:dyDescent="0.3">
      <c r="A662" s="326"/>
      <c r="B662" s="325" t="s">
        <v>590</v>
      </c>
      <c r="C662" s="282" t="s">
        <v>373</v>
      </c>
      <c r="D662" s="282" t="s">
        <v>373</v>
      </c>
      <c r="E662" s="282" t="s">
        <v>373</v>
      </c>
      <c r="F662" s="282" t="s">
        <v>373</v>
      </c>
      <c r="G662" s="282" t="s">
        <v>373</v>
      </c>
      <c r="H662" s="282" t="s">
        <v>373</v>
      </c>
      <c r="I662" s="282" t="s">
        <v>373</v>
      </c>
    </row>
    <row r="663" spans="1:9" x14ac:dyDescent="0.3">
      <c r="A663" s="326"/>
      <c r="B663" s="326"/>
      <c r="C663" s="282" t="s">
        <v>589</v>
      </c>
      <c r="D663" s="282">
        <v>20715</v>
      </c>
      <c r="E663" s="280">
        <v>14921</v>
      </c>
      <c r="F663" s="280">
        <v>7.65</v>
      </c>
      <c r="G663" s="280">
        <v>1</v>
      </c>
      <c r="H663" s="281">
        <v>0</v>
      </c>
      <c r="I663" s="280">
        <v>0</v>
      </c>
    </row>
    <row r="664" spans="1:9" x14ac:dyDescent="0.3">
      <c r="A664" s="326"/>
      <c r="B664" s="326"/>
      <c r="C664" s="282" t="s">
        <v>588</v>
      </c>
      <c r="D664" s="282">
        <v>23092</v>
      </c>
      <c r="E664" s="280">
        <v>0</v>
      </c>
      <c r="F664" s="280">
        <v>0</v>
      </c>
      <c r="G664" s="280">
        <v>0</v>
      </c>
      <c r="H664" s="281">
        <v>0</v>
      </c>
      <c r="I664" s="280">
        <v>0</v>
      </c>
    </row>
    <row r="665" spans="1:9" x14ac:dyDescent="0.3">
      <c r="A665" s="326"/>
      <c r="B665" s="326"/>
      <c r="C665" s="282" t="s">
        <v>587</v>
      </c>
      <c r="D665" s="282">
        <v>4849</v>
      </c>
      <c r="E665" s="280">
        <v>1536</v>
      </c>
      <c r="F665" s="280">
        <v>0.77</v>
      </c>
      <c r="G665" s="280">
        <v>0.182</v>
      </c>
      <c r="H665" s="281">
        <v>100</v>
      </c>
      <c r="I665" s="280">
        <v>18.2</v>
      </c>
    </row>
    <row r="666" spans="1:9" x14ac:dyDescent="0.3">
      <c r="A666" s="326"/>
      <c r="B666" s="326"/>
      <c r="C666" s="282" t="s">
        <v>586</v>
      </c>
      <c r="D666" s="282">
        <v>4848</v>
      </c>
      <c r="E666" s="280">
        <v>1536</v>
      </c>
      <c r="F666" s="280">
        <v>0.77</v>
      </c>
      <c r="G666" s="280">
        <v>0.17599999999999999</v>
      </c>
      <c r="H666" s="281">
        <v>100</v>
      </c>
      <c r="I666" s="280">
        <v>18.2</v>
      </c>
    </row>
    <row r="667" spans="1:9" x14ac:dyDescent="0.3">
      <c r="A667" s="326"/>
      <c r="B667" s="326"/>
      <c r="C667" s="282" t="s">
        <v>585</v>
      </c>
      <c r="D667" s="282">
        <v>23094</v>
      </c>
      <c r="E667" s="280">
        <v>0</v>
      </c>
      <c r="F667" s="280">
        <v>0</v>
      </c>
      <c r="G667" s="280">
        <v>0</v>
      </c>
      <c r="H667" s="281">
        <v>0</v>
      </c>
      <c r="I667" s="280">
        <v>0</v>
      </c>
    </row>
    <row r="668" spans="1:9" x14ac:dyDescent="0.3">
      <c r="A668" s="326"/>
      <c r="B668" s="326"/>
      <c r="C668" s="282" t="s">
        <v>584</v>
      </c>
      <c r="D668" s="282">
        <v>4679</v>
      </c>
      <c r="E668" s="280">
        <v>2100</v>
      </c>
      <c r="F668" s="280">
        <v>1.1000000000000001</v>
      </c>
      <c r="G668" s="280">
        <v>1</v>
      </c>
      <c r="H668" s="281">
        <v>0</v>
      </c>
      <c r="I668" s="280">
        <v>0</v>
      </c>
    </row>
    <row r="669" spans="1:9" x14ac:dyDescent="0.3">
      <c r="A669" s="326"/>
      <c r="B669" s="327"/>
      <c r="C669" s="282" t="s">
        <v>583</v>
      </c>
      <c r="D669" s="282">
        <v>23096</v>
      </c>
      <c r="E669" s="280">
        <v>0</v>
      </c>
      <c r="F669" s="280">
        <v>0</v>
      </c>
      <c r="G669" s="280">
        <v>0</v>
      </c>
      <c r="H669" s="281">
        <v>0</v>
      </c>
      <c r="I669" s="280">
        <v>0</v>
      </c>
    </row>
    <row r="670" spans="1:9" x14ac:dyDescent="0.3">
      <c r="A670" s="326"/>
      <c r="B670" s="325" t="s">
        <v>582</v>
      </c>
      <c r="C670" s="282" t="s">
        <v>373</v>
      </c>
      <c r="D670" s="282" t="s">
        <v>373</v>
      </c>
      <c r="E670" s="282" t="s">
        <v>373</v>
      </c>
      <c r="F670" s="282" t="s">
        <v>373</v>
      </c>
      <c r="G670" s="282" t="s">
        <v>373</v>
      </c>
      <c r="H670" s="282" t="s">
        <v>373</v>
      </c>
      <c r="I670" s="282" t="s">
        <v>373</v>
      </c>
    </row>
    <row r="671" spans="1:9" x14ac:dyDescent="0.3">
      <c r="A671" s="326"/>
      <c r="B671" s="326"/>
      <c r="C671" s="282" t="s">
        <v>581</v>
      </c>
      <c r="D671" s="282">
        <v>13144</v>
      </c>
      <c r="E671" s="280">
        <v>57360</v>
      </c>
      <c r="F671" s="280">
        <v>29.4</v>
      </c>
      <c r="G671" s="280">
        <v>13.69999</v>
      </c>
      <c r="H671" s="281">
        <v>0</v>
      </c>
      <c r="I671" s="280">
        <v>0</v>
      </c>
    </row>
    <row r="672" spans="1:9" x14ac:dyDescent="0.3">
      <c r="A672" s="326"/>
      <c r="B672" s="326"/>
      <c r="C672" s="282" t="s">
        <v>580</v>
      </c>
      <c r="D672" s="282">
        <v>13143</v>
      </c>
      <c r="E672" s="280">
        <v>62670</v>
      </c>
      <c r="F672" s="280">
        <v>32.1</v>
      </c>
      <c r="G672" s="280">
        <v>11.6</v>
      </c>
      <c r="H672" s="281">
        <v>0</v>
      </c>
      <c r="I672" s="280">
        <v>0</v>
      </c>
    </row>
    <row r="673" spans="1:9" x14ac:dyDescent="0.3">
      <c r="A673" s="326"/>
      <c r="B673" s="326"/>
      <c r="C673" s="282" t="s">
        <v>579</v>
      </c>
      <c r="D673" s="282">
        <v>25113</v>
      </c>
      <c r="E673" s="280">
        <v>67980</v>
      </c>
      <c r="F673" s="280">
        <v>34.9</v>
      </c>
      <c r="G673" s="280">
        <v>0</v>
      </c>
      <c r="H673" s="281">
        <v>0</v>
      </c>
      <c r="I673" s="280">
        <v>0</v>
      </c>
    </row>
    <row r="674" spans="1:9" x14ac:dyDescent="0.3">
      <c r="A674" s="326"/>
      <c r="B674" s="326"/>
      <c r="C674" s="282" t="s">
        <v>578</v>
      </c>
      <c r="D674" s="282">
        <v>25114</v>
      </c>
      <c r="E674" s="280">
        <v>73290</v>
      </c>
      <c r="F674" s="280">
        <v>37.6</v>
      </c>
      <c r="G674" s="280">
        <v>0</v>
      </c>
      <c r="H674" s="281">
        <v>0</v>
      </c>
      <c r="I674" s="280">
        <v>0</v>
      </c>
    </row>
    <row r="675" spans="1:9" x14ac:dyDescent="0.3">
      <c r="A675" s="326"/>
      <c r="B675" s="326"/>
      <c r="C675" s="282" t="s">
        <v>577</v>
      </c>
      <c r="D675" s="282">
        <v>13080</v>
      </c>
      <c r="E675" s="280">
        <v>78600</v>
      </c>
      <c r="F675" s="280">
        <v>40.299999999999997</v>
      </c>
      <c r="G675" s="280">
        <v>9.4</v>
      </c>
      <c r="H675" s="281">
        <v>0</v>
      </c>
      <c r="I675" s="280">
        <v>0</v>
      </c>
    </row>
    <row r="676" spans="1:9" x14ac:dyDescent="0.3">
      <c r="A676" s="326"/>
      <c r="B676" s="326"/>
      <c r="C676" s="282" t="s">
        <v>576</v>
      </c>
      <c r="D676" s="282">
        <v>25115</v>
      </c>
      <c r="E676" s="280">
        <v>83900</v>
      </c>
      <c r="F676" s="280">
        <v>43</v>
      </c>
      <c r="G676" s="280">
        <v>0</v>
      </c>
      <c r="H676" s="281">
        <v>0</v>
      </c>
      <c r="I676" s="280">
        <v>0</v>
      </c>
    </row>
    <row r="677" spans="1:9" x14ac:dyDescent="0.3">
      <c r="A677" s="326"/>
      <c r="B677" s="326"/>
      <c r="C677" s="282" t="s">
        <v>575</v>
      </c>
      <c r="D677" s="282">
        <v>25116</v>
      </c>
      <c r="E677" s="280">
        <v>123990</v>
      </c>
      <c r="F677" s="280">
        <v>63.6</v>
      </c>
      <c r="G677" s="280">
        <v>0</v>
      </c>
      <c r="H677" s="281">
        <v>0</v>
      </c>
      <c r="I677" s="280">
        <v>0</v>
      </c>
    </row>
    <row r="678" spans="1:9" x14ac:dyDescent="0.3">
      <c r="A678" s="326"/>
      <c r="B678" s="326"/>
      <c r="C678" s="282" t="s">
        <v>574</v>
      </c>
      <c r="D678" s="282">
        <v>13145</v>
      </c>
      <c r="E678" s="280">
        <v>63030</v>
      </c>
      <c r="F678" s="280">
        <v>32.299999999999997</v>
      </c>
      <c r="G678" s="280">
        <v>16</v>
      </c>
      <c r="H678" s="281">
        <v>0</v>
      </c>
      <c r="I678" s="280">
        <v>0</v>
      </c>
    </row>
    <row r="679" spans="1:9" x14ac:dyDescent="0.3">
      <c r="A679" s="326"/>
      <c r="B679" s="326"/>
      <c r="C679" s="282" t="s">
        <v>573</v>
      </c>
      <c r="D679" s="282">
        <v>25117</v>
      </c>
      <c r="E679" s="280">
        <v>69230</v>
      </c>
      <c r="F679" s="280">
        <v>35.5</v>
      </c>
      <c r="G679" s="280">
        <v>0</v>
      </c>
      <c r="H679" s="281">
        <v>0</v>
      </c>
      <c r="I679" s="280">
        <v>0</v>
      </c>
    </row>
    <row r="680" spans="1:9" x14ac:dyDescent="0.3">
      <c r="A680" s="326"/>
      <c r="B680" s="326"/>
      <c r="C680" s="282" t="s">
        <v>572</v>
      </c>
      <c r="D680" s="282">
        <v>25118</v>
      </c>
      <c r="E680" s="280">
        <v>75440</v>
      </c>
      <c r="F680" s="280">
        <v>38.700000000000003</v>
      </c>
      <c r="G680" s="280">
        <v>0</v>
      </c>
      <c r="H680" s="281">
        <v>0</v>
      </c>
      <c r="I680" s="280">
        <v>0</v>
      </c>
    </row>
    <row r="681" spans="1:9" x14ac:dyDescent="0.3">
      <c r="A681" s="326"/>
      <c r="B681" s="326"/>
      <c r="C681" s="282" t="s">
        <v>571</v>
      </c>
      <c r="D681" s="282">
        <v>25119</v>
      </c>
      <c r="E681" s="280">
        <v>81640</v>
      </c>
      <c r="F681" s="280">
        <v>41.9</v>
      </c>
      <c r="G681" s="280">
        <v>0</v>
      </c>
      <c r="H681" s="281">
        <v>0</v>
      </c>
      <c r="I681" s="280">
        <v>0</v>
      </c>
    </row>
    <row r="682" spans="1:9" x14ac:dyDescent="0.3">
      <c r="A682" s="326"/>
      <c r="B682" s="326"/>
      <c r="C682" s="282" t="s">
        <v>570</v>
      </c>
      <c r="D682" s="282">
        <v>13081</v>
      </c>
      <c r="E682" s="280">
        <v>87840</v>
      </c>
      <c r="F682" s="280">
        <v>45</v>
      </c>
      <c r="G682" s="280">
        <v>12.3</v>
      </c>
      <c r="H682" s="281">
        <v>0</v>
      </c>
      <c r="I682" s="280">
        <v>0</v>
      </c>
    </row>
    <row r="683" spans="1:9" x14ac:dyDescent="0.3">
      <c r="A683" s="326"/>
      <c r="B683" s="326"/>
      <c r="C683" s="282" t="s">
        <v>569</v>
      </c>
      <c r="D683" s="282">
        <v>25120</v>
      </c>
      <c r="E683" s="280">
        <v>94050</v>
      </c>
      <c r="F683" s="280">
        <v>48.2</v>
      </c>
      <c r="G683" s="280">
        <v>0</v>
      </c>
      <c r="H683" s="281">
        <v>0</v>
      </c>
      <c r="I683" s="280">
        <v>0</v>
      </c>
    </row>
    <row r="684" spans="1:9" x14ac:dyDescent="0.3">
      <c r="A684" s="326"/>
      <c r="B684" s="326"/>
      <c r="C684" s="282" t="s">
        <v>568</v>
      </c>
      <c r="D684" s="282">
        <v>25121</v>
      </c>
      <c r="E684" s="280">
        <v>141240</v>
      </c>
      <c r="F684" s="280">
        <v>72.400000000000006</v>
      </c>
      <c r="G684" s="280">
        <v>0</v>
      </c>
      <c r="H684" s="281">
        <v>0</v>
      </c>
      <c r="I684" s="280">
        <v>0</v>
      </c>
    </row>
    <row r="685" spans="1:9" x14ac:dyDescent="0.3">
      <c r="A685" s="326"/>
      <c r="B685" s="326"/>
      <c r="C685" s="282" t="s">
        <v>567</v>
      </c>
      <c r="D685" s="282">
        <v>13146</v>
      </c>
      <c r="E685" s="280">
        <v>70860</v>
      </c>
      <c r="F685" s="280">
        <v>36.299999999999997</v>
      </c>
      <c r="G685" s="280">
        <v>15</v>
      </c>
      <c r="H685" s="281">
        <v>0</v>
      </c>
      <c r="I685" s="280">
        <v>0</v>
      </c>
    </row>
    <row r="686" spans="1:9" x14ac:dyDescent="0.3">
      <c r="A686" s="326"/>
      <c r="B686" s="326"/>
      <c r="C686" s="282" t="s">
        <v>566</v>
      </c>
      <c r="D686" s="282">
        <v>25122</v>
      </c>
      <c r="E686" s="280">
        <v>77950</v>
      </c>
      <c r="F686" s="280">
        <v>40</v>
      </c>
      <c r="G686" s="280">
        <v>0</v>
      </c>
      <c r="H686" s="281">
        <v>0</v>
      </c>
      <c r="I686" s="280">
        <v>0</v>
      </c>
    </row>
    <row r="687" spans="1:9" x14ac:dyDescent="0.3">
      <c r="A687" s="326"/>
      <c r="B687" s="326"/>
      <c r="C687" s="282" t="s">
        <v>565</v>
      </c>
      <c r="D687" s="282">
        <v>25123</v>
      </c>
      <c r="E687" s="280">
        <v>85050</v>
      </c>
      <c r="F687" s="280">
        <v>43.6</v>
      </c>
      <c r="G687" s="280">
        <v>0</v>
      </c>
      <c r="H687" s="281">
        <v>0</v>
      </c>
      <c r="I687" s="280">
        <v>0</v>
      </c>
    </row>
    <row r="688" spans="1:9" x14ac:dyDescent="0.3">
      <c r="A688" s="326"/>
      <c r="B688" s="326"/>
      <c r="C688" s="282" t="s">
        <v>564</v>
      </c>
      <c r="D688" s="282">
        <v>25124</v>
      </c>
      <c r="E688" s="280">
        <v>92150</v>
      </c>
      <c r="F688" s="280">
        <v>47.3</v>
      </c>
      <c r="G688" s="280">
        <v>0</v>
      </c>
      <c r="H688" s="281">
        <v>0</v>
      </c>
      <c r="I688" s="280">
        <v>0</v>
      </c>
    </row>
    <row r="689" spans="1:9" x14ac:dyDescent="0.3">
      <c r="A689" s="326"/>
      <c r="B689" s="326"/>
      <c r="C689" s="282" t="s">
        <v>563</v>
      </c>
      <c r="D689" s="282">
        <v>13082</v>
      </c>
      <c r="E689" s="280">
        <v>99250</v>
      </c>
      <c r="F689" s="280">
        <v>50.9</v>
      </c>
      <c r="G689" s="280">
        <v>15.6</v>
      </c>
      <c r="H689" s="281">
        <v>0</v>
      </c>
      <c r="I689" s="280">
        <v>0</v>
      </c>
    </row>
    <row r="690" spans="1:9" x14ac:dyDescent="0.3">
      <c r="A690" s="326"/>
      <c r="B690" s="326"/>
      <c r="C690" s="282" t="s">
        <v>562</v>
      </c>
      <c r="D690" s="282">
        <v>25125</v>
      </c>
      <c r="E690" s="280">
        <v>106350</v>
      </c>
      <c r="F690" s="280">
        <v>54.5</v>
      </c>
      <c r="G690" s="280">
        <v>0</v>
      </c>
      <c r="H690" s="281">
        <v>0</v>
      </c>
      <c r="I690" s="280">
        <v>0</v>
      </c>
    </row>
    <row r="691" spans="1:9" x14ac:dyDescent="0.3">
      <c r="A691" s="326"/>
      <c r="B691" s="326"/>
      <c r="C691" s="282" t="s">
        <v>561</v>
      </c>
      <c r="D691" s="282">
        <v>25126</v>
      </c>
      <c r="E691" s="280">
        <v>160980</v>
      </c>
      <c r="F691" s="280">
        <v>82.6</v>
      </c>
      <c r="G691" s="280">
        <v>0</v>
      </c>
      <c r="H691" s="281">
        <v>0</v>
      </c>
      <c r="I691" s="280">
        <v>0</v>
      </c>
    </row>
    <row r="692" spans="1:9" x14ac:dyDescent="0.3">
      <c r="A692" s="326"/>
      <c r="B692" s="326"/>
      <c r="C692" s="282" t="s">
        <v>560</v>
      </c>
      <c r="D692" s="282">
        <v>13141</v>
      </c>
      <c r="E692" s="280">
        <v>41400</v>
      </c>
      <c r="F692" s="280">
        <v>21.2</v>
      </c>
      <c r="G692" s="280">
        <v>5.7</v>
      </c>
      <c r="H692" s="281">
        <v>0</v>
      </c>
      <c r="I692" s="280">
        <v>0</v>
      </c>
    </row>
    <row r="693" spans="1:9" x14ac:dyDescent="0.3">
      <c r="A693" s="326"/>
      <c r="B693" s="326"/>
      <c r="C693" s="282" t="s">
        <v>559</v>
      </c>
      <c r="D693" s="282">
        <v>25095</v>
      </c>
      <c r="E693" s="280">
        <v>44020</v>
      </c>
      <c r="F693" s="280">
        <v>22.6</v>
      </c>
      <c r="G693" s="280">
        <v>0</v>
      </c>
      <c r="H693" s="281">
        <v>0</v>
      </c>
      <c r="I693" s="280">
        <v>0</v>
      </c>
    </row>
    <row r="694" spans="1:9" x14ac:dyDescent="0.3">
      <c r="A694" s="326"/>
      <c r="B694" s="326"/>
      <c r="C694" s="282" t="s">
        <v>558</v>
      </c>
      <c r="D694" s="282">
        <v>25096</v>
      </c>
      <c r="E694" s="280">
        <v>46650</v>
      </c>
      <c r="F694" s="280">
        <v>23.9</v>
      </c>
      <c r="G694" s="280">
        <v>0</v>
      </c>
      <c r="H694" s="281">
        <v>0</v>
      </c>
      <c r="I694" s="280">
        <v>0</v>
      </c>
    </row>
    <row r="695" spans="1:9" x14ac:dyDescent="0.3">
      <c r="A695" s="326"/>
      <c r="B695" s="326"/>
      <c r="C695" s="282" t="s">
        <v>557</v>
      </c>
      <c r="D695" s="282">
        <v>25097</v>
      </c>
      <c r="E695" s="280">
        <v>49270</v>
      </c>
      <c r="F695" s="280">
        <v>25.3</v>
      </c>
      <c r="G695" s="280">
        <v>0</v>
      </c>
      <c r="H695" s="281">
        <v>0</v>
      </c>
      <c r="I695" s="280">
        <v>0</v>
      </c>
    </row>
    <row r="696" spans="1:9" x14ac:dyDescent="0.3">
      <c r="A696" s="326"/>
      <c r="B696" s="326"/>
      <c r="C696" s="282" t="s">
        <v>556</v>
      </c>
      <c r="D696" s="282">
        <v>13077</v>
      </c>
      <c r="E696" s="280">
        <v>51900</v>
      </c>
      <c r="F696" s="280">
        <v>26.6</v>
      </c>
      <c r="G696" s="280">
        <v>3.8</v>
      </c>
      <c r="H696" s="281">
        <v>0</v>
      </c>
      <c r="I696" s="280">
        <v>0</v>
      </c>
    </row>
    <row r="697" spans="1:9" x14ac:dyDescent="0.3">
      <c r="A697" s="326"/>
      <c r="B697" s="326"/>
      <c r="C697" s="282" t="s">
        <v>555</v>
      </c>
      <c r="D697" s="282">
        <v>25098</v>
      </c>
      <c r="E697" s="280">
        <v>54520</v>
      </c>
      <c r="F697" s="280">
        <v>28</v>
      </c>
      <c r="G697" s="280">
        <v>0</v>
      </c>
      <c r="H697" s="281">
        <v>0</v>
      </c>
      <c r="I697" s="280">
        <v>0</v>
      </c>
    </row>
    <row r="698" spans="1:9" x14ac:dyDescent="0.3">
      <c r="A698" s="326"/>
      <c r="B698" s="326"/>
      <c r="C698" s="282" t="s">
        <v>554</v>
      </c>
      <c r="D698" s="282">
        <v>25099</v>
      </c>
      <c r="E698" s="280">
        <v>73440</v>
      </c>
      <c r="F698" s="280">
        <v>37.700000000000003</v>
      </c>
      <c r="G698" s="280">
        <v>0</v>
      </c>
      <c r="H698" s="281">
        <v>0</v>
      </c>
      <c r="I698" s="280">
        <v>0</v>
      </c>
    </row>
    <row r="699" spans="1:9" x14ac:dyDescent="0.3">
      <c r="A699" s="326"/>
      <c r="B699" s="326"/>
      <c r="C699" s="282" t="s">
        <v>553</v>
      </c>
      <c r="D699" s="282">
        <v>13142</v>
      </c>
      <c r="E699" s="280">
        <v>46570</v>
      </c>
      <c r="F699" s="280">
        <v>23.9</v>
      </c>
      <c r="G699" s="280">
        <v>8.8000000000000007</v>
      </c>
      <c r="H699" s="281">
        <v>0</v>
      </c>
      <c r="I699" s="280">
        <v>0</v>
      </c>
    </row>
    <row r="700" spans="1:9" x14ac:dyDescent="0.3">
      <c r="A700" s="326"/>
      <c r="B700" s="326"/>
      <c r="C700" s="282" t="s">
        <v>552</v>
      </c>
      <c r="D700" s="282">
        <v>25100</v>
      </c>
      <c r="E700" s="280">
        <v>50090</v>
      </c>
      <c r="F700" s="280">
        <v>25.7</v>
      </c>
      <c r="G700" s="280">
        <v>0</v>
      </c>
      <c r="H700" s="281">
        <v>0</v>
      </c>
      <c r="I700" s="280">
        <v>0</v>
      </c>
    </row>
    <row r="701" spans="1:9" x14ac:dyDescent="0.3">
      <c r="A701" s="326"/>
      <c r="B701" s="326"/>
      <c r="C701" s="282" t="s">
        <v>551</v>
      </c>
      <c r="D701" s="282">
        <v>25101</v>
      </c>
      <c r="E701" s="280">
        <v>53610</v>
      </c>
      <c r="F701" s="280">
        <v>27.5</v>
      </c>
      <c r="G701" s="280">
        <v>0</v>
      </c>
      <c r="H701" s="281">
        <v>0</v>
      </c>
      <c r="I701" s="280">
        <v>0</v>
      </c>
    </row>
    <row r="702" spans="1:9" x14ac:dyDescent="0.3">
      <c r="A702" s="326"/>
      <c r="B702" s="326"/>
      <c r="C702" s="282" t="s">
        <v>550</v>
      </c>
      <c r="D702" s="282">
        <v>25102</v>
      </c>
      <c r="E702" s="280">
        <v>57130</v>
      </c>
      <c r="F702" s="280">
        <v>29.3</v>
      </c>
      <c r="G702" s="280">
        <v>0</v>
      </c>
      <c r="H702" s="281">
        <v>0</v>
      </c>
      <c r="I702" s="280">
        <v>0</v>
      </c>
    </row>
    <row r="703" spans="1:9" x14ac:dyDescent="0.3">
      <c r="A703" s="326"/>
      <c r="B703" s="326"/>
      <c r="C703" s="282" t="s">
        <v>549</v>
      </c>
      <c r="D703" s="282">
        <v>13078</v>
      </c>
      <c r="E703" s="280">
        <v>60650</v>
      </c>
      <c r="F703" s="280">
        <v>31.1</v>
      </c>
      <c r="G703" s="280">
        <v>7.4</v>
      </c>
      <c r="H703" s="281">
        <v>0</v>
      </c>
      <c r="I703" s="280">
        <v>0</v>
      </c>
    </row>
    <row r="704" spans="1:9" x14ac:dyDescent="0.3">
      <c r="A704" s="326"/>
      <c r="B704" s="326"/>
      <c r="C704" s="282" t="s">
        <v>548</v>
      </c>
      <c r="D704" s="282">
        <v>25103</v>
      </c>
      <c r="E704" s="280">
        <v>64160</v>
      </c>
      <c r="F704" s="280">
        <v>32.9</v>
      </c>
      <c r="G704" s="280">
        <v>0</v>
      </c>
      <c r="H704" s="281">
        <v>0</v>
      </c>
      <c r="I704" s="280">
        <v>0</v>
      </c>
    </row>
    <row r="705" spans="1:9" x14ac:dyDescent="0.3">
      <c r="A705" s="326"/>
      <c r="B705" s="326"/>
      <c r="C705" s="282" t="s">
        <v>547</v>
      </c>
      <c r="D705" s="282">
        <v>25104</v>
      </c>
      <c r="E705" s="280">
        <v>90110</v>
      </c>
      <c r="F705" s="280">
        <v>46.2</v>
      </c>
      <c r="G705" s="280">
        <v>0</v>
      </c>
      <c r="H705" s="281">
        <v>0</v>
      </c>
      <c r="I705" s="280">
        <v>0</v>
      </c>
    </row>
    <row r="706" spans="1:9" x14ac:dyDescent="0.3">
      <c r="A706" s="326"/>
      <c r="B706" s="326"/>
      <c r="C706" s="282" t="s">
        <v>546</v>
      </c>
      <c r="D706" s="282">
        <v>18292</v>
      </c>
      <c r="E706" s="280">
        <v>51890</v>
      </c>
      <c r="F706" s="280">
        <v>26.6</v>
      </c>
      <c r="G706" s="280">
        <v>1</v>
      </c>
      <c r="H706" s="282"/>
      <c r="I706" s="282"/>
    </row>
    <row r="707" spans="1:9" x14ac:dyDescent="0.3">
      <c r="A707" s="326"/>
      <c r="B707" s="326"/>
      <c r="C707" s="282" t="s">
        <v>545</v>
      </c>
      <c r="D707" s="282">
        <v>18293</v>
      </c>
      <c r="E707" s="280">
        <v>56300</v>
      </c>
      <c r="F707" s="280">
        <v>28.9</v>
      </c>
      <c r="G707" s="280">
        <v>1</v>
      </c>
      <c r="H707" s="282"/>
      <c r="I707" s="282"/>
    </row>
    <row r="708" spans="1:9" x14ac:dyDescent="0.3">
      <c r="A708" s="326"/>
      <c r="B708" s="326"/>
      <c r="C708" s="282" t="s">
        <v>544</v>
      </c>
      <c r="D708" s="282">
        <v>18296</v>
      </c>
      <c r="E708" s="280">
        <v>60710</v>
      </c>
      <c r="F708" s="280">
        <v>31.1</v>
      </c>
      <c r="G708" s="280">
        <v>1</v>
      </c>
      <c r="H708" s="282"/>
      <c r="I708" s="282"/>
    </row>
    <row r="709" spans="1:9" x14ac:dyDescent="0.3">
      <c r="A709" s="326"/>
      <c r="B709" s="326"/>
      <c r="C709" s="282" t="s">
        <v>543</v>
      </c>
      <c r="D709" s="282">
        <v>18295</v>
      </c>
      <c r="E709" s="280">
        <v>65130</v>
      </c>
      <c r="F709" s="280">
        <v>33.4</v>
      </c>
      <c r="G709" s="280">
        <v>1</v>
      </c>
      <c r="H709" s="282"/>
      <c r="I709" s="282"/>
    </row>
    <row r="710" spans="1:9" x14ac:dyDescent="0.3">
      <c r="A710" s="326"/>
      <c r="B710" s="326"/>
      <c r="C710" s="282" t="s">
        <v>542</v>
      </c>
      <c r="D710" s="282">
        <v>13079</v>
      </c>
      <c r="E710" s="280">
        <v>69540</v>
      </c>
      <c r="F710" s="280">
        <v>35.700000000000003</v>
      </c>
      <c r="G710" s="280">
        <v>8.8000000000000007</v>
      </c>
      <c r="H710" s="281">
        <v>0</v>
      </c>
      <c r="I710" s="280">
        <v>0</v>
      </c>
    </row>
    <row r="711" spans="1:9" x14ac:dyDescent="0.3">
      <c r="A711" s="326"/>
      <c r="B711" s="326"/>
      <c r="C711" s="282" t="s">
        <v>541</v>
      </c>
      <c r="D711" s="282">
        <v>18297</v>
      </c>
      <c r="E711" s="280">
        <v>73950</v>
      </c>
      <c r="F711" s="280">
        <v>37.9</v>
      </c>
      <c r="G711" s="280">
        <v>1</v>
      </c>
      <c r="H711" s="282"/>
      <c r="I711" s="282"/>
    </row>
    <row r="712" spans="1:9" x14ac:dyDescent="0.3">
      <c r="A712" s="326"/>
      <c r="B712" s="326"/>
      <c r="C712" s="282" t="s">
        <v>540</v>
      </c>
      <c r="D712" s="282">
        <v>18294</v>
      </c>
      <c r="E712" s="280">
        <v>106960</v>
      </c>
      <c r="F712" s="280">
        <v>54.9</v>
      </c>
      <c r="G712" s="280">
        <v>14</v>
      </c>
      <c r="H712" s="282"/>
      <c r="I712" s="280">
        <v>14</v>
      </c>
    </row>
    <row r="713" spans="1:9" x14ac:dyDescent="0.3">
      <c r="A713" s="326"/>
      <c r="B713" s="326"/>
      <c r="C713" s="282" t="s">
        <v>539</v>
      </c>
      <c r="D713" s="282">
        <v>11431</v>
      </c>
      <c r="E713" s="280">
        <v>260200</v>
      </c>
      <c r="F713" s="280">
        <v>133.4</v>
      </c>
      <c r="G713" s="280">
        <v>0</v>
      </c>
      <c r="H713" s="281">
        <v>0</v>
      </c>
      <c r="I713" s="280">
        <v>0</v>
      </c>
    </row>
    <row r="714" spans="1:9" x14ac:dyDescent="0.3">
      <c r="A714" s="326"/>
      <c r="B714" s="327"/>
      <c r="C714" s="282" t="s">
        <v>538</v>
      </c>
      <c r="D714" s="282">
        <v>8422</v>
      </c>
      <c r="E714" s="280">
        <v>182000</v>
      </c>
      <c r="F714" s="280">
        <v>93.3</v>
      </c>
      <c r="G714" s="280">
        <v>21.4</v>
      </c>
      <c r="H714" s="281">
        <v>0</v>
      </c>
      <c r="I714" s="280">
        <v>21.4</v>
      </c>
    </row>
    <row r="715" spans="1:9" x14ac:dyDescent="0.3">
      <c r="A715" s="326"/>
      <c r="B715" s="325" t="s">
        <v>537</v>
      </c>
      <c r="C715" s="282" t="s">
        <v>373</v>
      </c>
      <c r="D715" s="282" t="s">
        <v>373</v>
      </c>
      <c r="E715" s="282" t="s">
        <v>373</v>
      </c>
      <c r="F715" s="282" t="s">
        <v>373</v>
      </c>
      <c r="G715" s="282" t="s">
        <v>373</v>
      </c>
      <c r="H715" s="282" t="s">
        <v>373</v>
      </c>
      <c r="I715" s="282" t="s">
        <v>373</v>
      </c>
    </row>
    <row r="716" spans="1:9" x14ac:dyDescent="0.3">
      <c r="A716" s="326"/>
      <c r="B716" s="326"/>
      <c r="C716" s="282" t="s">
        <v>536</v>
      </c>
      <c r="D716" s="282">
        <v>23641</v>
      </c>
      <c r="E716" s="280">
        <v>94000</v>
      </c>
      <c r="F716" s="280">
        <v>48.2</v>
      </c>
      <c r="G716" s="280">
        <v>8.1</v>
      </c>
      <c r="H716" s="281">
        <v>0</v>
      </c>
      <c r="I716" s="280">
        <v>0</v>
      </c>
    </row>
    <row r="717" spans="1:9" x14ac:dyDescent="0.3">
      <c r="A717" s="326"/>
      <c r="B717" s="326"/>
      <c r="C717" s="282" t="s">
        <v>535</v>
      </c>
      <c r="D717" s="282">
        <v>26872</v>
      </c>
      <c r="E717" s="280">
        <v>79600</v>
      </c>
      <c r="F717" s="280">
        <v>40.799999999999997</v>
      </c>
      <c r="G717" s="280">
        <v>9.1999999999999993</v>
      </c>
      <c r="H717" s="281">
        <v>0</v>
      </c>
      <c r="I717" s="280">
        <v>0</v>
      </c>
    </row>
    <row r="718" spans="1:9" x14ac:dyDescent="0.3">
      <c r="A718" s="326"/>
      <c r="B718" s="326"/>
      <c r="C718" s="282" t="s">
        <v>534</v>
      </c>
      <c r="D718" s="282">
        <v>8325</v>
      </c>
      <c r="E718" s="280">
        <v>119300</v>
      </c>
      <c r="F718" s="280">
        <v>61.2</v>
      </c>
      <c r="G718" s="280">
        <v>1</v>
      </c>
      <c r="H718" s="281">
        <v>0</v>
      </c>
      <c r="I718" s="280">
        <v>1</v>
      </c>
    </row>
    <row r="719" spans="1:9" x14ac:dyDescent="0.3">
      <c r="A719" s="326"/>
      <c r="B719" s="326"/>
      <c r="C719" s="282" t="s">
        <v>533</v>
      </c>
      <c r="D719" s="282">
        <v>26673</v>
      </c>
      <c r="E719" s="280">
        <v>168000</v>
      </c>
      <c r="F719" s="280">
        <v>86.2</v>
      </c>
      <c r="G719" s="280">
        <v>0</v>
      </c>
      <c r="H719" s="281">
        <v>0</v>
      </c>
      <c r="I719" s="280">
        <v>0</v>
      </c>
    </row>
    <row r="720" spans="1:9" x14ac:dyDescent="0.3">
      <c r="A720" s="326"/>
      <c r="B720" s="326"/>
      <c r="C720" s="282" t="s">
        <v>532</v>
      </c>
      <c r="D720" s="282">
        <v>28087</v>
      </c>
      <c r="E720" s="280">
        <v>178200</v>
      </c>
      <c r="F720" s="280">
        <v>91.4</v>
      </c>
      <c r="G720" s="280">
        <v>0</v>
      </c>
      <c r="H720" s="281">
        <v>0</v>
      </c>
      <c r="I720" s="280">
        <v>0</v>
      </c>
    </row>
    <row r="721" spans="1:9" x14ac:dyDescent="0.3">
      <c r="A721" s="326"/>
      <c r="B721" s="326"/>
      <c r="C721" s="282" t="s">
        <v>531</v>
      </c>
      <c r="D721" s="282">
        <v>26674</v>
      </c>
      <c r="E721" s="280">
        <v>203150</v>
      </c>
      <c r="F721" s="280">
        <v>104.2</v>
      </c>
      <c r="G721" s="280">
        <v>0</v>
      </c>
      <c r="H721" s="281">
        <v>0</v>
      </c>
      <c r="I721" s="280">
        <v>0</v>
      </c>
    </row>
    <row r="722" spans="1:9" x14ac:dyDescent="0.3">
      <c r="A722" s="326"/>
      <c r="B722" s="327"/>
      <c r="C722" s="282" t="s">
        <v>530</v>
      </c>
      <c r="D722" s="282">
        <v>23640</v>
      </c>
      <c r="E722" s="280">
        <v>74000</v>
      </c>
      <c r="F722" s="280">
        <v>37.9</v>
      </c>
      <c r="G722" s="280">
        <v>0.12189999999999999</v>
      </c>
      <c r="H722" s="281">
        <v>0</v>
      </c>
      <c r="I722" s="280">
        <v>0</v>
      </c>
    </row>
    <row r="723" spans="1:9" x14ac:dyDescent="0.3">
      <c r="A723" s="326"/>
      <c r="B723" s="325" t="s">
        <v>529</v>
      </c>
      <c r="C723" s="282" t="s">
        <v>373</v>
      </c>
      <c r="D723" s="282" t="s">
        <v>373</v>
      </c>
      <c r="E723" s="282" t="s">
        <v>373</v>
      </c>
      <c r="F723" s="282" t="s">
        <v>373</v>
      </c>
      <c r="G723" s="282" t="s">
        <v>373</v>
      </c>
      <c r="H723" s="282" t="s">
        <v>373</v>
      </c>
      <c r="I723" s="282" t="s">
        <v>373</v>
      </c>
    </row>
    <row r="724" spans="1:9" x14ac:dyDescent="0.3">
      <c r="A724" s="326"/>
      <c r="B724" s="326"/>
      <c r="C724" s="282" t="s">
        <v>475</v>
      </c>
      <c r="D724" s="282">
        <v>2612</v>
      </c>
      <c r="E724" s="280">
        <v>8200</v>
      </c>
      <c r="F724" s="280">
        <v>4.2</v>
      </c>
      <c r="G724" s="280">
        <v>0.66</v>
      </c>
      <c r="H724" s="281">
        <v>1</v>
      </c>
      <c r="I724" s="280">
        <v>0.6</v>
      </c>
    </row>
    <row r="725" spans="1:9" x14ac:dyDescent="0.3">
      <c r="A725" s="326"/>
      <c r="B725" s="326"/>
      <c r="C725" s="282" t="s">
        <v>528</v>
      </c>
      <c r="D725" s="282">
        <v>968</v>
      </c>
      <c r="E725" s="280">
        <v>10500</v>
      </c>
      <c r="F725" s="280">
        <v>5.4</v>
      </c>
      <c r="G725" s="280">
        <v>1.26</v>
      </c>
      <c r="H725" s="281">
        <v>1</v>
      </c>
      <c r="I725" s="280">
        <v>0.9</v>
      </c>
    </row>
    <row r="726" spans="1:9" x14ac:dyDescent="0.3">
      <c r="A726" s="326"/>
      <c r="B726" s="326"/>
      <c r="C726" s="282" t="s">
        <v>478</v>
      </c>
      <c r="D726" s="282">
        <v>2623</v>
      </c>
      <c r="E726" s="280">
        <v>9500</v>
      </c>
      <c r="F726" s="280">
        <v>4.9000000000000004</v>
      </c>
      <c r="G726" s="280">
        <v>0.93</v>
      </c>
      <c r="H726" s="281">
        <v>1</v>
      </c>
      <c r="I726" s="280">
        <v>0.9</v>
      </c>
    </row>
    <row r="727" spans="1:9" x14ac:dyDescent="0.3">
      <c r="A727" s="326"/>
      <c r="B727" s="326"/>
      <c r="C727" s="282" t="s">
        <v>527</v>
      </c>
      <c r="D727" s="282">
        <v>5271</v>
      </c>
      <c r="E727" s="280">
        <v>4518</v>
      </c>
      <c r="F727" s="280">
        <v>2.2599999999999998</v>
      </c>
      <c r="G727" s="280">
        <v>0.16</v>
      </c>
      <c r="H727" s="281">
        <v>100</v>
      </c>
      <c r="I727" s="280">
        <v>38.71</v>
      </c>
    </row>
    <row r="728" spans="1:9" x14ac:dyDescent="0.3">
      <c r="A728" s="326"/>
      <c r="B728" s="326"/>
      <c r="C728" s="282" t="s">
        <v>526</v>
      </c>
      <c r="D728" s="282">
        <v>13140</v>
      </c>
      <c r="E728" s="280">
        <v>4518</v>
      </c>
      <c r="F728" s="280">
        <v>2.2599999999999998</v>
      </c>
      <c r="G728" s="280">
        <v>0.24</v>
      </c>
      <c r="H728" s="281">
        <v>0</v>
      </c>
      <c r="I728" s="280">
        <v>0</v>
      </c>
    </row>
    <row r="729" spans="1:9" x14ac:dyDescent="0.3">
      <c r="A729" s="326"/>
      <c r="B729" s="326"/>
      <c r="C729" s="282" t="s">
        <v>503</v>
      </c>
      <c r="D729" s="282">
        <v>9102</v>
      </c>
      <c r="E729" s="280">
        <v>8200</v>
      </c>
      <c r="F729" s="280">
        <v>4.2</v>
      </c>
      <c r="G729" s="280">
        <v>1</v>
      </c>
      <c r="H729" s="281">
        <v>0</v>
      </c>
      <c r="I729" s="280">
        <v>0</v>
      </c>
    </row>
    <row r="730" spans="1:9" x14ac:dyDescent="0.3">
      <c r="A730" s="326"/>
      <c r="B730" s="327"/>
      <c r="C730" s="282" t="s">
        <v>525</v>
      </c>
      <c r="D730" s="282">
        <v>19159</v>
      </c>
      <c r="E730" s="280">
        <v>16017</v>
      </c>
      <c r="F730" s="280">
        <v>8.2100000000000009</v>
      </c>
      <c r="G730" s="280">
        <v>1.6</v>
      </c>
      <c r="H730" s="281">
        <v>0</v>
      </c>
      <c r="I730" s="280">
        <v>0</v>
      </c>
    </row>
    <row r="731" spans="1:9" x14ac:dyDescent="0.3">
      <c r="A731" s="326"/>
      <c r="B731" s="325" t="s">
        <v>524</v>
      </c>
      <c r="C731" s="282" t="s">
        <v>373</v>
      </c>
      <c r="D731" s="282" t="s">
        <v>373</v>
      </c>
      <c r="E731" s="282" t="s">
        <v>373</v>
      </c>
      <c r="F731" s="282" t="s">
        <v>373</v>
      </c>
      <c r="G731" s="282" t="s">
        <v>373</v>
      </c>
      <c r="H731" s="282" t="s">
        <v>373</v>
      </c>
      <c r="I731" s="282" t="s">
        <v>373</v>
      </c>
    </row>
    <row r="732" spans="1:9" x14ac:dyDescent="0.3">
      <c r="A732" s="326"/>
      <c r="B732" s="326"/>
      <c r="C732" s="282" t="s">
        <v>523</v>
      </c>
      <c r="D732" s="282">
        <v>1016</v>
      </c>
      <c r="E732" s="280">
        <v>47000</v>
      </c>
      <c r="F732" s="280">
        <v>24.1</v>
      </c>
      <c r="G732" s="280">
        <v>6.7</v>
      </c>
      <c r="H732" s="281">
        <v>1</v>
      </c>
      <c r="I732" s="280">
        <v>4.4000000000000004</v>
      </c>
    </row>
    <row r="733" spans="1:9" x14ac:dyDescent="0.3">
      <c r="A733" s="326"/>
      <c r="B733" s="326"/>
      <c r="C733" s="282" t="s">
        <v>522</v>
      </c>
      <c r="D733" s="282">
        <v>5351</v>
      </c>
      <c r="E733" s="280">
        <v>37000</v>
      </c>
      <c r="F733" s="280">
        <v>19</v>
      </c>
      <c r="G733" s="280">
        <v>5.2</v>
      </c>
      <c r="H733" s="281">
        <v>0</v>
      </c>
      <c r="I733" s="280">
        <v>0</v>
      </c>
    </row>
    <row r="734" spans="1:9" ht="20.399999999999999" x14ac:dyDescent="0.3">
      <c r="A734" s="326"/>
      <c r="B734" s="327"/>
      <c r="C734" s="282" t="s">
        <v>521</v>
      </c>
      <c r="D734" s="282">
        <v>25369</v>
      </c>
      <c r="E734" s="280">
        <v>0</v>
      </c>
      <c r="F734" s="280">
        <v>0</v>
      </c>
      <c r="G734" s="280">
        <v>0</v>
      </c>
      <c r="H734" s="281">
        <v>0</v>
      </c>
      <c r="I734" s="280">
        <v>0</v>
      </c>
    </row>
    <row r="735" spans="1:9" x14ac:dyDescent="0.3">
      <c r="A735" s="326"/>
      <c r="B735" s="325" t="s">
        <v>520</v>
      </c>
      <c r="C735" s="282" t="s">
        <v>373</v>
      </c>
      <c r="D735" s="282" t="s">
        <v>373</v>
      </c>
      <c r="E735" s="282" t="s">
        <v>373</v>
      </c>
      <c r="F735" s="282" t="s">
        <v>373</v>
      </c>
      <c r="G735" s="282" t="s">
        <v>373</v>
      </c>
      <c r="H735" s="282" t="s">
        <v>373</v>
      </c>
      <c r="I735" s="282" t="s">
        <v>373</v>
      </c>
    </row>
    <row r="736" spans="1:9" x14ac:dyDescent="0.3">
      <c r="A736" s="326"/>
      <c r="B736" s="326"/>
      <c r="C736" s="282" t="s">
        <v>519</v>
      </c>
      <c r="D736" s="282">
        <v>3821</v>
      </c>
      <c r="E736" s="280">
        <v>83000</v>
      </c>
      <c r="F736" s="280">
        <v>42.6</v>
      </c>
      <c r="G736" s="280">
        <v>9.5</v>
      </c>
      <c r="H736" s="281">
        <v>1</v>
      </c>
      <c r="I736" s="280">
        <v>6.1</v>
      </c>
    </row>
    <row r="737" spans="1:9" x14ac:dyDescent="0.3">
      <c r="A737" s="326"/>
      <c r="B737" s="326"/>
      <c r="C737" s="282" t="s">
        <v>518</v>
      </c>
      <c r="D737" s="282">
        <v>5169</v>
      </c>
      <c r="E737" s="280">
        <v>116568</v>
      </c>
      <c r="F737" s="280">
        <v>59.8</v>
      </c>
      <c r="G737" s="280">
        <v>6.2</v>
      </c>
      <c r="H737" s="281">
        <v>0</v>
      </c>
      <c r="I737" s="280">
        <v>0</v>
      </c>
    </row>
    <row r="738" spans="1:9" x14ac:dyDescent="0.3">
      <c r="A738" s="326"/>
      <c r="B738" s="326"/>
      <c r="C738" s="282" t="s">
        <v>517</v>
      </c>
      <c r="D738" s="282">
        <v>1014</v>
      </c>
      <c r="E738" s="280">
        <v>100525</v>
      </c>
      <c r="F738" s="280">
        <v>51.6</v>
      </c>
      <c r="G738" s="280">
        <v>10</v>
      </c>
      <c r="H738" s="281">
        <v>0</v>
      </c>
      <c r="I738" s="280">
        <v>0</v>
      </c>
    </row>
    <row r="739" spans="1:9" x14ac:dyDescent="0.3">
      <c r="A739" s="326"/>
      <c r="B739" s="326"/>
      <c r="C739" s="282" t="s">
        <v>516</v>
      </c>
      <c r="D739" s="282">
        <v>25021</v>
      </c>
      <c r="E739" s="280">
        <v>0</v>
      </c>
      <c r="F739" s="280">
        <v>0</v>
      </c>
      <c r="G739" s="280">
        <v>0</v>
      </c>
      <c r="H739" s="281">
        <v>0</v>
      </c>
      <c r="I739" s="280">
        <v>0</v>
      </c>
    </row>
    <row r="740" spans="1:9" ht="20.399999999999999" x14ac:dyDescent="0.3">
      <c r="A740" s="327"/>
      <c r="B740" s="327"/>
      <c r="C740" s="282" t="s">
        <v>515</v>
      </c>
      <c r="D740" s="282">
        <v>5776</v>
      </c>
      <c r="E740" s="280">
        <v>127700</v>
      </c>
      <c r="F740" s="280">
        <v>65.5</v>
      </c>
      <c r="G740" s="280">
        <v>10</v>
      </c>
      <c r="H740" s="281">
        <v>0</v>
      </c>
      <c r="I740" s="280">
        <v>0</v>
      </c>
    </row>
    <row r="741" spans="1:9" x14ac:dyDescent="0.3">
      <c r="A741" s="325" t="s">
        <v>514</v>
      </c>
      <c r="B741" s="282" t="s">
        <v>373</v>
      </c>
      <c r="C741" s="282" t="s">
        <v>373</v>
      </c>
      <c r="D741" s="282" t="s">
        <v>373</v>
      </c>
      <c r="E741" s="282" t="s">
        <v>373</v>
      </c>
      <c r="F741" s="282" t="s">
        <v>373</v>
      </c>
      <c r="G741" s="282" t="s">
        <v>373</v>
      </c>
      <c r="H741" s="282" t="s">
        <v>373</v>
      </c>
      <c r="I741" s="282" t="s">
        <v>373</v>
      </c>
    </row>
    <row r="742" spans="1:9" x14ac:dyDescent="0.3">
      <c r="A742" s="326"/>
      <c r="B742" s="325" t="s">
        <v>513</v>
      </c>
      <c r="C742" s="282" t="s">
        <v>373</v>
      </c>
      <c r="D742" s="282" t="s">
        <v>373</v>
      </c>
      <c r="E742" s="282" t="s">
        <v>373</v>
      </c>
      <c r="F742" s="282" t="s">
        <v>373</v>
      </c>
      <c r="G742" s="282" t="s">
        <v>373</v>
      </c>
      <c r="H742" s="282" t="s">
        <v>373</v>
      </c>
      <c r="I742" s="282" t="s">
        <v>373</v>
      </c>
    </row>
    <row r="743" spans="1:9" x14ac:dyDescent="0.3">
      <c r="A743" s="326"/>
      <c r="B743" s="326"/>
      <c r="C743" s="282" t="s">
        <v>512</v>
      </c>
      <c r="D743" s="282">
        <v>15138</v>
      </c>
      <c r="E743" s="280">
        <v>450</v>
      </c>
      <c r="F743" s="280">
        <v>0.2</v>
      </c>
      <c r="G743" s="280">
        <v>0</v>
      </c>
      <c r="H743" s="281">
        <v>0</v>
      </c>
      <c r="I743" s="280">
        <v>0</v>
      </c>
    </row>
    <row r="744" spans="1:9" ht="20.399999999999999" x14ac:dyDescent="0.3">
      <c r="A744" s="326"/>
      <c r="B744" s="327"/>
      <c r="C744" s="282" t="s">
        <v>511</v>
      </c>
      <c r="D744" s="282">
        <v>5457</v>
      </c>
      <c r="E744" s="280">
        <v>60</v>
      </c>
      <c r="F744" s="280">
        <v>0.03</v>
      </c>
      <c r="G744" s="280">
        <v>5.1000000000000004E-3</v>
      </c>
      <c r="H744" s="281">
        <v>0</v>
      </c>
      <c r="I744" s="280">
        <v>1</v>
      </c>
    </row>
    <row r="745" spans="1:9" x14ac:dyDescent="0.3">
      <c r="A745" s="326"/>
      <c r="B745" s="325" t="s">
        <v>510</v>
      </c>
      <c r="C745" s="282" t="s">
        <v>373</v>
      </c>
      <c r="D745" s="282" t="s">
        <v>373</v>
      </c>
      <c r="E745" s="282" t="s">
        <v>373</v>
      </c>
      <c r="F745" s="282" t="s">
        <v>373</v>
      </c>
      <c r="G745" s="282" t="s">
        <v>373</v>
      </c>
      <c r="H745" s="282" t="s">
        <v>373</v>
      </c>
      <c r="I745" s="282" t="s">
        <v>373</v>
      </c>
    </row>
    <row r="746" spans="1:9" x14ac:dyDescent="0.3">
      <c r="A746" s="327"/>
      <c r="B746" s="327"/>
      <c r="C746" s="282" t="s">
        <v>509</v>
      </c>
      <c r="D746" s="282">
        <v>1199</v>
      </c>
      <c r="E746" s="280">
        <v>2024761</v>
      </c>
      <c r="F746" s="280">
        <v>1038.3</v>
      </c>
      <c r="G746" s="280">
        <v>300</v>
      </c>
      <c r="H746" s="281">
        <v>1200</v>
      </c>
      <c r="I746" s="280">
        <v>300</v>
      </c>
    </row>
    <row r="747" spans="1:9" x14ac:dyDescent="0.3">
      <c r="A747" s="325" t="s">
        <v>508</v>
      </c>
      <c r="B747" s="282" t="s">
        <v>373</v>
      </c>
      <c r="C747" s="282" t="s">
        <v>373</v>
      </c>
      <c r="D747" s="282" t="s">
        <v>373</v>
      </c>
      <c r="E747" s="282" t="s">
        <v>373</v>
      </c>
      <c r="F747" s="282" t="s">
        <v>373</v>
      </c>
      <c r="G747" s="282" t="s">
        <v>373</v>
      </c>
      <c r="H747" s="282" t="s">
        <v>373</v>
      </c>
      <c r="I747" s="282" t="s">
        <v>373</v>
      </c>
    </row>
    <row r="748" spans="1:9" x14ac:dyDescent="0.3">
      <c r="A748" s="326"/>
      <c r="B748" s="325" t="s">
        <v>507</v>
      </c>
      <c r="C748" s="282" t="s">
        <v>373</v>
      </c>
      <c r="D748" s="282" t="s">
        <v>373</v>
      </c>
      <c r="E748" s="282" t="s">
        <v>373</v>
      </c>
      <c r="F748" s="282" t="s">
        <v>373</v>
      </c>
      <c r="G748" s="282" t="s">
        <v>373</v>
      </c>
      <c r="H748" s="282" t="s">
        <v>373</v>
      </c>
      <c r="I748" s="282" t="s">
        <v>373</v>
      </c>
    </row>
    <row r="749" spans="1:9" x14ac:dyDescent="0.3">
      <c r="A749" s="326"/>
      <c r="B749" s="327"/>
      <c r="C749" s="282" t="s">
        <v>475</v>
      </c>
      <c r="D749" s="282">
        <v>9211</v>
      </c>
      <c r="E749" s="280">
        <v>29349</v>
      </c>
      <c r="F749" s="280">
        <v>14.7</v>
      </c>
      <c r="G749" s="280">
        <v>3.5</v>
      </c>
      <c r="H749" s="281">
        <v>0</v>
      </c>
      <c r="I749" s="280">
        <v>0</v>
      </c>
    </row>
    <row r="750" spans="1:9" x14ac:dyDescent="0.3">
      <c r="A750" s="326"/>
      <c r="B750" s="325" t="s">
        <v>506</v>
      </c>
      <c r="C750" s="282" t="s">
        <v>373</v>
      </c>
      <c r="D750" s="282" t="s">
        <v>373</v>
      </c>
      <c r="E750" s="282" t="s">
        <v>373</v>
      </c>
      <c r="F750" s="282" t="s">
        <v>373</v>
      </c>
      <c r="G750" s="282" t="s">
        <v>373</v>
      </c>
      <c r="H750" s="282" t="s">
        <v>373</v>
      </c>
      <c r="I750" s="282" t="s">
        <v>373</v>
      </c>
    </row>
    <row r="751" spans="1:9" x14ac:dyDescent="0.3">
      <c r="A751" s="326"/>
      <c r="B751" s="327"/>
      <c r="C751" s="282" t="s">
        <v>505</v>
      </c>
      <c r="D751" s="282">
        <v>951</v>
      </c>
      <c r="E751" s="280">
        <v>126984</v>
      </c>
      <c r="F751" s="280">
        <v>63.49</v>
      </c>
      <c r="G751" s="280">
        <v>5.6</v>
      </c>
      <c r="H751" s="281">
        <v>1</v>
      </c>
      <c r="I751" s="280">
        <v>5.6</v>
      </c>
    </row>
    <row r="752" spans="1:9" x14ac:dyDescent="0.3">
      <c r="A752" s="326"/>
      <c r="B752" s="325" t="s">
        <v>504</v>
      </c>
      <c r="C752" s="282" t="s">
        <v>373</v>
      </c>
      <c r="D752" s="282" t="s">
        <v>373</v>
      </c>
      <c r="E752" s="282" t="s">
        <v>373</v>
      </c>
      <c r="F752" s="282" t="s">
        <v>373</v>
      </c>
      <c r="G752" s="282" t="s">
        <v>373</v>
      </c>
      <c r="H752" s="282" t="s">
        <v>373</v>
      </c>
      <c r="I752" s="282" t="s">
        <v>373</v>
      </c>
    </row>
    <row r="753" spans="1:9" x14ac:dyDescent="0.3">
      <c r="A753" s="326"/>
      <c r="B753" s="326"/>
      <c r="C753" s="282" t="s">
        <v>475</v>
      </c>
      <c r="D753" s="282">
        <v>14318</v>
      </c>
      <c r="E753" s="280">
        <v>35804</v>
      </c>
      <c r="F753" s="280">
        <v>18.809999999999999</v>
      </c>
      <c r="G753" s="280">
        <v>2.4</v>
      </c>
      <c r="H753" s="281">
        <v>0</v>
      </c>
      <c r="I753" s="280">
        <v>0</v>
      </c>
    </row>
    <row r="754" spans="1:9" x14ac:dyDescent="0.3">
      <c r="A754" s="326"/>
      <c r="B754" s="327"/>
      <c r="C754" s="282" t="s">
        <v>503</v>
      </c>
      <c r="D754" s="282">
        <v>4489</v>
      </c>
      <c r="E754" s="280">
        <v>22536</v>
      </c>
      <c r="F754" s="280">
        <v>12.52</v>
      </c>
      <c r="G754" s="280">
        <v>0.15</v>
      </c>
      <c r="H754" s="281">
        <v>0</v>
      </c>
      <c r="I754" s="280">
        <v>0</v>
      </c>
    </row>
    <row r="755" spans="1:9" x14ac:dyDescent="0.3">
      <c r="A755" s="326"/>
      <c r="B755" s="325" t="s">
        <v>502</v>
      </c>
      <c r="C755" s="282" t="s">
        <v>373</v>
      </c>
      <c r="D755" s="282" t="s">
        <v>373</v>
      </c>
      <c r="E755" s="282" t="s">
        <v>373</v>
      </c>
      <c r="F755" s="282" t="s">
        <v>373</v>
      </c>
      <c r="G755" s="282" t="s">
        <v>373</v>
      </c>
      <c r="H755" s="282" t="s">
        <v>373</v>
      </c>
      <c r="I755" s="282" t="s">
        <v>373</v>
      </c>
    </row>
    <row r="756" spans="1:9" x14ac:dyDescent="0.3">
      <c r="A756" s="326"/>
      <c r="B756" s="326"/>
      <c r="C756" s="282" t="s">
        <v>501</v>
      </c>
      <c r="D756" s="282">
        <v>1001</v>
      </c>
      <c r="E756" s="280">
        <v>149</v>
      </c>
      <c r="F756" s="280">
        <v>7.0000000000000007E-2</v>
      </c>
      <c r="G756" s="280">
        <v>1.3599999999999999E-2</v>
      </c>
      <c r="H756" s="281">
        <v>1500</v>
      </c>
      <c r="I756" s="280">
        <v>14.8</v>
      </c>
    </row>
    <row r="757" spans="1:9" x14ac:dyDescent="0.3">
      <c r="A757" s="326"/>
      <c r="B757" s="326"/>
      <c r="C757" s="282" t="s">
        <v>500</v>
      </c>
      <c r="D757" s="282">
        <v>13592</v>
      </c>
      <c r="E757" s="280">
        <v>221</v>
      </c>
      <c r="F757" s="280">
        <v>0.11</v>
      </c>
      <c r="G757" s="280">
        <v>1.8329999999999999E-2</v>
      </c>
      <c r="H757" s="281">
        <v>0</v>
      </c>
      <c r="I757" s="280">
        <v>0</v>
      </c>
    </row>
    <row r="758" spans="1:9" x14ac:dyDescent="0.3">
      <c r="A758" s="326"/>
      <c r="B758" s="326"/>
      <c r="C758" s="282" t="s">
        <v>499</v>
      </c>
      <c r="D758" s="282">
        <v>1003</v>
      </c>
      <c r="E758" s="280">
        <v>303</v>
      </c>
      <c r="F758" s="280">
        <v>0.15</v>
      </c>
      <c r="G758" s="280">
        <v>2.5000000000000001E-2</v>
      </c>
      <c r="H758" s="281">
        <v>700</v>
      </c>
      <c r="I758" s="280">
        <v>11.2</v>
      </c>
    </row>
    <row r="759" spans="1:9" x14ac:dyDescent="0.3">
      <c r="A759" s="326"/>
      <c r="B759" s="327"/>
      <c r="C759" s="282" t="s">
        <v>498</v>
      </c>
      <c r="D759" s="282">
        <v>1004</v>
      </c>
      <c r="E759" s="280">
        <v>120</v>
      </c>
      <c r="F759" s="280">
        <v>0.06</v>
      </c>
      <c r="G759" s="280">
        <v>1.06E-2</v>
      </c>
      <c r="H759" s="281">
        <v>2500</v>
      </c>
      <c r="I759" s="280">
        <v>15.2</v>
      </c>
    </row>
    <row r="760" spans="1:9" x14ac:dyDescent="0.3">
      <c r="A760" s="326"/>
      <c r="B760" s="325" t="s">
        <v>497</v>
      </c>
      <c r="C760" s="282" t="s">
        <v>373</v>
      </c>
      <c r="D760" s="282" t="s">
        <v>373</v>
      </c>
      <c r="E760" s="282" t="s">
        <v>373</v>
      </c>
      <c r="F760" s="282" t="s">
        <v>373</v>
      </c>
      <c r="G760" s="282" t="s">
        <v>373</v>
      </c>
      <c r="H760" s="282" t="s">
        <v>373</v>
      </c>
      <c r="I760" s="282" t="s">
        <v>373</v>
      </c>
    </row>
    <row r="761" spans="1:9" x14ac:dyDescent="0.3">
      <c r="A761" s="326"/>
      <c r="B761" s="326"/>
      <c r="C761" s="282" t="s">
        <v>496</v>
      </c>
      <c r="D761" s="282">
        <v>999</v>
      </c>
      <c r="E761" s="280">
        <v>128</v>
      </c>
      <c r="F761" s="280">
        <v>0.06</v>
      </c>
      <c r="G761" s="280">
        <v>7.4000000000000003E-3</v>
      </c>
      <c r="H761" s="281">
        <v>4000</v>
      </c>
      <c r="I761" s="280">
        <v>20.6</v>
      </c>
    </row>
    <row r="762" spans="1:9" x14ac:dyDescent="0.3">
      <c r="A762" s="326"/>
      <c r="B762" s="327"/>
      <c r="C762" s="282" t="s">
        <v>495</v>
      </c>
      <c r="D762" s="282">
        <v>1000</v>
      </c>
      <c r="E762" s="280">
        <v>200</v>
      </c>
      <c r="F762" s="280">
        <v>0.1</v>
      </c>
      <c r="G762" s="280">
        <v>1.4E-2</v>
      </c>
      <c r="H762" s="281">
        <v>1500</v>
      </c>
      <c r="I762" s="280">
        <v>20.3</v>
      </c>
    </row>
    <row r="763" spans="1:9" x14ac:dyDescent="0.3">
      <c r="A763" s="326"/>
      <c r="B763" s="325" t="s">
        <v>494</v>
      </c>
      <c r="C763" s="282" t="s">
        <v>373</v>
      </c>
      <c r="D763" s="282" t="s">
        <v>373</v>
      </c>
      <c r="E763" s="282" t="s">
        <v>373</v>
      </c>
      <c r="F763" s="282" t="s">
        <v>373</v>
      </c>
      <c r="G763" s="282" t="s">
        <v>373</v>
      </c>
      <c r="H763" s="282" t="s">
        <v>373</v>
      </c>
      <c r="I763" s="282" t="s">
        <v>373</v>
      </c>
    </row>
    <row r="764" spans="1:9" x14ac:dyDescent="0.3">
      <c r="A764" s="326"/>
      <c r="B764" s="326"/>
      <c r="C764" s="282" t="s">
        <v>493</v>
      </c>
      <c r="D764" s="282">
        <v>800</v>
      </c>
      <c r="E764" s="280">
        <v>5240</v>
      </c>
      <c r="F764" s="280">
        <v>2.91</v>
      </c>
      <c r="G764" s="280">
        <v>15</v>
      </c>
      <c r="H764" s="281">
        <v>0</v>
      </c>
      <c r="I764" s="280">
        <v>0</v>
      </c>
    </row>
    <row r="765" spans="1:9" x14ac:dyDescent="0.3">
      <c r="A765" s="326"/>
      <c r="B765" s="326"/>
      <c r="C765" s="282" t="s">
        <v>492</v>
      </c>
      <c r="D765" s="282">
        <v>8403</v>
      </c>
      <c r="E765" s="280">
        <v>0</v>
      </c>
      <c r="F765" s="280">
        <v>0</v>
      </c>
      <c r="G765" s="280">
        <v>13</v>
      </c>
      <c r="H765" s="281">
        <v>0</v>
      </c>
      <c r="I765" s="280">
        <v>0</v>
      </c>
    </row>
    <row r="766" spans="1:9" x14ac:dyDescent="0.3">
      <c r="A766" s="326"/>
      <c r="B766" s="327"/>
      <c r="C766" s="282" t="s">
        <v>491</v>
      </c>
      <c r="D766" s="282">
        <v>3623</v>
      </c>
      <c r="E766" s="280">
        <v>180600</v>
      </c>
      <c r="F766" s="280">
        <v>92.61</v>
      </c>
      <c r="G766" s="280">
        <v>8.35</v>
      </c>
      <c r="H766" s="281">
        <v>0</v>
      </c>
      <c r="I766" s="280">
        <v>0</v>
      </c>
    </row>
    <row r="767" spans="1:9" x14ac:dyDescent="0.3">
      <c r="A767" s="326"/>
      <c r="B767" s="325" t="s">
        <v>490</v>
      </c>
      <c r="C767" s="282" t="s">
        <v>373</v>
      </c>
      <c r="D767" s="282" t="s">
        <v>373</v>
      </c>
      <c r="E767" s="282" t="s">
        <v>373</v>
      </c>
      <c r="F767" s="282" t="s">
        <v>373</v>
      </c>
      <c r="G767" s="282" t="s">
        <v>373</v>
      </c>
      <c r="H767" s="282" t="s">
        <v>373</v>
      </c>
      <c r="I767" s="282" t="s">
        <v>373</v>
      </c>
    </row>
    <row r="768" spans="1:9" x14ac:dyDescent="0.3">
      <c r="A768" s="326"/>
      <c r="B768" s="326"/>
      <c r="C768" s="282" t="s">
        <v>489</v>
      </c>
      <c r="D768" s="282">
        <v>14443</v>
      </c>
      <c r="E768" s="280">
        <v>43122</v>
      </c>
      <c r="F768" s="280">
        <v>21.56</v>
      </c>
      <c r="G768" s="280">
        <v>1.8</v>
      </c>
      <c r="H768" s="281">
        <v>0</v>
      </c>
      <c r="I768" s="280">
        <v>0</v>
      </c>
    </row>
    <row r="769" spans="1:9" x14ac:dyDescent="0.3">
      <c r="A769" s="326"/>
      <c r="B769" s="326"/>
      <c r="C769" s="282" t="s">
        <v>488</v>
      </c>
      <c r="D769" s="282">
        <v>14340</v>
      </c>
      <c r="E769" s="280">
        <v>55000</v>
      </c>
      <c r="F769" s="280">
        <v>28.2</v>
      </c>
      <c r="G769" s="280">
        <v>8.4</v>
      </c>
      <c r="H769" s="281">
        <v>0</v>
      </c>
      <c r="I769" s="280">
        <v>0</v>
      </c>
    </row>
    <row r="770" spans="1:9" x14ac:dyDescent="0.3">
      <c r="A770" s="326"/>
      <c r="B770" s="326"/>
      <c r="C770" s="282" t="s">
        <v>487</v>
      </c>
      <c r="D770" s="282">
        <v>11781</v>
      </c>
      <c r="E770" s="280">
        <v>20069</v>
      </c>
      <c r="F770" s="280">
        <v>10.029999999999999</v>
      </c>
      <c r="G770" s="280">
        <v>1</v>
      </c>
      <c r="H770" s="281">
        <v>0</v>
      </c>
      <c r="I770" s="280">
        <v>0</v>
      </c>
    </row>
    <row r="771" spans="1:9" x14ac:dyDescent="0.3">
      <c r="A771" s="326"/>
      <c r="B771" s="326"/>
      <c r="C771" s="282" t="s">
        <v>486</v>
      </c>
      <c r="D771" s="282">
        <v>22833</v>
      </c>
      <c r="E771" s="280">
        <v>0</v>
      </c>
      <c r="F771" s="280">
        <v>0</v>
      </c>
      <c r="G771" s="280">
        <v>0</v>
      </c>
      <c r="H771" s="281">
        <v>0</v>
      </c>
      <c r="I771" s="280">
        <v>0</v>
      </c>
    </row>
    <row r="772" spans="1:9" x14ac:dyDescent="0.3">
      <c r="A772" s="326"/>
      <c r="B772" s="326"/>
      <c r="C772" s="282" t="s">
        <v>485</v>
      </c>
      <c r="D772" s="282">
        <v>18855</v>
      </c>
      <c r="E772" s="280">
        <v>0</v>
      </c>
      <c r="F772" s="280">
        <v>0</v>
      </c>
      <c r="G772" s="280">
        <v>1</v>
      </c>
      <c r="H772" s="282"/>
      <c r="I772" s="282"/>
    </row>
    <row r="773" spans="1:9" x14ac:dyDescent="0.3">
      <c r="A773" s="326"/>
      <c r="B773" s="326"/>
      <c r="C773" s="282" t="s">
        <v>484</v>
      </c>
      <c r="D773" s="282">
        <v>20460</v>
      </c>
      <c r="E773" s="280">
        <v>0</v>
      </c>
      <c r="F773" s="280">
        <v>0</v>
      </c>
      <c r="G773" s="280">
        <v>1.1100000000000001</v>
      </c>
      <c r="H773" s="282"/>
      <c r="I773" s="282"/>
    </row>
    <row r="774" spans="1:9" x14ac:dyDescent="0.3">
      <c r="A774" s="326"/>
      <c r="B774" s="326"/>
      <c r="C774" s="282" t="s">
        <v>483</v>
      </c>
      <c r="D774" s="282">
        <v>15705</v>
      </c>
      <c r="E774" s="280">
        <v>0</v>
      </c>
      <c r="F774" s="280">
        <v>0</v>
      </c>
      <c r="G774" s="280">
        <v>2.8</v>
      </c>
      <c r="H774" s="281">
        <v>0</v>
      </c>
      <c r="I774" s="280">
        <v>0</v>
      </c>
    </row>
    <row r="775" spans="1:9" x14ac:dyDescent="0.3">
      <c r="A775" s="326"/>
      <c r="B775" s="326"/>
      <c r="C775" s="282" t="s">
        <v>482</v>
      </c>
      <c r="D775" s="282">
        <v>21442</v>
      </c>
      <c r="E775" s="280">
        <v>2500</v>
      </c>
      <c r="F775" s="280">
        <v>1.3</v>
      </c>
      <c r="G775" s="280">
        <v>0</v>
      </c>
      <c r="H775" s="281">
        <v>0</v>
      </c>
      <c r="I775" s="280">
        <v>0</v>
      </c>
    </row>
    <row r="776" spans="1:9" x14ac:dyDescent="0.3">
      <c r="A776" s="326"/>
      <c r="B776" s="326"/>
      <c r="C776" s="282" t="s">
        <v>481</v>
      </c>
      <c r="D776" s="282">
        <v>5737</v>
      </c>
      <c r="E776" s="280">
        <v>44776</v>
      </c>
      <c r="F776" s="280">
        <v>24.6</v>
      </c>
      <c r="G776" s="280">
        <v>7.51</v>
      </c>
      <c r="H776" s="281">
        <v>0</v>
      </c>
      <c r="I776" s="280">
        <v>0</v>
      </c>
    </row>
    <row r="777" spans="1:9" x14ac:dyDescent="0.3">
      <c r="A777" s="326"/>
      <c r="B777" s="326"/>
      <c r="C777" s="282" t="s">
        <v>480</v>
      </c>
      <c r="D777" s="282">
        <v>14553</v>
      </c>
      <c r="E777" s="280">
        <v>20119</v>
      </c>
      <c r="F777" s="280">
        <v>10.06</v>
      </c>
      <c r="G777" s="280">
        <v>1</v>
      </c>
      <c r="H777" s="281">
        <v>0</v>
      </c>
      <c r="I777" s="280">
        <v>0</v>
      </c>
    </row>
    <row r="778" spans="1:9" x14ac:dyDescent="0.3">
      <c r="A778" s="326"/>
      <c r="B778" s="326"/>
      <c r="C778" s="282" t="s">
        <v>479</v>
      </c>
      <c r="D778" s="282">
        <v>17377</v>
      </c>
      <c r="E778" s="280">
        <v>0</v>
      </c>
      <c r="F778" s="280">
        <v>0</v>
      </c>
      <c r="G778" s="280">
        <v>5.2</v>
      </c>
      <c r="H778" s="281">
        <v>0</v>
      </c>
      <c r="I778" s="280">
        <v>0</v>
      </c>
    </row>
    <row r="779" spans="1:9" x14ac:dyDescent="0.3">
      <c r="A779" s="326"/>
      <c r="B779" s="326"/>
      <c r="C779" s="282" t="s">
        <v>478</v>
      </c>
      <c r="D779" s="282">
        <v>2622</v>
      </c>
      <c r="E779" s="280">
        <v>24555</v>
      </c>
      <c r="F779" s="280">
        <v>12.28</v>
      </c>
      <c r="G779" s="280">
        <v>1.88</v>
      </c>
      <c r="H779" s="281">
        <v>1</v>
      </c>
      <c r="I779" s="280">
        <v>0</v>
      </c>
    </row>
    <row r="780" spans="1:9" x14ac:dyDescent="0.3">
      <c r="A780" s="326"/>
      <c r="B780" s="327"/>
      <c r="C780" s="282" t="s">
        <v>477</v>
      </c>
      <c r="D780" s="282">
        <v>22831</v>
      </c>
      <c r="E780" s="280">
        <v>0</v>
      </c>
      <c r="F780" s="280">
        <v>0</v>
      </c>
      <c r="G780" s="280">
        <v>0</v>
      </c>
      <c r="H780" s="281">
        <v>0</v>
      </c>
      <c r="I780" s="280">
        <v>0</v>
      </c>
    </row>
    <row r="781" spans="1:9" x14ac:dyDescent="0.3">
      <c r="A781" s="326"/>
      <c r="B781" s="325" t="s">
        <v>476</v>
      </c>
      <c r="C781" s="282" t="s">
        <v>373</v>
      </c>
      <c r="D781" s="282" t="s">
        <v>373</v>
      </c>
      <c r="E781" s="282" t="s">
        <v>373</v>
      </c>
      <c r="F781" s="282" t="s">
        <v>373</v>
      </c>
      <c r="G781" s="282" t="s">
        <v>373</v>
      </c>
      <c r="H781" s="282" t="s">
        <v>373</v>
      </c>
      <c r="I781" s="282" t="s">
        <v>373</v>
      </c>
    </row>
    <row r="782" spans="1:9" x14ac:dyDescent="0.3">
      <c r="A782" s="326"/>
      <c r="B782" s="326"/>
      <c r="C782" s="282" t="s">
        <v>475</v>
      </c>
      <c r="D782" s="282">
        <v>20871</v>
      </c>
      <c r="E782" s="280">
        <v>200400</v>
      </c>
      <c r="F782" s="280">
        <v>102.8</v>
      </c>
      <c r="G782" s="280">
        <v>17.2</v>
      </c>
      <c r="H782" s="281">
        <v>0</v>
      </c>
      <c r="I782" s="280">
        <v>0</v>
      </c>
    </row>
    <row r="783" spans="1:9" x14ac:dyDescent="0.3">
      <c r="A783" s="326"/>
      <c r="B783" s="326"/>
      <c r="C783" s="282" t="s">
        <v>474</v>
      </c>
      <c r="D783" s="282">
        <v>22404</v>
      </c>
      <c r="E783" s="280">
        <v>221950</v>
      </c>
      <c r="F783" s="280">
        <v>113.8</v>
      </c>
      <c r="G783" s="280">
        <v>0</v>
      </c>
      <c r="H783" s="281">
        <v>0</v>
      </c>
      <c r="I783" s="280">
        <v>0</v>
      </c>
    </row>
    <row r="784" spans="1:9" x14ac:dyDescent="0.3">
      <c r="A784" s="326"/>
      <c r="B784" s="326"/>
      <c r="C784" s="282" t="s">
        <v>473</v>
      </c>
      <c r="D784" s="282">
        <v>28452</v>
      </c>
      <c r="E784" s="280">
        <v>154000</v>
      </c>
      <c r="F784" s="280">
        <v>79</v>
      </c>
      <c r="G784" s="280">
        <v>0</v>
      </c>
      <c r="H784" s="281">
        <v>0</v>
      </c>
      <c r="I784" s="280">
        <v>0</v>
      </c>
    </row>
    <row r="785" spans="1:9" x14ac:dyDescent="0.3">
      <c r="A785" s="326"/>
      <c r="B785" s="327"/>
      <c r="C785" s="282" t="s">
        <v>472</v>
      </c>
      <c r="D785" s="282">
        <v>21200</v>
      </c>
      <c r="E785" s="280">
        <v>285000</v>
      </c>
      <c r="F785" s="280">
        <v>146.19999999999999</v>
      </c>
      <c r="G785" s="280">
        <v>20.2</v>
      </c>
      <c r="H785" s="282"/>
      <c r="I785" s="282"/>
    </row>
    <row r="786" spans="1:9" x14ac:dyDescent="0.3">
      <c r="A786" s="326"/>
      <c r="B786" s="325" t="s">
        <v>471</v>
      </c>
      <c r="C786" s="282" t="s">
        <v>373</v>
      </c>
      <c r="D786" s="282" t="s">
        <v>373</v>
      </c>
      <c r="E786" s="282" t="s">
        <v>373</v>
      </c>
      <c r="F786" s="282" t="s">
        <v>373</v>
      </c>
      <c r="G786" s="282" t="s">
        <v>373</v>
      </c>
      <c r="H786" s="282" t="s">
        <v>373</v>
      </c>
      <c r="I786" s="282" t="s">
        <v>373</v>
      </c>
    </row>
    <row r="787" spans="1:9" x14ac:dyDescent="0.3">
      <c r="A787" s="326"/>
      <c r="B787" s="326"/>
      <c r="C787" s="282" t="s">
        <v>470</v>
      </c>
      <c r="D787" s="282">
        <v>2613</v>
      </c>
      <c r="E787" s="280">
        <v>20000</v>
      </c>
      <c r="F787" s="280">
        <v>10.3</v>
      </c>
      <c r="G787" s="280">
        <v>1.3</v>
      </c>
      <c r="H787" s="281">
        <v>0</v>
      </c>
      <c r="I787" s="280">
        <v>0</v>
      </c>
    </row>
    <row r="788" spans="1:9" x14ac:dyDescent="0.3">
      <c r="A788" s="326"/>
      <c r="B788" s="326"/>
      <c r="C788" s="282" t="s">
        <v>469</v>
      </c>
      <c r="D788" s="282">
        <v>28855</v>
      </c>
      <c r="E788" s="280">
        <v>22950</v>
      </c>
      <c r="F788" s="280">
        <v>11.8</v>
      </c>
      <c r="G788" s="280">
        <v>0</v>
      </c>
      <c r="H788" s="281">
        <v>0</v>
      </c>
      <c r="I788" s="280">
        <v>0</v>
      </c>
    </row>
    <row r="789" spans="1:9" x14ac:dyDescent="0.3">
      <c r="A789" s="327"/>
      <c r="B789" s="327"/>
      <c r="C789" s="282" t="s">
        <v>468</v>
      </c>
      <c r="D789" s="282">
        <v>1012</v>
      </c>
      <c r="E789" s="280">
        <v>19500</v>
      </c>
      <c r="F789" s="280">
        <v>10</v>
      </c>
      <c r="G789" s="280">
        <v>0.68</v>
      </c>
      <c r="H789" s="281">
        <v>0</v>
      </c>
      <c r="I789" s="280">
        <v>0</v>
      </c>
    </row>
    <row r="790" spans="1:9" x14ac:dyDescent="0.3">
      <c r="A790" s="325" t="s">
        <v>467</v>
      </c>
      <c r="B790" s="282" t="s">
        <v>373</v>
      </c>
      <c r="C790" s="282" t="s">
        <v>373</v>
      </c>
      <c r="D790" s="282" t="s">
        <v>373</v>
      </c>
      <c r="E790" s="282" t="s">
        <v>373</v>
      </c>
      <c r="F790" s="282" t="s">
        <v>373</v>
      </c>
      <c r="G790" s="282" t="s">
        <v>373</v>
      </c>
      <c r="H790" s="282" t="s">
        <v>373</v>
      </c>
      <c r="I790" s="282" t="s">
        <v>373</v>
      </c>
    </row>
    <row r="791" spans="1:9" x14ac:dyDescent="0.3">
      <c r="A791" s="326"/>
      <c r="B791" s="325" t="s">
        <v>466</v>
      </c>
      <c r="C791" s="282" t="s">
        <v>373</v>
      </c>
      <c r="D791" s="282" t="s">
        <v>373</v>
      </c>
      <c r="E791" s="282" t="s">
        <v>373</v>
      </c>
      <c r="F791" s="282" t="s">
        <v>373</v>
      </c>
      <c r="G791" s="282" t="s">
        <v>373</v>
      </c>
      <c r="H791" s="282" t="s">
        <v>373</v>
      </c>
      <c r="I791" s="282" t="s">
        <v>373</v>
      </c>
    </row>
    <row r="792" spans="1:9" x14ac:dyDescent="0.3">
      <c r="A792" s="326"/>
      <c r="B792" s="326"/>
      <c r="C792" s="282" t="s">
        <v>465</v>
      </c>
      <c r="D792" s="282">
        <v>22954</v>
      </c>
      <c r="E792" s="280">
        <v>2300</v>
      </c>
      <c r="F792" s="280">
        <v>1.2</v>
      </c>
      <c r="G792" s="280">
        <v>0.01</v>
      </c>
      <c r="H792" s="281">
        <v>0</v>
      </c>
      <c r="I792" s="280">
        <v>0</v>
      </c>
    </row>
    <row r="793" spans="1:9" x14ac:dyDescent="0.3">
      <c r="A793" s="326"/>
      <c r="B793" s="327"/>
      <c r="C793" s="282" t="s">
        <v>464</v>
      </c>
      <c r="D793" s="282">
        <v>22955</v>
      </c>
      <c r="E793" s="280">
        <v>2500</v>
      </c>
      <c r="F793" s="280">
        <v>1.3</v>
      </c>
      <c r="G793" s="280">
        <v>2.3E-2</v>
      </c>
      <c r="H793" s="281">
        <v>0</v>
      </c>
      <c r="I793" s="280">
        <v>0</v>
      </c>
    </row>
    <row r="794" spans="1:9" x14ac:dyDescent="0.3">
      <c r="A794" s="326"/>
      <c r="B794" s="325" t="s">
        <v>463</v>
      </c>
      <c r="C794" s="282" t="s">
        <v>373</v>
      </c>
      <c r="D794" s="282" t="s">
        <v>373</v>
      </c>
      <c r="E794" s="282" t="s">
        <v>373</v>
      </c>
      <c r="F794" s="282" t="s">
        <v>373</v>
      </c>
      <c r="G794" s="282" t="s">
        <v>373</v>
      </c>
      <c r="H794" s="282" t="s">
        <v>373</v>
      </c>
      <c r="I794" s="282" t="s">
        <v>373</v>
      </c>
    </row>
    <row r="795" spans="1:9" x14ac:dyDescent="0.3">
      <c r="A795" s="326"/>
      <c r="B795" s="326"/>
      <c r="C795" s="282" t="s">
        <v>462</v>
      </c>
      <c r="D795" s="282">
        <v>19978</v>
      </c>
      <c r="E795" s="280">
        <v>97500</v>
      </c>
      <c r="F795" s="280">
        <v>50</v>
      </c>
      <c r="G795" s="280">
        <v>1</v>
      </c>
      <c r="H795" s="282"/>
      <c r="I795" s="282"/>
    </row>
    <row r="796" spans="1:9" x14ac:dyDescent="0.3">
      <c r="A796" s="326"/>
      <c r="B796" s="326"/>
      <c r="C796" s="282" t="s">
        <v>461</v>
      </c>
      <c r="D796" s="282">
        <v>19980</v>
      </c>
      <c r="E796" s="280">
        <v>0</v>
      </c>
      <c r="F796" s="280">
        <v>0</v>
      </c>
      <c r="G796" s="280">
        <v>1</v>
      </c>
      <c r="H796" s="282"/>
      <c r="I796" s="282"/>
    </row>
    <row r="797" spans="1:9" x14ac:dyDescent="0.3">
      <c r="A797" s="326"/>
      <c r="B797" s="326"/>
      <c r="C797" s="282" t="s">
        <v>460</v>
      </c>
      <c r="D797" s="282">
        <v>20021</v>
      </c>
      <c r="E797" s="280">
        <v>195000</v>
      </c>
      <c r="F797" s="280">
        <v>100</v>
      </c>
      <c r="G797" s="280">
        <v>1</v>
      </c>
      <c r="H797" s="282"/>
      <c r="I797" s="282"/>
    </row>
    <row r="798" spans="1:9" x14ac:dyDescent="0.3">
      <c r="A798" s="326"/>
      <c r="B798" s="326"/>
      <c r="C798" s="282" t="s">
        <v>459</v>
      </c>
      <c r="D798" s="282">
        <v>19986</v>
      </c>
      <c r="E798" s="280">
        <v>73100</v>
      </c>
      <c r="F798" s="280">
        <v>37.5</v>
      </c>
      <c r="G798" s="280">
        <v>1</v>
      </c>
      <c r="H798" s="282"/>
      <c r="I798" s="282"/>
    </row>
    <row r="799" spans="1:9" x14ac:dyDescent="0.3">
      <c r="A799" s="326"/>
      <c r="B799" s="326"/>
      <c r="C799" s="282" t="s">
        <v>458</v>
      </c>
      <c r="D799" s="282">
        <v>19120</v>
      </c>
      <c r="E799" s="280">
        <v>0</v>
      </c>
      <c r="F799" s="280">
        <v>0</v>
      </c>
      <c r="G799" s="280">
        <v>1</v>
      </c>
      <c r="H799" s="281">
        <v>0</v>
      </c>
      <c r="I799" s="280">
        <v>0</v>
      </c>
    </row>
    <row r="800" spans="1:9" x14ac:dyDescent="0.3">
      <c r="A800" s="326"/>
      <c r="B800" s="326"/>
      <c r="C800" s="282" t="s">
        <v>457</v>
      </c>
      <c r="D800" s="282">
        <v>19121</v>
      </c>
      <c r="E800" s="280">
        <v>0</v>
      </c>
      <c r="F800" s="280">
        <v>0</v>
      </c>
      <c r="G800" s="280">
        <v>1</v>
      </c>
      <c r="H800" s="281">
        <v>0</v>
      </c>
      <c r="I800" s="280">
        <v>0</v>
      </c>
    </row>
    <row r="801" spans="1:9" x14ac:dyDescent="0.3">
      <c r="A801" s="326"/>
      <c r="B801" s="327"/>
      <c r="C801" s="282" t="s">
        <v>456</v>
      </c>
      <c r="D801" s="282">
        <v>28838</v>
      </c>
      <c r="E801" s="280">
        <v>212000</v>
      </c>
      <c r="F801" s="280">
        <v>108.7</v>
      </c>
      <c r="G801" s="280">
        <v>0</v>
      </c>
      <c r="H801" s="281">
        <v>0</v>
      </c>
      <c r="I801" s="280">
        <v>0</v>
      </c>
    </row>
    <row r="802" spans="1:9" x14ac:dyDescent="0.3">
      <c r="A802" s="326"/>
      <c r="B802" s="325" t="s">
        <v>455</v>
      </c>
      <c r="C802" s="282" t="s">
        <v>373</v>
      </c>
      <c r="D802" s="282" t="s">
        <v>373</v>
      </c>
      <c r="E802" s="282" t="s">
        <v>373</v>
      </c>
      <c r="F802" s="282" t="s">
        <v>373</v>
      </c>
      <c r="G802" s="282" t="s">
        <v>373</v>
      </c>
      <c r="H802" s="282" t="s">
        <v>373</v>
      </c>
      <c r="I802" s="282" t="s">
        <v>373</v>
      </c>
    </row>
    <row r="803" spans="1:9" x14ac:dyDescent="0.3">
      <c r="A803" s="326"/>
      <c r="B803" s="326"/>
      <c r="C803" s="282" t="s">
        <v>454</v>
      </c>
      <c r="D803" s="282">
        <v>980</v>
      </c>
      <c r="E803" s="280">
        <v>141007</v>
      </c>
      <c r="F803" s="280">
        <v>78.34</v>
      </c>
      <c r="G803" s="280">
        <v>8.6</v>
      </c>
      <c r="H803" s="281">
        <v>50</v>
      </c>
      <c r="I803" s="280">
        <v>500</v>
      </c>
    </row>
    <row r="804" spans="1:9" x14ac:dyDescent="0.3">
      <c r="A804" s="326"/>
      <c r="B804" s="326"/>
      <c r="C804" s="282" t="s">
        <v>453</v>
      </c>
      <c r="D804" s="282">
        <v>981</v>
      </c>
      <c r="E804" s="280">
        <v>143000</v>
      </c>
      <c r="F804" s="280">
        <v>79.44</v>
      </c>
      <c r="G804" s="280">
        <v>10.199999999999999</v>
      </c>
      <c r="H804" s="281">
        <v>50</v>
      </c>
      <c r="I804" s="280">
        <v>600</v>
      </c>
    </row>
    <row r="805" spans="1:9" x14ac:dyDescent="0.3">
      <c r="A805" s="326"/>
      <c r="B805" s="327"/>
      <c r="C805" s="282" t="s">
        <v>452</v>
      </c>
      <c r="D805" s="282">
        <v>4522</v>
      </c>
      <c r="E805" s="280">
        <v>145000</v>
      </c>
      <c r="F805" s="280">
        <v>80.56</v>
      </c>
      <c r="G805" s="280">
        <v>12.6</v>
      </c>
      <c r="H805" s="281">
        <v>0</v>
      </c>
      <c r="I805" s="280">
        <v>0</v>
      </c>
    </row>
    <row r="806" spans="1:9" x14ac:dyDescent="0.3">
      <c r="A806" s="326"/>
      <c r="B806" s="325" t="s">
        <v>451</v>
      </c>
      <c r="C806" s="282" t="s">
        <v>373</v>
      </c>
      <c r="D806" s="282" t="s">
        <v>373</v>
      </c>
      <c r="E806" s="282" t="s">
        <v>373</v>
      </c>
      <c r="F806" s="282" t="s">
        <v>373</v>
      </c>
      <c r="G806" s="282" t="s">
        <v>373</v>
      </c>
      <c r="H806" s="282" t="s">
        <v>373</v>
      </c>
      <c r="I806" s="282" t="s">
        <v>373</v>
      </c>
    </row>
    <row r="807" spans="1:9" x14ac:dyDescent="0.3">
      <c r="A807" s="326"/>
      <c r="B807" s="326"/>
      <c r="C807" s="282" t="s">
        <v>450</v>
      </c>
      <c r="D807" s="282">
        <v>17081</v>
      </c>
      <c r="E807" s="280">
        <v>58000</v>
      </c>
      <c r="F807" s="280">
        <v>29.7</v>
      </c>
      <c r="G807" s="280">
        <v>5.2</v>
      </c>
      <c r="H807" s="281">
        <v>0</v>
      </c>
      <c r="I807" s="280">
        <v>0</v>
      </c>
    </row>
    <row r="808" spans="1:9" x14ac:dyDescent="0.3">
      <c r="A808" s="326"/>
      <c r="B808" s="326"/>
      <c r="C808" s="282" t="s">
        <v>449</v>
      </c>
      <c r="D808" s="282">
        <v>19080</v>
      </c>
      <c r="E808" s="280">
        <v>60000</v>
      </c>
      <c r="F808" s="280">
        <v>30.8</v>
      </c>
      <c r="G808" s="280">
        <v>6</v>
      </c>
      <c r="H808" s="281">
        <v>0</v>
      </c>
      <c r="I808" s="280">
        <v>0</v>
      </c>
    </row>
    <row r="809" spans="1:9" x14ac:dyDescent="0.3">
      <c r="A809" s="326"/>
      <c r="B809" s="326"/>
      <c r="C809" s="282" t="s">
        <v>448</v>
      </c>
      <c r="D809" s="282">
        <v>19079</v>
      </c>
      <c r="E809" s="280">
        <v>52000</v>
      </c>
      <c r="F809" s="280">
        <v>26.7</v>
      </c>
      <c r="G809" s="280">
        <v>1</v>
      </c>
      <c r="H809" s="281">
        <v>0</v>
      </c>
      <c r="I809" s="280">
        <v>0</v>
      </c>
    </row>
    <row r="810" spans="1:9" x14ac:dyDescent="0.3">
      <c r="A810" s="326"/>
      <c r="B810" s="326"/>
      <c r="C810" s="282" t="s">
        <v>447</v>
      </c>
      <c r="D810" s="282">
        <v>14317</v>
      </c>
      <c r="E810" s="280">
        <v>54000</v>
      </c>
      <c r="F810" s="280">
        <v>27.7</v>
      </c>
      <c r="G810" s="280">
        <v>3</v>
      </c>
      <c r="H810" s="281">
        <v>0</v>
      </c>
      <c r="I810" s="280">
        <v>0</v>
      </c>
    </row>
    <row r="811" spans="1:9" x14ac:dyDescent="0.3">
      <c r="A811" s="326"/>
      <c r="B811" s="326"/>
      <c r="C811" s="282" t="s">
        <v>446</v>
      </c>
      <c r="D811" s="282">
        <v>17080</v>
      </c>
      <c r="E811" s="280">
        <v>56000</v>
      </c>
      <c r="F811" s="280">
        <v>28.7</v>
      </c>
      <c r="G811" s="280">
        <v>4</v>
      </c>
      <c r="H811" s="281">
        <v>0</v>
      </c>
      <c r="I811" s="280">
        <v>0</v>
      </c>
    </row>
    <row r="812" spans="1:9" x14ac:dyDescent="0.3">
      <c r="A812" s="326"/>
      <c r="B812" s="326"/>
      <c r="C812" s="282" t="s">
        <v>445</v>
      </c>
      <c r="D812" s="282">
        <v>19029</v>
      </c>
      <c r="E812" s="280">
        <v>58000</v>
      </c>
      <c r="F812" s="280">
        <v>29.7</v>
      </c>
      <c r="G812" s="280">
        <v>4.8</v>
      </c>
      <c r="H812" s="281">
        <v>0</v>
      </c>
      <c r="I812" s="280">
        <v>0</v>
      </c>
    </row>
    <row r="813" spans="1:9" x14ac:dyDescent="0.3">
      <c r="A813" s="326"/>
      <c r="B813" s="326"/>
      <c r="C813" s="282" t="s">
        <v>444</v>
      </c>
      <c r="D813" s="282">
        <v>19085</v>
      </c>
      <c r="E813" s="280">
        <v>60000</v>
      </c>
      <c r="F813" s="280">
        <v>30.8</v>
      </c>
      <c r="G813" s="280">
        <v>6.4</v>
      </c>
      <c r="H813" s="281">
        <v>0</v>
      </c>
      <c r="I813" s="280">
        <v>0</v>
      </c>
    </row>
    <row r="814" spans="1:9" x14ac:dyDescent="0.3">
      <c r="A814" s="326"/>
      <c r="B814" s="326"/>
      <c r="C814" s="282" t="s">
        <v>443</v>
      </c>
      <c r="D814" s="282">
        <v>19081</v>
      </c>
      <c r="E814" s="280">
        <v>52000</v>
      </c>
      <c r="F814" s="280">
        <v>26.7</v>
      </c>
      <c r="G814" s="280">
        <v>1</v>
      </c>
      <c r="H814" s="281">
        <v>0</v>
      </c>
      <c r="I814" s="280">
        <v>0</v>
      </c>
    </row>
    <row r="815" spans="1:9" x14ac:dyDescent="0.3">
      <c r="A815" s="326"/>
      <c r="B815" s="326"/>
      <c r="C815" s="282" t="s">
        <v>442</v>
      </c>
      <c r="D815" s="282">
        <v>19021</v>
      </c>
      <c r="E815" s="280">
        <v>54000</v>
      </c>
      <c r="F815" s="280">
        <v>27.7</v>
      </c>
      <c r="G815" s="280">
        <v>3</v>
      </c>
      <c r="H815" s="281">
        <v>0</v>
      </c>
      <c r="I815" s="280">
        <v>0</v>
      </c>
    </row>
    <row r="816" spans="1:9" x14ac:dyDescent="0.3">
      <c r="A816" s="326"/>
      <c r="B816" s="326"/>
      <c r="C816" s="282" t="s">
        <v>441</v>
      </c>
      <c r="D816" s="282">
        <v>19025</v>
      </c>
      <c r="E816" s="280">
        <v>56000</v>
      </c>
      <c r="F816" s="280">
        <v>28.7</v>
      </c>
      <c r="G816" s="280">
        <v>3.4</v>
      </c>
      <c r="H816" s="281">
        <v>0</v>
      </c>
      <c r="I816" s="280">
        <v>0</v>
      </c>
    </row>
    <row r="817" spans="1:9" x14ac:dyDescent="0.3">
      <c r="A817" s="326"/>
      <c r="B817" s="326"/>
      <c r="C817" s="282" t="s">
        <v>440</v>
      </c>
      <c r="D817" s="282">
        <v>19030</v>
      </c>
      <c r="E817" s="280">
        <v>58000</v>
      </c>
      <c r="F817" s="280">
        <v>29.7</v>
      </c>
      <c r="G817" s="280">
        <v>6.2</v>
      </c>
      <c r="H817" s="281">
        <v>0</v>
      </c>
      <c r="I817" s="280">
        <v>0</v>
      </c>
    </row>
    <row r="818" spans="1:9" x14ac:dyDescent="0.3">
      <c r="A818" s="326"/>
      <c r="B818" s="326"/>
      <c r="C818" s="282" t="s">
        <v>439</v>
      </c>
      <c r="D818" s="282">
        <v>19086</v>
      </c>
      <c r="E818" s="280">
        <v>60000</v>
      </c>
      <c r="F818" s="280">
        <v>30.8</v>
      </c>
      <c r="G818" s="280">
        <v>7.2</v>
      </c>
      <c r="H818" s="281">
        <v>0</v>
      </c>
      <c r="I818" s="280">
        <v>0</v>
      </c>
    </row>
    <row r="819" spans="1:9" x14ac:dyDescent="0.3">
      <c r="A819" s="326"/>
      <c r="B819" s="326"/>
      <c r="C819" s="282" t="s">
        <v>438</v>
      </c>
      <c r="D819" s="282">
        <v>19082</v>
      </c>
      <c r="E819" s="280">
        <v>52000</v>
      </c>
      <c r="F819" s="280">
        <v>26.7</v>
      </c>
      <c r="G819" s="280">
        <v>4.2</v>
      </c>
      <c r="H819" s="281">
        <v>0</v>
      </c>
      <c r="I819" s="280">
        <v>0</v>
      </c>
    </row>
    <row r="820" spans="1:9" x14ac:dyDescent="0.3">
      <c r="A820" s="326"/>
      <c r="B820" s="326"/>
      <c r="C820" s="282" t="s">
        <v>437</v>
      </c>
      <c r="D820" s="282">
        <v>19022</v>
      </c>
      <c r="E820" s="280">
        <v>54000</v>
      </c>
      <c r="F820" s="280">
        <v>27.7</v>
      </c>
      <c r="G820" s="280">
        <v>4.2</v>
      </c>
      <c r="H820" s="281">
        <v>0</v>
      </c>
      <c r="I820" s="280">
        <v>0</v>
      </c>
    </row>
    <row r="821" spans="1:9" x14ac:dyDescent="0.3">
      <c r="A821" s="326"/>
      <c r="B821" s="326"/>
      <c r="C821" s="282" t="s">
        <v>436</v>
      </c>
      <c r="D821" s="282">
        <v>19026</v>
      </c>
      <c r="E821" s="280">
        <v>56000</v>
      </c>
      <c r="F821" s="280">
        <v>28.7</v>
      </c>
      <c r="G821" s="280">
        <v>4.8</v>
      </c>
      <c r="H821" s="281">
        <v>0</v>
      </c>
      <c r="I821" s="280">
        <v>0</v>
      </c>
    </row>
    <row r="822" spans="1:9" x14ac:dyDescent="0.3">
      <c r="A822" s="326"/>
      <c r="B822" s="326"/>
      <c r="C822" s="282" t="s">
        <v>435</v>
      </c>
      <c r="D822" s="282">
        <v>19031</v>
      </c>
      <c r="E822" s="280">
        <v>58000</v>
      </c>
      <c r="F822" s="280">
        <v>29.7</v>
      </c>
      <c r="G822" s="280">
        <v>5.2</v>
      </c>
      <c r="H822" s="281">
        <v>0</v>
      </c>
      <c r="I822" s="280">
        <v>0</v>
      </c>
    </row>
    <row r="823" spans="1:9" x14ac:dyDescent="0.3">
      <c r="A823" s="326"/>
      <c r="B823" s="326"/>
      <c r="C823" s="282" t="s">
        <v>434</v>
      </c>
      <c r="D823" s="282">
        <v>19087</v>
      </c>
      <c r="E823" s="280">
        <v>60000</v>
      </c>
      <c r="F823" s="280">
        <v>30.8</v>
      </c>
      <c r="G823" s="280">
        <v>6.4</v>
      </c>
      <c r="H823" s="281">
        <v>0</v>
      </c>
      <c r="I823" s="280">
        <v>0</v>
      </c>
    </row>
    <row r="824" spans="1:9" x14ac:dyDescent="0.3">
      <c r="A824" s="326"/>
      <c r="B824" s="326"/>
      <c r="C824" s="282" t="s">
        <v>433</v>
      </c>
      <c r="D824" s="282">
        <v>19083</v>
      </c>
      <c r="E824" s="280">
        <v>52000</v>
      </c>
      <c r="F824" s="280">
        <v>26.7</v>
      </c>
      <c r="G824" s="280">
        <v>1.8</v>
      </c>
      <c r="H824" s="281">
        <v>0</v>
      </c>
      <c r="I824" s="280">
        <v>0</v>
      </c>
    </row>
    <row r="825" spans="1:9" x14ac:dyDescent="0.3">
      <c r="A825" s="326"/>
      <c r="B825" s="326"/>
      <c r="C825" s="282" t="s">
        <v>432</v>
      </c>
      <c r="D825" s="282">
        <v>19023</v>
      </c>
      <c r="E825" s="280">
        <v>54000</v>
      </c>
      <c r="F825" s="280">
        <v>27.7</v>
      </c>
      <c r="G825" s="280">
        <v>2.8</v>
      </c>
      <c r="H825" s="281">
        <v>0</v>
      </c>
      <c r="I825" s="280">
        <v>0</v>
      </c>
    </row>
    <row r="826" spans="1:9" x14ac:dyDescent="0.3">
      <c r="A826" s="326"/>
      <c r="B826" s="326"/>
      <c r="C826" s="282" t="s">
        <v>431</v>
      </c>
      <c r="D826" s="282">
        <v>19027</v>
      </c>
      <c r="E826" s="280">
        <v>56000</v>
      </c>
      <c r="F826" s="280">
        <v>28.7</v>
      </c>
      <c r="G826" s="280">
        <v>4.2</v>
      </c>
      <c r="H826" s="281">
        <v>0</v>
      </c>
      <c r="I826" s="280">
        <v>0</v>
      </c>
    </row>
    <row r="827" spans="1:9" x14ac:dyDescent="0.3">
      <c r="A827" s="326"/>
      <c r="B827" s="326"/>
      <c r="C827" s="282" t="s">
        <v>430</v>
      </c>
      <c r="D827" s="282">
        <v>19032</v>
      </c>
      <c r="E827" s="280">
        <v>58000</v>
      </c>
      <c r="F827" s="280">
        <v>29.7</v>
      </c>
      <c r="G827" s="280">
        <v>5.8</v>
      </c>
      <c r="H827" s="281">
        <v>0</v>
      </c>
      <c r="I827" s="280">
        <v>0</v>
      </c>
    </row>
    <row r="828" spans="1:9" x14ac:dyDescent="0.3">
      <c r="A828" s="326"/>
      <c r="B828" s="326"/>
      <c r="C828" s="282" t="s">
        <v>429</v>
      </c>
      <c r="D828" s="282">
        <v>19088</v>
      </c>
      <c r="E828" s="280">
        <v>60000</v>
      </c>
      <c r="F828" s="280">
        <v>30.8</v>
      </c>
      <c r="G828" s="280">
        <v>8</v>
      </c>
      <c r="H828" s="281">
        <v>0</v>
      </c>
      <c r="I828" s="280">
        <v>0</v>
      </c>
    </row>
    <row r="829" spans="1:9" x14ac:dyDescent="0.3">
      <c r="A829" s="326"/>
      <c r="B829" s="326"/>
      <c r="C829" s="282" t="s">
        <v>428</v>
      </c>
      <c r="D829" s="282">
        <v>19084</v>
      </c>
      <c r="E829" s="280">
        <v>52000</v>
      </c>
      <c r="F829" s="280">
        <v>26.7</v>
      </c>
      <c r="G829" s="280">
        <v>1</v>
      </c>
      <c r="H829" s="281">
        <v>0</v>
      </c>
      <c r="I829" s="280">
        <v>0</v>
      </c>
    </row>
    <row r="830" spans="1:9" x14ac:dyDescent="0.3">
      <c r="A830" s="326"/>
      <c r="B830" s="326"/>
      <c r="C830" s="282" t="s">
        <v>427</v>
      </c>
      <c r="D830" s="282">
        <v>19024</v>
      </c>
      <c r="E830" s="280">
        <v>54000</v>
      </c>
      <c r="F830" s="280">
        <v>27.7</v>
      </c>
      <c r="G830" s="280">
        <v>3.2</v>
      </c>
      <c r="H830" s="281">
        <v>0</v>
      </c>
      <c r="I830" s="280">
        <v>0</v>
      </c>
    </row>
    <row r="831" spans="1:9" x14ac:dyDescent="0.3">
      <c r="A831" s="326"/>
      <c r="B831" s="327"/>
      <c r="C831" s="282" t="s">
        <v>426</v>
      </c>
      <c r="D831" s="282">
        <v>19028</v>
      </c>
      <c r="E831" s="280">
        <v>56000</v>
      </c>
      <c r="F831" s="280">
        <v>28.7</v>
      </c>
      <c r="G831" s="280">
        <v>4</v>
      </c>
      <c r="H831" s="281">
        <v>0</v>
      </c>
      <c r="I831" s="280">
        <v>0</v>
      </c>
    </row>
    <row r="832" spans="1:9" x14ac:dyDescent="0.3">
      <c r="A832" s="326"/>
      <c r="B832" s="325" t="s">
        <v>425</v>
      </c>
      <c r="C832" s="282" t="s">
        <v>373</v>
      </c>
      <c r="D832" s="282" t="s">
        <v>373</v>
      </c>
      <c r="E832" s="282" t="s">
        <v>373</v>
      </c>
      <c r="F832" s="282" t="s">
        <v>373</v>
      </c>
      <c r="G832" s="282" t="s">
        <v>373</v>
      </c>
      <c r="H832" s="282" t="s">
        <v>373</v>
      </c>
      <c r="I832" s="282" t="s">
        <v>373</v>
      </c>
    </row>
    <row r="833" spans="1:9" x14ac:dyDescent="0.3">
      <c r="A833" s="326"/>
      <c r="B833" s="326"/>
      <c r="C833" s="282" t="s">
        <v>424</v>
      </c>
      <c r="D833" s="282">
        <v>22115</v>
      </c>
      <c r="E833" s="280">
        <v>202538</v>
      </c>
      <c r="F833" s="280">
        <v>103.9</v>
      </c>
      <c r="G833" s="280">
        <v>14</v>
      </c>
      <c r="H833" s="281">
        <v>0</v>
      </c>
      <c r="I833" s="280">
        <v>0</v>
      </c>
    </row>
    <row r="834" spans="1:9" x14ac:dyDescent="0.3">
      <c r="A834" s="326"/>
      <c r="B834" s="326"/>
      <c r="C834" s="282" t="s">
        <v>423</v>
      </c>
      <c r="D834" s="282">
        <v>22117</v>
      </c>
      <c r="E834" s="280">
        <v>222679</v>
      </c>
      <c r="F834" s="280">
        <v>114.2</v>
      </c>
      <c r="G834" s="280">
        <v>14</v>
      </c>
      <c r="H834" s="281">
        <v>0</v>
      </c>
      <c r="I834" s="282"/>
    </row>
    <row r="835" spans="1:9" x14ac:dyDescent="0.3">
      <c r="A835" s="326"/>
      <c r="B835" s="326"/>
      <c r="C835" s="282" t="s">
        <v>422</v>
      </c>
      <c r="D835" s="282">
        <v>22099</v>
      </c>
      <c r="E835" s="280">
        <v>234536</v>
      </c>
      <c r="F835" s="280">
        <v>120.3</v>
      </c>
      <c r="G835" s="280">
        <v>14</v>
      </c>
      <c r="H835" s="281">
        <v>0</v>
      </c>
      <c r="I835" s="280">
        <v>0</v>
      </c>
    </row>
    <row r="836" spans="1:9" x14ac:dyDescent="0.3">
      <c r="A836" s="326"/>
      <c r="B836" s="326"/>
      <c r="C836" s="282" t="s">
        <v>421</v>
      </c>
      <c r="D836" s="282">
        <v>22103</v>
      </c>
      <c r="E836" s="280">
        <v>244131</v>
      </c>
      <c r="F836" s="280">
        <v>125.2</v>
      </c>
      <c r="G836" s="280">
        <v>14</v>
      </c>
      <c r="H836" s="281">
        <v>0</v>
      </c>
      <c r="I836" s="282"/>
    </row>
    <row r="837" spans="1:9" x14ac:dyDescent="0.3">
      <c r="A837" s="326"/>
      <c r="B837" s="326"/>
      <c r="C837" s="282" t="s">
        <v>420</v>
      </c>
      <c r="D837" s="282">
        <v>22116</v>
      </c>
      <c r="E837" s="280">
        <v>256131</v>
      </c>
      <c r="F837" s="280">
        <v>131.30000000000001</v>
      </c>
      <c r="G837" s="280">
        <v>14</v>
      </c>
      <c r="H837" s="281">
        <v>0</v>
      </c>
      <c r="I837" s="282"/>
    </row>
    <row r="838" spans="1:9" x14ac:dyDescent="0.3">
      <c r="A838" s="326"/>
      <c r="B838" s="326"/>
      <c r="C838" s="282" t="s">
        <v>419</v>
      </c>
      <c r="D838" s="282">
        <v>22118</v>
      </c>
      <c r="E838" s="280">
        <v>268131</v>
      </c>
      <c r="F838" s="280">
        <v>137.5</v>
      </c>
      <c r="G838" s="280">
        <v>14</v>
      </c>
      <c r="H838" s="281">
        <v>0</v>
      </c>
      <c r="I838" s="282"/>
    </row>
    <row r="839" spans="1:9" x14ac:dyDescent="0.3">
      <c r="A839" s="326"/>
      <c r="B839" s="326"/>
      <c r="C839" s="282" t="s">
        <v>418</v>
      </c>
      <c r="D839" s="282">
        <v>22100</v>
      </c>
      <c r="E839" s="280">
        <v>275274</v>
      </c>
      <c r="F839" s="280">
        <v>141.19999999999999</v>
      </c>
      <c r="G839" s="280">
        <v>14</v>
      </c>
      <c r="H839" s="282"/>
      <c r="I839" s="282"/>
    </row>
    <row r="840" spans="1:9" x14ac:dyDescent="0.3">
      <c r="A840" s="326"/>
      <c r="B840" s="326"/>
      <c r="C840" s="282" t="s">
        <v>417</v>
      </c>
      <c r="D840" s="282">
        <v>22645</v>
      </c>
      <c r="E840" s="280">
        <v>279639</v>
      </c>
      <c r="F840" s="280">
        <v>143.4</v>
      </c>
      <c r="G840" s="280">
        <v>0</v>
      </c>
      <c r="H840" s="281">
        <v>0</v>
      </c>
      <c r="I840" s="280">
        <v>0</v>
      </c>
    </row>
    <row r="841" spans="1:9" x14ac:dyDescent="0.3">
      <c r="A841" s="326"/>
      <c r="B841" s="327"/>
      <c r="C841" s="282" t="s">
        <v>416</v>
      </c>
      <c r="D841" s="282">
        <v>22102</v>
      </c>
      <c r="E841" s="280">
        <v>202310</v>
      </c>
      <c r="F841" s="280">
        <v>103.7</v>
      </c>
      <c r="G841" s="280">
        <v>14</v>
      </c>
      <c r="H841" s="281">
        <v>0</v>
      </c>
      <c r="I841" s="280">
        <v>0</v>
      </c>
    </row>
    <row r="842" spans="1:9" x14ac:dyDescent="0.3">
      <c r="A842" s="326"/>
      <c r="B842" s="325" t="s">
        <v>415</v>
      </c>
      <c r="C842" s="282" t="s">
        <v>373</v>
      </c>
      <c r="D842" s="282" t="s">
        <v>373</v>
      </c>
      <c r="E842" s="282" t="s">
        <v>373</v>
      </c>
      <c r="F842" s="282" t="s">
        <v>373</v>
      </c>
      <c r="G842" s="282" t="s">
        <v>373</v>
      </c>
      <c r="H842" s="282" t="s">
        <v>373</v>
      </c>
      <c r="I842" s="282" t="s">
        <v>373</v>
      </c>
    </row>
    <row r="843" spans="1:9" x14ac:dyDescent="0.3">
      <c r="A843" s="326"/>
      <c r="B843" s="326"/>
      <c r="C843" s="282" t="s">
        <v>414</v>
      </c>
      <c r="D843" s="282">
        <v>25258</v>
      </c>
      <c r="E843" s="280">
        <v>27200</v>
      </c>
      <c r="F843" s="280">
        <v>13.9</v>
      </c>
      <c r="G843" s="280">
        <v>0</v>
      </c>
      <c r="H843" s="281">
        <v>0</v>
      </c>
      <c r="I843" s="280">
        <v>0</v>
      </c>
    </row>
    <row r="844" spans="1:9" x14ac:dyDescent="0.3">
      <c r="A844" s="326"/>
      <c r="B844" s="326"/>
      <c r="C844" s="282" t="s">
        <v>413</v>
      </c>
      <c r="D844" s="282">
        <v>25257</v>
      </c>
      <c r="E844" s="280">
        <v>40200</v>
      </c>
      <c r="F844" s="280">
        <v>20.6</v>
      </c>
      <c r="G844" s="280">
        <v>0</v>
      </c>
      <c r="H844" s="281">
        <v>0</v>
      </c>
      <c r="I844" s="280">
        <v>0</v>
      </c>
    </row>
    <row r="845" spans="1:9" x14ac:dyDescent="0.3">
      <c r="A845" s="326"/>
      <c r="B845" s="326"/>
      <c r="C845" s="282" t="s">
        <v>412</v>
      </c>
      <c r="D845" s="282">
        <v>25256</v>
      </c>
      <c r="E845" s="280">
        <v>53200</v>
      </c>
      <c r="F845" s="280">
        <v>27.3</v>
      </c>
      <c r="G845" s="280">
        <v>0</v>
      </c>
      <c r="H845" s="281">
        <v>0</v>
      </c>
      <c r="I845" s="280">
        <v>0</v>
      </c>
    </row>
    <row r="846" spans="1:9" x14ac:dyDescent="0.3">
      <c r="A846" s="326"/>
      <c r="B846" s="326"/>
      <c r="C846" s="282" t="s">
        <v>411</v>
      </c>
      <c r="D846" s="282">
        <v>25255</v>
      </c>
      <c r="E846" s="280">
        <v>66250</v>
      </c>
      <c r="F846" s="280">
        <v>34</v>
      </c>
      <c r="G846" s="280">
        <v>0</v>
      </c>
      <c r="H846" s="281">
        <v>0</v>
      </c>
      <c r="I846" s="280">
        <v>0</v>
      </c>
    </row>
    <row r="847" spans="1:9" x14ac:dyDescent="0.3">
      <c r="A847" s="326"/>
      <c r="B847" s="326"/>
      <c r="C847" s="282" t="s">
        <v>410</v>
      </c>
      <c r="D847" s="282">
        <v>25253</v>
      </c>
      <c r="E847" s="280">
        <v>79300</v>
      </c>
      <c r="F847" s="280">
        <v>40.700000000000003</v>
      </c>
      <c r="G847" s="280">
        <v>0</v>
      </c>
      <c r="H847" s="281">
        <v>0</v>
      </c>
      <c r="I847" s="280">
        <v>0</v>
      </c>
    </row>
    <row r="848" spans="1:9" x14ac:dyDescent="0.3">
      <c r="A848" s="326"/>
      <c r="B848" s="326"/>
      <c r="C848" s="282" t="s">
        <v>409</v>
      </c>
      <c r="D848" s="282">
        <v>18777</v>
      </c>
      <c r="E848" s="280">
        <v>92300</v>
      </c>
      <c r="F848" s="280">
        <v>47.3</v>
      </c>
      <c r="G848" s="280">
        <v>8.1999899999999997</v>
      </c>
      <c r="H848" s="281">
        <v>0</v>
      </c>
      <c r="I848" s="280">
        <v>0</v>
      </c>
    </row>
    <row r="849" spans="1:9" x14ac:dyDescent="0.3">
      <c r="A849" s="326"/>
      <c r="B849" s="326"/>
      <c r="C849" s="282" t="s">
        <v>408</v>
      </c>
      <c r="D849" s="282">
        <v>26549</v>
      </c>
      <c r="E849" s="280">
        <v>41250</v>
      </c>
      <c r="F849" s="280">
        <v>21.2</v>
      </c>
      <c r="G849" s="280">
        <v>0</v>
      </c>
      <c r="H849" s="281">
        <v>0</v>
      </c>
      <c r="I849" s="280">
        <v>0</v>
      </c>
    </row>
    <row r="850" spans="1:9" x14ac:dyDescent="0.3">
      <c r="A850" s="326"/>
      <c r="B850" s="326"/>
      <c r="C850" s="282" t="s">
        <v>407</v>
      </c>
      <c r="D850" s="282">
        <v>26548</v>
      </c>
      <c r="E850" s="280">
        <v>58100</v>
      </c>
      <c r="F850" s="280">
        <v>29.8</v>
      </c>
      <c r="G850" s="280">
        <v>0</v>
      </c>
      <c r="H850" s="281">
        <v>0</v>
      </c>
      <c r="I850" s="280">
        <v>0</v>
      </c>
    </row>
    <row r="851" spans="1:9" x14ac:dyDescent="0.3">
      <c r="A851" s="326"/>
      <c r="B851" s="326"/>
      <c r="C851" s="282" t="s">
        <v>406</v>
      </c>
      <c r="D851" s="282">
        <v>26547</v>
      </c>
      <c r="E851" s="280">
        <v>75000</v>
      </c>
      <c r="F851" s="280">
        <v>38.5</v>
      </c>
      <c r="G851" s="280">
        <v>0</v>
      </c>
      <c r="H851" s="281">
        <v>0</v>
      </c>
      <c r="I851" s="280">
        <v>0</v>
      </c>
    </row>
    <row r="852" spans="1:9" x14ac:dyDescent="0.3">
      <c r="A852" s="326"/>
      <c r="B852" s="326"/>
      <c r="C852" s="282" t="s">
        <v>405</v>
      </c>
      <c r="D852" s="282">
        <v>26546</v>
      </c>
      <c r="E852" s="280">
        <v>92000</v>
      </c>
      <c r="F852" s="280">
        <v>47.2</v>
      </c>
      <c r="G852" s="280">
        <v>0</v>
      </c>
      <c r="H852" s="281">
        <v>0</v>
      </c>
      <c r="I852" s="280">
        <v>0</v>
      </c>
    </row>
    <row r="853" spans="1:9" x14ac:dyDescent="0.3">
      <c r="A853" s="326"/>
      <c r="B853" s="326"/>
      <c r="C853" s="282" t="s">
        <v>404</v>
      </c>
      <c r="D853" s="282">
        <v>26545</v>
      </c>
      <c r="E853" s="280">
        <v>108650</v>
      </c>
      <c r="F853" s="280">
        <v>55.7</v>
      </c>
      <c r="G853" s="280">
        <v>0</v>
      </c>
      <c r="H853" s="281">
        <v>0</v>
      </c>
      <c r="I853" s="280">
        <v>0</v>
      </c>
    </row>
    <row r="854" spans="1:9" x14ac:dyDescent="0.3">
      <c r="A854" s="327"/>
      <c r="B854" s="327"/>
      <c r="C854" s="282" t="s">
        <v>403</v>
      </c>
      <c r="D854" s="282">
        <v>21199</v>
      </c>
      <c r="E854" s="280">
        <v>125450</v>
      </c>
      <c r="F854" s="280">
        <v>64.3</v>
      </c>
      <c r="G854" s="280">
        <v>45</v>
      </c>
      <c r="H854" s="281">
        <v>0</v>
      </c>
      <c r="I854" s="280">
        <v>0</v>
      </c>
    </row>
    <row r="855" spans="1:9" x14ac:dyDescent="0.3">
      <c r="A855" s="325" t="s">
        <v>402</v>
      </c>
      <c r="B855" s="282" t="s">
        <v>373</v>
      </c>
      <c r="C855" s="282" t="s">
        <v>373</v>
      </c>
      <c r="D855" s="282" t="s">
        <v>373</v>
      </c>
      <c r="E855" s="282" t="s">
        <v>373</v>
      </c>
      <c r="F855" s="282" t="s">
        <v>373</v>
      </c>
      <c r="G855" s="282" t="s">
        <v>373</v>
      </c>
      <c r="H855" s="282" t="s">
        <v>373</v>
      </c>
      <c r="I855" s="282" t="s">
        <v>373</v>
      </c>
    </row>
    <row r="856" spans="1:9" x14ac:dyDescent="0.3">
      <c r="A856" s="326"/>
      <c r="B856" s="325" t="s">
        <v>401</v>
      </c>
      <c r="C856" s="282" t="s">
        <v>373</v>
      </c>
      <c r="D856" s="282" t="s">
        <v>373</v>
      </c>
      <c r="E856" s="282" t="s">
        <v>373</v>
      </c>
      <c r="F856" s="282" t="s">
        <v>373</v>
      </c>
      <c r="G856" s="282" t="s">
        <v>373</v>
      </c>
      <c r="H856" s="282" t="s">
        <v>373</v>
      </c>
      <c r="I856" s="282" t="s">
        <v>373</v>
      </c>
    </row>
    <row r="857" spans="1:9" x14ac:dyDescent="0.3">
      <c r="A857" s="326"/>
      <c r="B857" s="326"/>
      <c r="C857" s="282" t="s">
        <v>400</v>
      </c>
      <c r="D857" s="282">
        <v>26077</v>
      </c>
      <c r="E857" s="280">
        <v>83100</v>
      </c>
      <c r="F857" s="280">
        <v>42.6</v>
      </c>
      <c r="G857" s="280">
        <v>0</v>
      </c>
      <c r="H857" s="281">
        <v>0</v>
      </c>
      <c r="I857" s="280">
        <v>0</v>
      </c>
    </row>
    <row r="858" spans="1:9" x14ac:dyDescent="0.3">
      <c r="A858" s="326"/>
      <c r="B858" s="326"/>
      <c r="C858" s="282" t="s">
        <v>399</v>
      </c>
      <c r="D858" s="282">
        <v>26079</v>
      </c>
      <c r="E858" s="280">
        <v>165950</v>
      </c>
      <c r="F858" s="280">
        <v>85.1</v>
      </c>
      <c r="G858" s="280">
        <v>0</v>
      </c>
      <c r="H858" s="281">
        <v>0</v>
      </c>
      <c r="I858" s="280">
        <v>0</v>
      </c>
    </row>
    <row r="859" spans="1:9" x14ac:dyDescent="0.3">
      <c r="A859" s="326"/>
      <c r="B859" s="326"/>
      <c r="C859" s="282" t="s">
        <v>398</v>
      </c>
      <c r="D859" s="282">
        <v>26083</v>
      </c>
      <c r="E859" s="280">
        <v>208500</v>
      </c>
      <c r="F859" s="280">
        <v>106.9</v>
      </c>
      <c r="G859" s="280">
        <v>0</v>
      </c>
      <c r="H859" s="281">
        <v>0</v>
      </c>
      <c r="I859" s="280">
        <v>0</v>
      </c>
    </row>
    <row r="860" spans="1:9" x14ac:dyDescent="0.3">
      <c r="A860" s="326"/>
      <c r="B860" s="326"/>
      <c r="C860" s="282" t="s">
        <v>397</v>
      </c>
      <c r="D860" s="282">
        <v>26085</v>
      </c>
      <c r="E860" s="280">
        <v>255350</v>
      </c>
      <c r="F860" s="280">
        <v>130.9</v>
      </c>
      <c r="G860" s="280">
        <v>0</v>
      </c>
      <c r="H860" s="281">
        <v>0</v>
      </c>
      <c r="I860" s="280">
        <v>0</v>
      </c>
    </row>
    <row r="861" spans="1:9" x14ac:dyDescent="0.3">
      <c r="A861" s="326"/>
      <c r="B861" s="326"/>
      <c r="C861" s="282" t="s">
        <v>396</v>
      </c>
      <c r="D861" s="282">
        <v>28636</v>
      </c>
      <c r="E861" s="280">
        <v>69000</v>
      </c>
      <c r="F861" s="280">
        <v>35.4</v>
      </c>
      <c r="G861" s="280">
        <v>0</v>
      </c>
      <c r="H861" s="281">
        <v>0</v>
      </c>
      <c r="I861" s="280">
        <v>0</v>
      </c>
    </row>
    <row r="862" spans="1:9" x14ac:dyDescent="0.3">
      <c r="A862" s="326"/>
      <c r="B862" s="326"/>
      <c r="C862" s="282" t="s">
        <v>395</v>
      </c>
      <c r="D862" s="282">
        <v>26089</v>
      </c>
      <c r="E862" s="280">
        <v>83000</v>
      </c>
      <c r="F862" s="280">
        <v>42.6</v>
      </c>
      <c r="G862" s="280">
        <v>0</v>
      </c>
      <c r="H862" s="281">
        <v>0</v>
      </c>
      <c r="I862" s="280">
        <v>0</v>
      </c>
    </row>
    <row r="863" spans="1:9" x14ac:dyDescent="0.3">
      <c r="A863" s="326"/>
      <c r="B863" s="326"/>
      <c r="C863" s="282" t="s">
        <v>394</v>
      </c>
      <c r="D863" s="282">
        <v>26893</v>
      </c>
      <c r="E863" s="280">
        <v>103500</v>
      </c>
      <c r="F863" s="280">
        <v>53.1</v>
      </c>
      <c r="G863" s="280">
        <v>0</v>
      </c>
      <c r="H863" s="281">
        <v>0</v>
      </c>
      <c r="I863" s="280">
        <v>0</v>
      </c>
    </row>
    <row r="864" spans="1:9" x14ac:dyDescent="0.3">
      <c r="A864" s="326"/>
      <c r="B864" s="326"/>
      <c r="C864" s="282" t="s">
        <v>393</v>
      </c>
      <c r="D864" s="282">
        <v>28637</v>
      </c>
      <c r="E864" s="280">
        <v>138000</v>
      </c>
      <c r="F864" s="280">
        <v>70.8</v>
      </c>
      <c r="G864" s="280">
        <v>0</v>
      </c>
      <c r="H864" s="281">
        <v>0</v>
      </c>
      <c r="I864" s="280">
        <v>0</v>
      </c>
    </row>
    <row r="865" spans="1:9" x14ac:dyDescent="0.3">
      <c r="A865" s="326"/>
      <c r="B865" s="326"/>
      <c r="C865" s="282" t="s">
        <v>392</v>
      </c>
      <c r="D865" s="282">
        <v>26091</v>
      </c>
      <c r="E865" s="280">
        <v>207000</v>
      </c>
      <c r="F865" s="280">
        <v>106.2</v>
      </c>
      <c r="G865" s="280">
        <v>0</v>
      </c>
      <c r="H865" s="281">
        <v>0</v>
      </c>
      <c r="I865" s="280">
        <v>0</v>
      </c>
    </row>
    <row r="866" spans="1:9" x14ac:dyDescent="0.3">
      <c r="A866" s="326"/>
      <c r="B866" s="326"/>
      <c r="C866" s="282" t="s">
        <v>391</v>
      </c>
      <c r="D866" s="282">
        <v>28638</v>
      </c>
      <c r="E866" s="280">
        <v>276000</v>
      </c>
      <c r="F866" s="280">
        <v>141.5</v>
      </c>
      <c r="G866" s="280">
        <v>0</v>
      </c>
      <c r="H866" s="281">
        <v>0</v>
      </c>
      <c r="I866" s="280">
        <v>0</v>
      </c>
    </row>
    <row r="867" spans="1:9" x14ac:dyDescent="0.3">
      <c r="A867" s="326"/>
      <c r="B867" s="326"/>
      <c r="C867" s="282" t="s">
        <v>390</v>
      </c>
      <c r="D867" s="282">
        <v>26894</v>
      </c>
      <c r="E867" s="280">
        <v>310500</v>
      </c>
      <c r="F867" s="280">
        <v>159.19999999999999</v>
      </c>
      <c r="G867" s="280">
        <v>0</v>
      </c>
      <c r="H867" s="281">
        <v>0</v>
      </c>
      <c r="I867" s="280">
        <v>0</v>
      </c>
    </row>
    <row r="868" spans="1:9" x14ac:dyDescent="0.3">
      <c r="A868" s="326"/>
      <c r="B868" s="326"/>
      <c r="C868" s="282" t="s">
        <v>389</v>
      </c>
      <c r="D868" s="282">
        <v>28639</v>
      </c>
      <c r="E868" s="280">
        <v>345000</v>
      </c>
      <c r="F868" s="280">
        <v>176.9</v>
      </c>
      <c r="G868" s="280">
        <v>0</v>
      </c>
      <c r="H868" s="281">
        <v>0</v>
      </c>
      <c r="I868" s="280">
        <v>0</v>
      </c>
    </row>
    <row r="869" spans="1:9" x14ac:dyDescent="0.3">
      <c r="A869" s="326"/>
      <c r="B869" s="326"/>
      <c r="C869" s="282" t="s">
        <v>388</v>
      </c>
      <c r="D869" s="282">
        <v>26093</v>
      </c>
      <c r="E869" s="280">
        <v>414000</v>
      </c>
      <c r="F869" s="280">
        <v>212.3</v>
      </c>
      <c r="G869" s="280">
        <v>0</v>
      </c>
      <c r="H869" s="281">
        <v>0</v>
      </c>
      <c r="I869" s="280">
        <v>0</v>
      </c>
    </row>
    <row r="870" spans="1:9" x14ac:dyDescent="0.3">
      <c r="A870" s="326"/>
      <c r="B870" s="326"/>
      <c r="C870" s="282" t="s">
        <v>387</v>
      </c>
      <c r="D870" s="282">
        <v>24293</v>
      </c>
      <c r="E870" s="280">
        <v>0</v>
      </c>
      <c r="F870" s="280">
        <v>0</v>
      </c>
      <c r="G870" s="280">
        <v>0</v>
      </c>
      <c r="H870" s="281">
        <v>0</v>
      </c>
      <c r="I870" s="280">
        <v>0</v>
      </c>
    </row>
    <row r="871" spans="1:9" x14ac:dyDescent="0.3">
      <c r="A871" s="326"/>
      <c r="B871" s="326"/>
      <c r="C871" s="282" t="s">
        <v>386</v>
      </c>
      <c r="D871" s="282">
        <v>14313</v>
      </c>
      <c r="E871" s="280">
        <v>273000</v>
      </c>
      <c r="F871" s="280">
        <v>140</v>
      </c>
      <c r="G871" s="280">
        <v>1</v>
      </c>
      <c r="H871" s="281">
        <v>0</v>
      </c>
      <c r="I871" s="280">
        <v>0</v>
      </c>
    </row>
    <row r="872" spans="1:9" x14ac:dyDescent="0.3">
      <c r="A872" s="326"/>
      <c r="B872" s="326"/>
      <c r="C872" s="282" t="s">
        <v>385</v>
      </c>
      <c r="D872" s="282">
        <v>14315</v>
      </c>
      <c r="E872" s="280">
        <v>326550</v>
      </c>
      <c r="F872" s="280">
        <v>167.5</v>
      </c>
      <c r="G872" s="280">
        <v>1</v>
      </c>
      <c r="H872" s="281">
        <v>0</v>
      </c>
      <c r="I872" s="280">
        <v>0</v>
      </c>
    </row>
    <row r="873" spans="1:9" x14ac:dyDescent="0.3">
      <c r="A873" s="326"/>
      <c r="B873" s="326"/>
      <c r="C873" s="282" t="s">
        <v>384</v>
      </c>
      <c r="D873" s="282">
        <v>14314</v>
      </c>
      <c r="E873" s="280">
        <v>431450</v>
      </c>
      <c r="F873" s="280">
        <v>221.3</v>
      </c>
      <c r="G873" s="280">
        <v>79.799989999999994</v>
      </c>
      <c r="H873" s="281">
        <v>0</v>
      </c>
      <c r="I873" s="280">
        <v>0</v>
      </c>
    </row>
    <row r="874" spans="1:9" x14ac:dyDescent="0.3">
      <c r="A874" s="326"/>
      <c r="B874" s="326"/>
      <c r="C874" s="282" t="s">
        <v>383</v>
      </c>
      <c r="D874" s="282">
        <v>22114</v>
      </c>
      <c r="E874" s="280">
        <v>159540</v>
      </c>
      <c r="F874" s="280">
        <v>81.8</v>
      </c>
      <c r="G874" s="280">
        <v>98</v>
      </c>
      <c r="H874" s="281">
        <v>0</v>
      </c>
      <c r="I874" s="282"/>
    </row>
    <row r="875" spans="1:9" x14ac:dyDescent="0.3">
      <c r="A875" s="326"/>
      <c r="B875" s="326"/>
      <c r="C875" s="282" t="s">
        <v>382</v>
      </c>
      <c r="D875" s="282">
        <v>21900</v>
      </c>
      <c r="E875" s="280">
        <v>204640</v>
      </c>
      <c r="F875" s="280">
        <v>105</v>
      </c>
      <c r="G875" s="280">
        <v>0</v>
      </c>
      <c r="H875" s="281">
        <v>0</v>
      </c>
      <c r="I875" s="280">
        <v>0</v>
      </c>
    </row>
    <row r="876" spans="1:9" x14ac:dyDescent="0.3">
      <c r="A876" s="326"/>
      <c r="B876" s="327"/>
      <c r="C876" s="282" t="s">
        <v>381</v>
      </c>
      <c r="D876" s="282">
        <v>22098</v>
      </c>
      <c r="E876" s="280">
        <v>193373</v>
      </c>
      <c r="F876" s="280">
        <v>99.2</v>
      </c>
      <c r="G876" s="280">
        <v>148.4</v>
      </c>
      <c r="H876" s="282"/>
      <c r="I876" s="282"/>
    </row>
    <row r="877" spans="1:9" x14ac:dyDescent="0.3">
      <c r="A877" s="326"/>
      <c r="B877" s="325" t="s">
        <v>380</v>
      </c>
      <c r="C877" s="282" t="s">
        <v>373</v>
      </c>
      <c r="D877" s="282" t="s">
        <v>373</v>
      </c>
      <c r="E877" s="282" t="s">
        <v>373</v>
      </c>
      <c r="F877" s="282" t="s">
        <v>373</v>
      </c>
      <c r="G877" s="282" t="s">
        <v>373</v>
      </c>
      <c r="H877" s="282" t="s">
        <v>373</v>
      </c>
      <c r="I877" s="282" t="s">
        <v>373</v>
      </c>
    </row>
    <row r="878" spans="1:9" x14ac:dyDescent="0.3">
      <c r="A878" s="327"/>
      <c r="B878" s="327"/>
      <c r="C878" s="282" t="s">
        <v>379</v>
      </c>
      <c r="D878" s="282">
        <v>1005</v>
      </c>
      <c r="E878" s="280">
        <v>495000</v>
      </c>
      <c r="F878" s="280">
        <v>253.8</v>
      </c>
      <c r="G878" s="280">
        <v>11</v>
      </c>
      <c r="H878" s="281">
        <v>1</v>
      </c>
      <c r="I878" s="280">
        <v>11</v>
      </c>
    </row>
    <row r="879" spans="1:9" x14ac:dyDescent="0.3">
      <c r="A879" s="325" t="s">
        <v>378</v>
      </c>
      <c r="B879" s="282" t="s">
        <v>373</v>
      </c>
      <c r="C879" s="282" t="s">
        <v>373</v>
      </c>
      <c r="D879" s="282" t="s">
        <v>373</v>
      </c>
      <c r="E879" s="282" t="s">
        <v>373</v>
      </c>
      <c r="F879" s="282" t="s">
        <v>373</v>
      </c>
      <c r="G879" s="282" t="s">
        <v>373</v>
      </c>
      <c r="H879" s="282" t="s">
        <v>373</v>
      </c>
      <c r="I879" s="282" t="s">
        <v>373</v>
      </c>
    </row>
    <row r="880" spans="1:9" x14ac:dyDescent="0.3">
      <c r="A880" s="326"/>
      <c r="B880" s="325" t="s">
        <v>377</v>
      </c>
      <c r="C880" s="282" t="s">
        <v>373</v>
      </c>
      <c r="D880" s="282" t="s">
        <v>373</v>
      </c>
      <c r="E880" s="282" t="s">
        <v>373</v>
      </c>
      <c r="F880" s="282" t="s">
        <v>373</v>
      </c>
      <c r="G880" s="282" t="s">
        <v>373</v>
      </c>
      <c r="H880" s="282" t="s">
        <v>373</v>
      </c>
      <c r="I880" s="282" t="s">
        <v>373</v>
      </c>
    </row>
    <row r="881" spans="1:9" x14ac:dyDescent="0.3">
      <c r="A881" s="327"/>
      <c r="B881" s="327"/>
      <c r="C881" s="282" t="s">
        <v>376</v>
      </c>
      <c r="D881" s="282">
        <v>932</v>
      </c>
      <c r="E881" s="280">
        <v>86</v>
      </c>
      <c r="F881" s="280">
        <v>0.04</v>
      </c>
      <c r="G881" s="280">
        <v>9.2999999999999992E-3</v>
      </c>
      <c r="H881" s="281">
        <v>0</v>
      </c>
      <c r="I881" s="280">
        <v>0</v>
      </c>
    </row>
    <row r="882" spans="1:9" x14ac:dyDescent="0.3">
      <c r="A882" s="325" t="s">
        <v>375</v>
      </c>
      <c r="B882" s="282" t="s">
        <v>373</v>
      </c>
      <c r="C882" s="282" t="s">
        <v>373</v>
      </c>
      <c r="D882" s="282" t="s">
        <v>373</v>
      </c>
      <c r="E882" s="282" t="s">
        <v>373</v>
      </c>
      <c r="F882" s="282" t="s">
        <v>373</v>
      </c>
      <c r="G882" s="282" t="s">
        <v>373</v>
      </c>
      <c r="H882" s="282" t="s">
        <v>373</v>
      </c>
      <c r="I882" s="282" t="s">
        <v>373</v>
      </c>
    </row>
    <row r="883" spans="1:9" x14ac:dyDescent="0.3">
      <c r="A883" s="326"/>
      <c r="B883" s="325" t="s">
        <v>374</v>
      </c>
      <c r="C883" s="282" t="s">
        <v>373</v>
      </c>
      <c r="D883" s="282" t="s">
        <v>373</v>
      </c>
      <c r="E883" s="282" t="s">
        <v>373</v>
      </c>
      <c r="F883" s="282" t="s">
        <v>373</v>
      </c>
      <c r="G883" s="282" t="s">
        <v>373</v>
      </c>
      <c r="H883" s="282" t="s">
        <v>373</v>
      </c>
      <c r="I883" s="282" t="s">
        <v>373</v>
      </c>
    </row>
    <row r="884" spans="1:9" x14ac:dyDescent="0.3">
      <c r="A884" s="326"/>
      <c r="B884" s="326"/>
      <c r="C884" s="282" t="s">
        <v>372</v>
      </c>
      <c r="D884" s="282">
        <v>19165</v>
      </c>
      <c r="E884" s="280">
        <v>35860</v>
      </c>
      <c r="F884" s="280">
        <v>18.38</v>
      </c>
      <c r="G884" s="280">
        <v>2.96</v>
      </c>
      <c r="H884" s="281">
        <v>0</v>
      </c>
      <c r="I884" s="280">
        <v>0</v>
      </c>
    </row>
    <row r="885" spans="1:9" x14ac:dyDescent="0.3">
      <c r="A885" s="326"/>
      <c r="B885" s="326"/>
      <c r="C885" s="282" t="s">
        <v>371</v>
      </c>
      <c r="D885" s="282">
        <v>14316</v>
      </c>
      <c r="E885" s="280">
        <v>24545</v>
      </c>
      <c r="F885" s="280">
        <v>13.64</v>
      </c>
      <c r="G885" s="280">
        <v>2</v>
      </c>
      <c r="H885" s="281">
        <v>0</v>
      </c>
      <c r="I885" s="280">
        <v>0</v>
      </c>
    </row>
    <row r="886" spans="1:9" x14ac:dyDescent="0.3">
      <c r="A886" s="327"/>
      <c r="B886" s="327"/>
      <c r="C886" s="282" t="s">
        <v>370</v>
      </c>
      <c r="D886" s="282">
        <v>8237</v>
      </c>
      <c r="E886" s="280">
        <v>0</v>
      </c>
      <c r="F886" s="280">
        <v>0</v>
      </c>
      <c r="G886" s="280">
        <v>1</v>
      </c>
      <c r="H886" s="281">
        <v>0</v>
      </c>
      <c r="I886" s="280">
        <v>0</v>
      </c>
    </row>
  </sheetData>
  <mergeCells count="98">
    <mergeCell ref="A855:A878"/>
    <mergeCell ref="B856:B876"/>
    <mergeCell ref="B877:B878"/>
    <mergeCell ref="A790:A854"/>
    <mergeCell ref="B791:B793"/>
    <mergeCell ref="B794:B801"/>
    <mergeCell ref="B802:B805"/>
    <mergeCell ref="B806:B831"/>
    <mergeCell ref="B832:B841"/>
    <mergeCell ref="B763:B766"/>
    <mergeCell ref="B767:B780"/>
    <mergeCell ref="B781:B785"/>
    <mergeCell ref="B786:B789"/>
    <mergeCell ref="B842:B854"/>
    <mergeCell ref="A741:A746"/>
    <mergeCell ref="B742:B744"/>
    <mergeCell ref="B745:B746"/>
    <mergeCell ref="B735:B740"/>
    <mergeCell ref="B760:B762"/>
    <mergeCell ref="A882:A886"/>
    <mergeCell ref="B883:B886"/>
    <mergeCell ref="A879:A881"/>
    <mergeCell ref="B880:B881"/>
    <mergeCell ref="B650:B655"/>
    <mergeCell ref="B656:B661"/>
    <mergeCell ref="B662:B669"/>
    <mergeCell ref="B670:B714"/>
    <mergeCell ref="B715:B722"/>
    <mergeCell ref="A747:A789"/>
    <mergeCell ref="B748:B749"/>
    <mergeCell ref="B750:B751"/>
    <mergeCell ref="B752:B754"/>
    <mergeCell ref="B755:B759"/>
    <mergeCell ref="B723:B730"/>
    <mergeCell ref="B731:B734"/>
    <mergeCell ref="A614:A623"/>
    <mergeCell ref="B615:B621"/>
    <mergeCell ref="B622:B623"/>
    <mergeCell ref="A624:A740"/>
    <mergeCell ref="B625:B633"/>
    <mergeCell ref="B634:B637"/>
    <mergeCell ref="B638:B643"/>
    <mergeCell ref="B644:B645"/>
    <mergeCell ref="B646:B647"/>
    <mergeCell ref="B648:B649"/>
    <mergeCell ref="A521:A532"/>
    <mergeCell ref="B522:B524"/>
    <mergeCell ref="B525:B530"/>
    <mergeCell ref="B531:B532"/>
    <mergeCell ref="A533:A613"/>
    <mergeCell ref="B534:B549"/>
    <mergeCell ref="B550:B611"/>
    <mergeCell ref="B612:B613"/>
    <mergeCell ref="A486:A498"/>
    <mergeCell ref="B487:B488"/>
    <mergeCell ref="B489:B490"/>
    <mergeCell ref="B491:B498"/>
    <mergeCell ref="A499:A520"/>
    <mergeCell ref="B500:B520"/>
    <mergeCell ref="B163:B169"/>
    <mergeCell ref="A244:A485"/>
    <mergeCell ref="B245:B307"/>
    <mergeCell ref="B308:B320"/>
    <mergeCell ref="B321:B468"/>
    <mergeCell ref="B469:B478"/>
    <mergeCell ref="B479:B485"/>
    <mergeCell ref="B161:B162"/>
    <mergeCell ref="B66:B69"/>
    <mergeCell ref="B170:B203"/>
    <mergeCell ref="B204:B212"/>
    <mergeCell ref="A213:A243"/>
    <mergeCell ref="B214:B228"/>
    <mergeCell ref="B229:B230"/>
    <mergeCell ref="B231:B243"/>
    <mergeCell ref="A101:A212"/>
    <mergeCell ref="B102:B103"/>
    <mergeCell ref="B104:B107"/>
    <mergeCell ref="B108:B111"/>
    <mergeCell ref="B112:B140"/>
    <mergeCell ref="B141:B155"/>
    <mergeCell ref="B156:B157"/>
    <mergeCell ref="B158:B160"/>
    <mergeCell ref="B63:B65"/>
    <mergeCell ref="B70:B81"/>
    <mergeCell ref="B82:B86"/>
    <mergeCell ref="A87:A100"/>
    <mergeCell ref="B88:B89"/>
    <mergeCell ref="B90:B91"/>
    <mergeCell ref="B92:B93"/>
    <mergeCell ref="B94:B96"/>
    <mergeCell ref="B97:B100"/>
    <mergeCell ref="A2:A86"/>
    <mergeCell ref="B3:B29"/>
    <mergeCell ref="B30:B31"/>
    <mergeCell ref="B32:B45"/>
    <mergeCell ref="B46:B57"/>
    <mergeCell ref="B58:B60"/>
    <mergeCell ref="B61:B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4</vt:i4>
      </vt:variant>
    </vt:vector>
  </HeadingPairs>
  <TitlesOfParts>
    <vt:vector size="14" baseType="lpstr">
      <vt:lpstr>INSTRUCCIONES</vt:lpstr>
      <vt:lpstr>RESUMEN</vt:lpstr>
      <vt:lpstr>EQUIPO BASE</vt:lpstr>
      <vt:lpstr>ADAPTACIONES</vt:lpstr>
      <vt:lpstr>ADAP 1</vt:lpstr>
      <vt:lpstr>ADAP 2</vt:lpstr>
      <vt:lpstr>ADAP 3</vt:lpstr>
      <vt:lpstr>Hoja2</vt:lpstr>
      <vt:lpstr>Datos</vt:lpstr>
      <vt:lpstr>Valor MTL sistema de seguridad</vt:lpstr>
      <vt:lpstr>'ADAP 1'!Área_de_impresión</vt:lpstr>
      <vt:lpstr>'ADAP 2'!Área_de_impresión</vt:lpstr>
      <vt:lpstr>'ADAP 3'!Área_de_impresión</vt:lpstr>
      <vt:lpstr>'EQUIPO BASE'!Área_de_impresión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Hugo Gomez</dc:creator>
  <cp:lastModifiedBy>Hugo Gomez</cp:lastModifiedBy>
  <cp:lastPrinted>2015-07-23T21:19:42Z</cp:lastPrinted>
  <dcterms:created xsi:type="dcterms:W3CDTF">2015-07-17T14:06:39Z</dcterms:created>
  <dcterms:modified xsi:type="dcterms:W3CDTF">2016-02-23T20:46:12Z</dcterms:modified>
</cp:coreProperties>
</file>