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nerico_fee\Downloads\"/>
    </mc:Choice>
  </mc:AlternateContent>
  <xr:revisionPtr revIDLastSave="0" documentId="13_ncr:1_{0649D45F-1E72-433D-AB60-86581AD186BA}" xr6:coauthVersionLast="47" xr6:coauthVersionMax="47" xr10:uidLastSave="{00000000-0000-0000-0000-000000000000}"/>
  <bookViews>
    <workbookView xWindow="-120" yWindow="-120" windowWidth="29040" windowHeight="15720" activeTab="3" xr2:uid="{4800FA4E-6C9E-4448-8F3E-5D324DDE32DD}"/>
  </bookViews>
  <sheets>
    <sheet name="Ejemplo I" sheetId="1" r:id="rId1"/>
    <sheet name="Ejercicio I" sheetId="2" r:id="rId2"/>
    <sheet name="Cartera_1" sheetId="3" r:id="rId3"/>
    <sheet name="Cartera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4" l="1"/>
  <c r="K22" i="4"/>
  <c r="J22" i="4"/>
  <c r="H31" i="4"/>
  <c r="G31" i="4"/>
  <c r="H24" i="4"/>
  <c r="H25" i="4"/>
  <c r="H26" i="4"/>
  <c r="H27" i="4"/>
  <c r="H28" i="4"/>
  <c r="H29" i="4"/>
  <c r="H30" i="4"/>
  <c r="H23" i="4"/>
  <c r="G24" i="4"/>
  <c r="G25" i="4"/>
  <c r="G26" i="4"/>
  <c r="G27" i="4"/>
  <c r="G28" i="4"/>
  <c r="G29" i="4"/>
  <c r="G30" i="4"/>
  <c r="G23" i="4"/>
  <c r="G31" i="3"/>
  <c r="G30" i="3"/>
  <c r="F31" i="3"/>
  <c r="F30" i="3"/>
  <c r="E31" i="3"/>
  <c r="E30" i="3"/>
  <c r="D31" i="3"/>
  <c r="D30" i="3"/>
  <c r="C31" i="3"/>
  <c r="C30" i="3"/>
  <c r="C17" i="3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35" i="4"/>
  <c r="N11" i="4"/>
  <c r="N10" i="4"/>
  <c r="B13" i="4"/>
  <c r="B11" i="4"/>
  <c r="B3" i="4"/>
  <c r="B4" i="4" s="1"/>
  <c r="N7" i="4" s="1"/>
  <c r="B13" i="3"/>
  <c r="G9" i="3"/>
  <c r="G8" i="3"/>
  <c r="G7" i="3"/>
  <c r="G6" i="3"/>
  <c r="B17" i="3" s="1"/>
  <c r="G5" i="3"/>
  <c r="G4" i="3"/>
  <c r="N10" i="2"/>
  <c r="T7" i="2"/>
  <c r="T8" i="2"/>
  <c r="T9" i="2"/>
  <c r="T10" i="2"/>
  <c r="T11" i="2"/>
  <c r="T12" i="2"/>
  <c r="T14" i="2"/>
  <c r="T15" i="2"/>
  <c r="T16" i="2"/>
  <c r="T17" i="2"/>
  <c r="T18" i="2"/>
  <c r="T19" i="2"/>
  <c r="T6" i="2"/>
  <c r="T5" i="2"/>
  <c r="R20" i="2"/>
  <c r="T20" i="2" s="1"/>
  <c r="S5" i="2"/>
  <c r="D30" i="2"/>
  <c r="J25" i="2" s="1"/>
  <c r="G23" i="2"/>
  <c r="I22" i="2"/>
  <c r="J28" i="2"/>
  <c r="D26" i="2"/>
  <c r="D29" i="2"/>
  <c r="J22" i="2" s="1"/>
  <c r="D16" i="2"/>
  <c r="D15" i="2"/>
  <c r="J5" i="2"/>
  <c r="J13" i="2"/>
  <c r="G13" i="2"/>
  <c r="G12" i="2"/>
  <c r="H13" i="2"/>
  <c r="I5" i="2"/>
  <c r="J7" i="2"/>
  <c r="J8" i="2"/>
  <c r="J9" i="2"/>
  <c r="J10" i="2"/>
  <c r="J11" i="2"/>
  <c r="J12" i="2"/>
  <c r="J6" i="2"/>
  <c r="D13" i="2"/>
  <c r="G11" i="2"/>
  <c r="G10" i="2"/>
  <c r="G7" i="2"/>
  <c r="G6" i="2"/>
  <c r="I6" i="2"/>
  <c r="I7" i="2" s="1"/>
  <c r="I8" i="2" s="1"/>
  <c r="I9" i="2" s="1"/>
  <c r="I10" i="2" s="1"/>
  <c r="I11" i="2" s="1"/>
  <c r="I12" i="2" s="1"/>
  <c r="D12" i="2"/>
  <c r="D9" i="2"/>
  <c r="P36" i="4" l="1"/>
  <c r="O33" i="4"/>
  <c r="R33" i="4" s="1"/>
  <c r="S33" i="4" s="1"/>
  <c r="O17" i="4"/>
  <c r="R17" i="4" s="1"/>
  <c r="S17" i="4" s="1"/>
  <c r="O19" i="4"/>
  <c r="R19" i="4" s="1"/>
  <c r="S19" i="4" s="1"/>
  <c r="O36" i="4"/>
  <c r="R36" i="4" s="1"/>
  <c r="S36" i="4" s="1"/>
  <c r="O31" i="4"/>
  <c r="R31" i="4" s="1"/>
  <c r="S31" i="4" s="1"/>
  <c r="O18" i="4"/>
  <c r="R18" i="4" s="1"/>
  <c r="S18" i="4" s="1"/>
  <c r="O34" i="4"/>
  <c r="R34" i="4" s="1"/>
  <c r="S34" i="4" s="1"/>
  <c r="O35" i="4"/>
  <c r="R35" i="4" s="1"/>
  <c r="S35" i="4" s="1"/>
  <c r="O20" i="4"/>
  <c r="R20" i="4" s="1"/>
  <c r="S20" i="4" s="1"/>
  <c r="O21" i="4"/>
  <c r="R21" i="4" s="1"/>
  <c r="S21" i="4" s="1"/>
  <c r="O22" i="4"/>
  <c r="R22" i="4" s="1"/>
  <c r="S22" i="4" s="1"/>
  <c r="O32" i="4"/>
  <c r="R32" i="4" s="1"/>
  <c r="S32" i="4" s="1"/>
  <c r="O23" i="4"/>
  <c r="R23" i="4" s="1"/>
  <c r="S23" i="4" s="1"/>
  <c r="O28" i="4"/>
  <c r="R28" i="4" s="1"/>
  <c r="S28" i="4" s="1"/>
  <c r="O30" i="4"/>
  <c r="R30" i="4" s="1"/>
  <c r="S30" i="4" s="1"/>
  <c r="O24" i="4"/>
  <c r="R24" i="4" s="1"/>
  <c r="S24" i="4" s="1"/>
  <c r="O26" i="4"/>
  <c r="R26" i="4" s="1"/>
  <c r="S26" i="4" s="1"/>
  <c r="O25" i="4"/>
  <c r="R25" i="4" s="1"/>
  <c r="S25" i="4" s="1"/>
  <c r="O27" i="4"/>
  <c r="R27" i="4" s="1"/>
  <c r="S27" i="4" s="1"/>
  <c r="O29" i="4"/>
  <c r="R29" i="4" s="1"/>
  <c r="S29" i="4" s="1"/>
  <c r="D22" i="4"/>
  <c r="E22" i="4" s="1"/>
  <c r="B8" i="4"/>
  <c r="B21" i="3"/>
  <c r="B25" i="3"/>
  <c r="J23" i="2"/>
  <c r="H23" i="2" s="1"/>
  <c r="I23" i="2" s="1"/>
  <c r="G24" i="2"/>
  <c r="J26" i="2"/>
  <c r="J24" i="2"/>
  <c r="J27" i="2"/>
  <c r="D32" i="2"/>
  <c r="D33" i="2" s="1"/>
  <c r="G9" i="2"/>
  <c r="G8" i="2"/>
  <c r="S37" i="4" l="1"/>
  <c r="B32" i="4"/>
  <c r="B18" i="4"/>
  <c r="B23" i="4"/>
  <c r="Q20" i="4"/>
  <c r="Q23" i="4"/>
  <c r="Q21" i="4"/>
  <c r="Q22" i="4"/>
  <c r="Q17" i="4"/>
  <c r="Q24" i="4"/>
  <c r="Q18" i="4"/>
  <c r="Q25" i="4"/>
  <c r="Q35" i="4"/>
  <c r="Q26" i="4"/>
  <c r="Q29" i="4"/>
  <c r="Q27" i="4"/>
  <c r="Q31" i="4"/>
  <c r="Q32" i="4"/>
  <c r="Q33" i="4"/>
  <c r="Q34" i="4"/>
  <c r="Q28" i="4"/>
  <c r="Q30" i="4"/>
  <c r="Q19" i="4"/>
  <c r="H24" i="2"/>
  <c r="I24" i="2" s="1"/>
  <c r="G25" i="2" s="1"/>
  <c r="H25" i="2" s="1"/>
  <c r="I25" i="2" s="1"/>
  <c r="G26" i="2" s="1"/>
  <c r="H26" i="2" s="1"/>
  <c r="I26" i="2" s="1"/>
  <c r="E28" i="4" l="1"/>
  <c r="F28" i="4" s="1"/>
  <c r="E27" i="4"/>
  <c r="F27" i="4" s="1"/>
  <c r="E26" i="4"/>
  <c r="F26" i="4" s="1"/>
  <c r="E30" i="4"/>
  <c r="F30" i="4" s="1"/>
  <c r="E25" i="4"/>
  <c r="E24" i="4"/>
  <c r="E29" i="4"/>
  <c r="F29" i="4" s="1"/>
  <c r="E23" i="4"/>
  <c r="G27" i="2"/>
  <c r="H27" i="2" s="1"/>
  <c r="I27" i="2" s="1"/>
  <c r="F23" i="4" l="1"/>
  <c r="C23" i="4"/>
  <c r="D23" i="4" s="1"/>
  <c r="F24" i="4"/>
  <c r="F25" i="4"/>
  <c r="G28" i="2"/>
  <c r="H28" i="2" s="1"/>
  <c r="I28" i="2" s="1"/>
  <c r="B24" i="4" l="1"/>
  <c r="C24" i="4" s="1"/>
  <c r="D24" i="4" s="1"/>
  <c r="F31" i="4"/>
  <c r="D24" i="1"/>
  <c r="F20" i="1"/>
  <c r="D19" i="1"/>
  <c r="D15" i="1"/>
  <c r="J5" i="1"/>
  <c r="J6" i="1" s="1"/>
  <c r="J7" i="1" s="1"/>
  <c r="J8" i="1" s="1"/>
  <c r="J9" i="1" s="1"/>
  <c r="J10" i="1" s="1"/>
  <c r="J11" i="1" s="1"/>
  <c r="J12" i="1" s="1"/>
  <c r="I13" i="1"/>
  <c r="D9" i="1"/>
  <c r="K11" i="1" s="1"/>
  <c r="H11" i="1" s="1"/>
  <c r="B25" i="4" l="1"/>
  <c r="C25" i="4" s="1"/>
  <c r="D25" i="4" s="1"/>
  <c r="M11" i="1"/>
  <c r="N11" i="1"/>
  <c r="K7" i="1"/>
  <c r="N7" i="1" s="1"/>
  <c r="L11" i="1"/>
  <c r="K8" i="1"/>
  <c r="K9" i="1"/>
  <c r="K10" i="1"/>
  <c r="K12" i="1"/>
  <c r="K13" i="1"/>
  <c r="D14" i="1"/>
  <c r="K6" i="1" s="1"/>
  <c r="B26" i="4" l="1"/>
  <c r="C26" i="4" s="1"/>
  <c r="D26" i="4" s="1"/>
  <c r="N6" i="1"/>
  <c r="M6" i="1"/>
  <c r="N9" i="1"/>
  <c r="M9" i="1"/>
  <c r="N8" i="1"/>
  <c r="M8" i="1"/>
  <c r="L13" i="1"/>
  <c r="N13" i="1"/>
  <c r="M13" i="1"/>
  <c r="N12" i="1"/>
  <c r="M12" i="1"/>
  <c r="N10" i="1"/>
  <c r="M10" i="1"/>
  <c r="M7" i="1"/>
  <c r="H6" i="1"/>
  <c r="L6" i="1"/>
  <c r="H9" i="1"/>
  <c r="L9" i="1"/>
  <c r="H12" i="1"/>
  <c r="L12" i="1"/>
  <c r="H10" i="1"/>
  <c r="L10" i="1"/>
  <c r="H8" i="1"/>
  <c r="L8" i="1"/>
  <c r="H7" i="1"/>
  <c r="L7" i="1"/>
  <c r="B27" i="4" l="1"/>
  <c r="C27" i="4" s="1"/>
  <c r="D27" i="4" s="1"/>
  <c r="M14" i="1"/>
  <c r="N14" i="1"/>
  <c r="L14" i="1"/>
  <c r="B28" i="4" l="1"/>
  <c r="C28" i="4" s="1"/>
  <c r="D28" i="4" s="1"/>
  <c r="B29" i="4" s="1"/>
  <c r="C29" i="4" s="1"/>
  <c r="D29" i="4" s="1"/>
  <c r="T13" i="2"/>
  <c r="B30" i="4" l="1"/>
  <c r="C30" i="4" s="1"/>
  <c r="D30" i="4" s="1"/>
</calcChain>
</file>

<file path=xl/sharedStrings.xml><?xml version="1.0" encoding="utf-8"?>
<sst xmlns="http://schemas.openxmlformats.org/spreadsheetml/2006/main" count="164" uniqueCount="80">
  <si>
    <t>Tipo</t>
  </si>
  <si>
    <t>Bullet</t>
  </si>
  <si>
    <t>Años</t>
  </si>
  <si>
    <t>Pago</t>
  </si>
  <si>
    <t>Semestral</t>
  </si>
  <si>
    <t>Ratings</t>
  </si>
  <si>
    <t>Tasa Emisión</t>
  </si>
  <si>
    <t>Valor Nominal</t>
  </si>
  <si>
    <t>TLR</t>
  </si>
  <si>
    <t>Spread</t>
  </si>
  <si>
    <t>bp</t>
  </si>
  <si>
    <t>AA</t>
  </si>
  <si>
    <t>A</t>
  </si>
  <si>
    <t>B</t>
  </si>
  <si>
    <t>C</t>
  </si>
  <si>
    <t>Periodo</t>
  </si>
  <si>
    <t>Interes</t>
  </si>
  <si>
    <t>Amortización</t>
  </si>
  <si>
    <t>Saldo Insoluto</t>
  </si>
  <si>
    <t>Cuota</t>
  </si>
  <si>
    <t>anual</t>
  </si>
  <si>
    <t>semestral</t>
  </si>
  <si>
    <t>VP</t>
  </si>
  <si>
    <t>TIR</t>
  </si>
  <si>
    <t>Total</t>
  </si>
  <si>
    <t>Ejemplo I</t>
  </si>
  <si>
    <t>Ejemplo II</t>
  </si>
  <si>
    <t>Ejemplo III</t>
  </si>
  <si>
    <t>VP 2</t>
  </si>
  <si>
    <t>VP 3</t>
  </si>
  <si>
    <t>Ahora es spread es</t>
  </si>
  <si>
    <t>Precio</t>
  </si>
  <si>
    <t>Cupon</t>
  </si>
  <si>
    <t>Flujo</t>
  </si>
  <si>
    <t>TIR anual</t>
  </si>
  <si>
    <t>Frances</t>
  </si>
  <si>
    <t>Installment</t>
  </si>
  <si>
    <t>Zero</t>
  </si>
  <si>
    <t>VN</t>
  </si>
  <si>
    <t>Instrumento</t>
  </si>
  <si>
    <t>Duration Mac</t>
  </si>
  <si>
    <t>Convexity</t>
  </si>
  <si>
    <t>Valor Presente</t>
  </si>
  <si>
    <t>Peso</t>
  </si>
  <si>
    <t>D</t>
  </si>
  <si>
    <t>E</t>
  </si>
  <si>
    <t>F</t>
  </si>
  <si>
    <t>A) Tamaño cartera = Valor cartera</t>
  </si>
  <si>
    <t>C) TIR</t>
  </si>
  <si>
    <t>D) Convexity</t>
  </si>
  <si>
    <t>Periodos</t>
  </si>
  <si>
    <t>BONO 1</t>
  </si>
  <si>
    <t>BONO 2</t>
  </si>
  <si>
    <t>tipo</t>
  </si>
  <si>
    <t>Frances/Installment</t>
  </si>
  <si>
    <t>Tasa cupon</t>
  </si>
  <si>
    <t>anual compuesta</t>
  </si>
  <si>
    <t>Tasa cupon s</t>
  </si>
  <si>
    <t>TIRsemestral</t>
  </si>
  <si>
    <t>años</t>
  </si>
  <si>
    <t>suma de los flujos futuros descontados a cierta tasa</t>
  </si>
  <si>
    <t>flujo los calculo con la tasa emision y los descuento con la TIR</t>
  </si>
  <si>
    <t>Amortizacion</t>
  </si>
  <si>
    <t>SI</t>
  </si>
  <si>
    <t>bullet</t>
  </si>
  <si>
    <t>Flujo 1</t>
  </si>
  <si>
    <t>Flujo 2</t>
  </si>
  <si>
    <t>Flujo total</t>
  </si>
  <si>
    <t>cupon</t>
  </si>
  <si>
    <t>con formula</t>
  </si>
  <si>
    <t>Duration Mod</t>
  </si>
  <si>
    <t>B) Duration Mac</t>
  </si>
  <si>
    <t>Movimiento</t>
  </si>
  <si>
    <t>Duration</t>
  </si>
  <si>
    <t>Variación Total</t>
  </si>
  <si>
    <t>Variación</t>
  </si>
  <si>
    <t>cae</t>
  </si>
  <si>
    <t>sube</t>
  </si>
  <si>
    <t>Flujo*t</t>
  </si>
  <si>
    <t>Flujo*t*(t+1)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</si>
</sst>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;[Red]&quot;$&quot;\-#,##0"/>
    <numFmt numFmtId="8" formatCode="&quot;$&quot;#,##0.00;[Red]&quot;$&quot;\-#,##0.00"/>
    <numFmt numFmtId="41" formatCode="_ * #,##0_ ;_ * \-#,##0_ ;_ * &quot;-&quot;_ ;_ @_ "/>
    <numFmt numFmtId="43" formatCode="_ * #,##0.00_ ;_ * \-#,##0.00_ ;_ * &quot;-&quot;??_ ;_ @_ "/>
    <numFmt numFmtId="164" formatCode="&quot;$&quot;#,##0"/>
    <numFmt numFmtId="165" formatCode="0.0%"/>
    <numFmt numFmtId="166" formatCode="&quot;$&quot;#,##0.0"/>
    <numFmt numFmtId="167" formatCode="&quot;$&quot;#,##0.00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10" fontId="0" fillId="0" borderId="0" xfId="0" applyNumberFormat="1"/>
    <xf numFmtId="10" fontId="0" fillId="0" borderId="0" xfId="2" applyNumberFormat="1" applyFont="1"/>
    <xf numFmtId="43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0" xfId="0" applyFill="1"/>
    <xf numFmtId="9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41" fontId="0" fillId="0" borderId="0" xfId="1" applyFon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2" applyNumberFormat="1" applyFont="1"/>
    <xf numFmtId="164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0" xfId="0" applyNumberFormat="1"/>
    <xf numFmtId="0" fontId="2" fillId="0" borderId="0" xfId="0" applyFont="1"/>
    <xf numFmtId="0" fontId="3" fillId="3" borderId="1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10" fontId="4" fillId="4" borderId="2" xfId="0" applyNumberFormat="1" applyFont="1" applyFill="1" applyBorder="1" applyAlignment="1">
      <alignment horizontal="center" vertical="center" wrapText="1" readingOrder="1"/>
    </xf>
    <xf numFmtId="6" fontId="4" fillId="4" borderId="2" xfId="0" applyNumberFormat="1" applyFont="1" applyFill="1" applyBorder="1" applyAlignment="1">
      <alignment horizontal="center" vertical="center" wrapText="1" readingOrder="1"/>
    </xf>
    <xf numFmtId="10" fontId="2" fillId="0" borderId="0" xfId="2" applyNumberFormat="1" applyFont="1"/>
    <xf numFmtId="0" fontId="4" fillId="5" borderId="3" xfId="0" applyFont="1" applyFill="1" applyBorder="1" applyAlignment="1">
      <alignment horizontal="center" vertical="center" wrapText="1" readingOrder="1"/>
    </xf>
    <xf numFmtId="10" fontId="4" fillId="5" borderId="3" xfId="0" applyNumberFormat="1" applyFont="1" applyFill="1" applyBorder="1" applyAlignment="1">
      <alignment horizontal="center" vertical="center" wrapText="1" readingOrder="1"/>
    </xf>
    <xf numFmtId="6" fontId="4" fillId="5" borderId="3" xfId="0" applyNumberFormat="1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10" fontId="4" fillId="4" borderId="3" xfId="0" applyNumberFormat="1" applyFont="1" applyFill="1" applyBorder="1" applyAlignment="1">
      <alignment horizontal="center" vertical="center" wrapText="1" readingOrder="1"/>
    </xf>
    <xf numFmtId="6" fontId="4" fillId="4" borderId="3" xfId="0" applyNumberFormat="1" applyFont="1" applyFill="1" applyBorder="1" applyAlignment="1">
      <alignment horizontal="center" vertical="center" wrapText="1" readingOrder="1"/>
    </xf>
    <xf numFmtId="6" fontId="0" fillId="0" borderId="0" xfId="0" applyNumberFormat="1"/>
    <xf numFmtId="8" fontId="0" fillId="0" borderId="0" xfId="0" applyNumberFormat="1"/>
    <xf numFmtId="164" fontId="0" fillId="2" borderId="0" xfId="0" applyNumberFormat="1" applyFill="1"/>
    <xf numFmtId="9" fontId="0" fillId="0" borderId="0" xfId="2" applyFont="1"/>
    <xf numFmtId="8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0" fontId="0" fillId="6" borderId="0" xfId="0" applyFill="1"/>
    <xf numFmtId="8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2" fontId="0" fillId="6" borderId="0" xfId="0" applyNumberFormat="1" applyFill="1"/>
    <xf numFmtId="8" fontId="0" fillId="6" borderId="0" xfId="0" applyNumberFormat="1" applyFill="1"/>
    <xf numFmtId="8" fontId="0" fillId="7" borderId="0" xfId="0" applyNumberFormat="1" applyFill="1"/>
    <xf numFmtId="8" fontId="0" fillId="8" borderId="0" xfId="0" applyNumberFormat="1" applyFill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1152525</xdr:colOff>
      <xdr:row>19</xdr:row>
      <xdr:rowOff>103415</xdr:rowOff>
    </xdr:from>
    <xdr:to>
      <xdr:col>9</xdr:col>
      <xdr:colOff>726419</xdr:colOff>
      <xdr:row>25</xdr:row>
      <xdr:rowOff>151197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CF6FD0-C34F-44AB-99C1-8C45DB79C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4186" y="3654879"/>
          <a:ext cx="8282465" cy="1149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7242-4265-407C-BFE9-FFBC150C3508}">
  <dimension ref="C2:N24"/>
  <sheetViews>
    <sheetView workbookViewId="0">
      <selection activeCell="F28" sqref="F28"/>
    </sheetView>
  </sheetViews>
  <sheetFormatPr baseColWidth="10" defaultRowHeight="14.25"/>
  <cols>
    <col min="4" max="4" width="13.5" bestFit="1" customWidth="1"/>
    <col min="8" max="8" width="13.5" customWidth="1"/>
    <col min="9" max="9" width="14.375" customWidth="1"/>
    <col min="10" max="10" width="21.5" customWidth="1"/>
    <col min="11" max="11" width="17" customWidth="1"/>
    <col min="12" max="12" width="16" bestFit="1" customWidth="1"/>
    <col min="13" max="13" width="14.625" customWidth="1"/>
    <col min="14" max="14" width="16.125" customWidth="1"/>
  </cols>
  <sheetData>
    <row r="2" spans="3:14">
      <c r="C2" s="7" t="s">
        <v>25</v>
      </c>
    </row>
    <row r="4" spans="3:14">
      <c r="C4" s="4" t="s">
        <v>0</v>
      </c>
      <c r="D4" s="4" t="s">
        <v>1</v>
      </c>
      <c r="E4" s="4"/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22</v>
      </c>
      <c r="M4" s="4" t="s">
        <v>28</v>
      </c>
      <c r="N4" s="4" t="s">
        <v>29</v>
      </c>
    </row>
    <row r="5" spans="3:14">
      <c r="C5" s="4" t="s">
        <v>2</v>
      </c>
      <c r="D5" s="4">
        <v>4</v>
      </c>
      <c r="E5" s="4"/>
      <c r="G5" s="4">
        <v>0</v>
      </c>
      <c r="H5" s="5"/>
      <c r="I5" s="5"/>
      <c r="J5" s="5">
        <f>D10</f>
        <v>900000000</v>
      </c>
      <c r="K5" s="5"/>
    </row>
    <row r="6" spans="3:14">
      <c r="C6" s="4" t="s">
        <v>3</v>
      </c>
      <c r="D6" s="4" t="s">
        <v>4</v>
      </c>
      <c r="E6" s="4"/>
      <c r="G6" s="4">
        <v>0.5</v>
      </c>
      <c r="H6" s="5">
        <f>K6</f>
        <v>35307436.087193847</v>
      </c>
      <c r="I6" s="5">
        <v>0</v>
      </c>
      <c r="J6" s="5">
        <f>J5</f>
        <v>900000000</v>
      </c>
      <c r="K6" s="5">
        <f>$D$14</f>
        <v>35307436.087193847</v>
      </c>
      <c r="L6" s="6">
        <f>K6/(1+$D$15)^G6</f>
        <v>33974596.215561457</v>
      </c>
      <c r="M6" s="6">
        <f t="shared" ref="M6:M13" si="0">K6/(1+$D$19)^G6</f>
        <v>34069365.147809058</v>
      </c>
      <c r="N6" s="6">
        <f>K6/(1+$D$24)^G6</f>
        <v>33452115.393245529</v>
      </c>
    </row>
    <row r="7" spans="3:14">
      <c r="C7" s="4" t="s">
        <v>5</v>
      </c>
      <c r="D7" s="4" t="s">
        <v>11</v>
      </c>
      <c r="E7" s="4"/>
      <c r="G7" s="4">
        <v>1</v>
      </c>
      <c r="H7" s="5">
        <f t="shared" ref="H7:H12" si="1">K7</f>
        <v>35307436.087193847</v>
      </c>
      <c r="I7" s="5">
        <v>0</v>
      </c>
      <c r="J7" s="5">
        <f t="shared" ref="J7:J12" si="2">J6</f>
        <v>900000000</v>
      </c>
      <c r="K7" s="5">
        <f t="shared" ref="K7:K12" si="3">$D$10*$D$9</f>
        <v>35307436.087193847</v>
      </c>
      <c r="L7" s="6">
        <f t="shared" ref="L7:L13" si="4">K7/(1+$D$15)^G7</f>
        <v>32692070.451105412</v>
      </c>
      <c r="M7" s="6">
        <f t="shared" si="0"/>
        <v>32874707.716195386</v>
      </c>
      <c r="N7" s="6">
        <f t="shared" ref="N7:N13" si="5">K7/(1+$D$24)^G7</f>
        <v>31694287.331412785</v>
      </c>
    </row>
    <row r="8" spans="3:14">
      <c r="C8" s="4" t="s">
        <v>6</v>
      </c>
      <c r="D8" s="8">
        <v>0.08</v>
      </c>
      <c r="E8" s="4" t="s">
        <v>20</v>
      </c>
      <c r="G8" s="4">
        <v>1.5</v>
      </c>
      <c r="H8" s="5">
        <f t="shared" si="1"/>
        <v>35307436.087193847</v>
      </c>
      <c r="I8" s="5">
        <v>0</v>
      </c>
      <c r="J8" s="5">
        <f t="shared" si="2"/>
        <v>900000000</v>
      </c>
      <c r="K8" s="5">
        <f t="shared" si="3"/>
        <v>35307436.087193847</v>
      </c>
      <c r="L8" s="6">
        <f t="shared" si="4"/>
        <v>31457959.4588532</v>
      </c>
      <c r="M8" s="6">
        <f t="shared" si="0"/>
        <v>31721941.478406951</v>
      </c>
      <c r="N8" s="6">
        <f t="shared" si="5"/>
        <v>30028828.898784138</v>
      </c>
    </row>
    <row r="9" spans="3:14">
      <c r="C9" s="4" t="s">
        <v>6</v>
      </c>
      <c r="D9" s="9">
        <f>(1+D8)^(1/2)-1</f>
        <v>3.9230484541326494E-2</v>
      </c>
      <c r="E9" s="4" t="s">
        <v>21</v>
      </c>
      <c r="G9" s="4">
        <v>2</v>
      </c>
      <c r="H9" s="5">
        <f t="shared" si="1"/>
        <v>35307436.087193847</v>
      </c>
      <c r="I9" s="5">
        <v>0</v>
      </c>
      <c r="J9" s="5">
        <f t="shared" si="2"/>
        <v>900000000</v>
      </c>
      <c r="K9" s="5">
        <f t="shared" si="3"/>
        <v>35307436.087193847</v>
      </c>
      <c r="L9" s="6">
        <f t="shared" si="4"/>
        <v>30270435.602875382</v>
      </c>
      <c r="M9" s="6">
        <f t="shared" si="0"/>
        <v>30609597.50111302</v>
      </c>
      <c r="N9" s="6">
        <f t="shared" si="5"/>
        <v>28450886.293907344</v>
      </c>
    </row>
    <row r="10" spans="3:14">
      <c r="C10" s="4" t="s">
        <v>7</v>
      </c>
      <c r="D10" s="10">
        <v>900000000</v>
      </c>
      <c r="E10" s="4"/>
      <c r="G10" s="4">
        <v>2.5</v>
      </c>
      <c r="H10" s="5">
        <f t="shared" si="1"/>
        <v>35307436.087193847</v>
      </c>
      <c r="I10" s="5">
        <v>0</v>
      </c>
      <c r="J10" s="5">
        <f t="shared" si="2"/>
        <v>900000000</v>
      </c>
      <c r="K10" s="5">
        <f t="shared" si="3"/>
        <v>35307436.087193847</v>
      </c>
      <c r="L10" s="6">
        <f t="shared" si="4"/>
        <v>29127740.239678886</v>
      </c>
      <c r="M10" s="6">
        <f t="shared" si="0"/>
        <v>29536258.359783009</v>
      </c>
      <c r="N10" s="6">
        <f t="shared" si="5"/>
        <v>26955860.770901375</v>
      </c>
    </row>
    <row r="11" spans="3:14">
      <c r="C11" s="4" t="s">
        <v>8</v>
      </c>
      <c r="D11" s="11">
        <v>2.5000000000000001E-2</v>
      </c>
      <c r="E11" s="4"/>
      <c r="G11" s="4">
        <v>3</v>
      </c>
      <c r="H11" s="5">
        <f t="shared" si="1"/>
        <v>35307436.087193847</v>
      </c>
      <c r="I11" s="5">
        <v>0</v>
      </c>
      <c r="J11" s="5">
        <f t="shared" si="2"/>
        <v>900000000</v>
      </c>
      <c r="K11" s="5">
        <f t="shared" si="3"/>
        <v>35307436.087193847</v>
      </c>
      <c r="L11" s="6">
        <f t="shared" si="4"/>
        <v>28028181.113773499</v>
      </c>
      <c r="M11" s="6">
        <f t="shared" si="0"/>
        <v>28500556.332507469</v>
      </c>
      <c r="N11" s="6">
        <f t="shared" si="5"/>
        <v>25539395.236900669</v>
      </c>
    </row>
    <row r="12" spans="3:14">
      <c r="C12" s="4" t="s">
        <v>9</v>
      </c>
      <c r="D12" s="4">
        <v>550</v>
      </c>
      <c r="E12" s="4" t="s">
        <v>10</v>
      </c>
      <c r="G12" s="4">
        <v>3.5</v>
      </c>
      <c r="H12" s="5">
        <f t="shared" si="1"/>
        <v>35307436.087193847</v>
      </c>
      <c r="I12" s="5">
        <v>0</v>
      </c>
      <c r="J12" s="5">
        <f t="shared" si="2"/>
        <v>900000000</v>
      </c>
      <c r="K12" s="5">
        <f t="shared" si="3"/>
        <v>35307436.087193847</v>
      </c>
      <c r="L12" s="6">
        <f t="shared" si="4"/>
        <v>26970129.85155452</v>
      </c>
      <c r="M12" s="6">
        <f t="shared" si="0"/>
        <v>27501171.657153632</v>
      </c>
      <c r="N12" s="6">
        <f t="shared" si="5"/>
        <v>24197361.553771432</v>
      </c>
    </row>
    <row r="13" spans="3:14">
      <c r="G13" s="4">
        <v>4</v>
      </c>
      <c r="H13" s="5">
        <v>17823512.446701329</v>
      </c>
      <c r="I13" s="5">
        <f>D10</f>
        <v>900000000</v>
      </c>
      <c r="J13" s="5">
        <v>0</v>
      </c>
      <c r="K13" s="5">
        <f>$D$10*$D$9+D10</f>
        <v>935307436.08719385</v>
      </c>
      <c r="L13" s="6">
        <f t="shared" si="4"/>
        <v>687478887.06659818</v>
      </c>
      <c r="M13" s="6">
        <f t="shared" si="0"/>
        <v>702970761.24577487</v>
      </c>
      <c r="N13" s="6">
        <f t="shared" si="5"/>
        <v>607314463.00257277</v>
      </c>
    </row>
    <row r="14" spans="3:14">
      <c r="C14" t="s">
        <v>19</v>
      </c>
      <c r="D14" s="3">
        <f>D10*D9</f>
        <v>35307436.087193847</v>
      </c>
      <c r="G14" s="4" t="s">
        <v>24</v>
      </c>
      <c r="L14" s="6">
        <f>SUM(L6:L13)</f>
        <v>900000000.00000048</v>
      </c>
      <c r="M14" s="6">
        <f>SUM(M6:M13)</f>
        <v>917784359.43874335</v>
      </c>
      <c r="N14" s="6">
        <f>SUM(N6:N13)</f>
        <v>807633198.4814961</v>
      </c>
    </row>
    <row r="15" spans="3:14">
      <c r="C15" t="s">
        <v>23</v>
      </c>
      <c r="D15" s="1">
        <f>D11+D12/10000</f>
        <v>0.08</v>
      </c>
    </row>
    <row r="17" spans="3:6">
      <c r="C17" s="7" t="s">
        <v>26</v>
      </c>
    </row>
    <row r="19" spans="3:6">
      <c r="C19" t="s">
        <v>23</v>
      </c>
      <c r="D19" s="12">
        <f>1.4%+1.5%+1%+2.5%+1%</f>
        <v>7.3999999999999996E-2</v>
      </c>
      <c r="F19" t="s">
        <v>30</v>
      </c>
    </row>
    <row r="20" spans="3:6">
      <c r="F20" s="1">
        <f>1.4%+1.5%+1%</f>
        <v>3.9E-2</v>
      </c>
    </row>
    <row r="22" spans="3:6">
      <c r="C22" s="7" t="s">
        <v>27</v>
      </c>
    </row>
    <row r="24" spans="3:6">
      <c r="C24" t="s">
        <v>23</v>
      </c>
      <c r="D24" s="1">
        <f>1.4%+1.5%+1%+2.5%+5%</f>
        <v>0.114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37CB-3EED-42C7-BEED-8450710CCC77}">
  <dimension ref="C2:T33"/>
  <sheetViews>
    <sheetView workbookViewId="0">
      <selection activeCell="M2" sqref="M2"/>
    </sheetView>
  </sheetViews>
  <sheetFormatPr baseColWidth="10" defaultRowHeight="14.25"/>
  <sheetData>
    <row r="2" spans="3:20">
      <c r="C2" s="7" t="s">
        <v>1</v>
      </c>
      <c r="M2" s="7" t="s">
        <v>37</v>
      </c>
    </row>
    <row r="3" spans="3:20">
      <c r="J3" s="4" t="s">
        <v>33</v>
      </c>
      <c r="T3" s="4" t="s">
        <v>33</v>
      </c>
    </row>
    <row r="4" spans="3:20">
      <c r="C4" s="4" t="s">
        <v>0</v>
      </c>
      <c r="D4" s="4" t="s">
        <v>1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/>
      <c r="M4" s="4" t="s">
        <v>0</v>
      </c>
      <c r="N4" s="4" t="s">
        <v>37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</row>
    <row r="5" spans="3:20">
      <c r="C5" s="4" t="s">
        <v>2</v>
      </c>
      <c r="D5" s="4">
        <v>4</v>
      </c>
      <c r="F5" s="4">
        <v>0</v>
      </c>
      <c r="G5" s="14"/>
      <c r="H5" s="14"/>
      <c r="I5" s="14">
        <f>$D$10</f>
        <v>100</v>
      </c>
      <c r="J5" s="14">
        <f>-D12</f>
        <v>-99.539999999999992</v>
      </c>
      <c r="M5" s="4" t="s">
        <v>2</v>
      </c>
      <c r="N5" s="4">
        <v>15</v>
      </c>
      <c r="P5" s="4">
        <v>0</v>
      </c>
      <c r="Q5" s="14"/>
      <c r="R5" s="14"/>
      <c r="S5" s="14">
        <f>$N$8</f>
        <v>300</v>
      </c>
      <c r="T5" s="14">
        <f>-N7</f>
        <v>-67.98</v>
      </c>
    </row>
    <row r="6" spans="3:20">
      <c r="C6" s="4" t="s">
        <v>3</v>
      </c>
      <c r="D6" s="4" t="s">
        <v>4</v>
      </c>
      <c r="F6" s="4">
        <v>0.5</v>
      </c>
      <c r="G6" s="14">
        <f>J6</f>
        <v>2.5</v>
      </c>
      <c r="H6" s="14">
        <v>0</v>
      </c>
      <c r="I6" s="14">
        <f>I5</f>
        <v>100</v>
      </c>
      <c r="J6" s="14">
        <f>$D$13</f>
        <v>2.5</v>
      </c>
      <c r="K6" s="6"/>
      <c r="M6" s="4" t="s">
        <v>3</v>
      </c>
      <c r="N6" s="4" t="s">
        <v>20</v>
      </c>
      <c r="P6" s="4">
        <v>1</v>
      </c>
      <c r="Q6" s="14">
        <v>0</v>
      </c>
      <c r="R6" s="14">
        <v>0</v>
      </c>
      <c r="S6" s="14">
        <v>300</v>
      </c>
      <c r="T6" s="14">
        <f>Q6+R6</f>
        <v>0</v>
      </c>
    </row>
    <row r="7" spans="3:20">
      <c r="C7" s="4" t="s">
        <v>31</v>
      </c>
      <c r="D7" s="11">
        <v>0.99539999999999995</v>
      </c>
      <c r="F7" s="4">
        <v>1</v>
      </c>
      <c r="G7" s="14">
        <f t="shared" ref="G7:G12" si="0">J7</f>
        <v>2.5</v>
      </c>
      <c r="H7" s="14">
        <v>0</v>
      </c>
      <c r="I7" s="14">
        <f t="shared" ref="I7:I12" si="1">I6</f>
        <v>100</v>
      </c>
      <c r="J7" s="14">
        <f t="shared" ref="J7:J12" si="2">$D$13</f>
        <v>2.5</v>
      </c>
      <c r="K7" s="6"/>
      <c r="M7" s="4" t="s">
        <v>31</v>
      </c>
      <c r="N7" s="4">
        <v>67.98</v>
      </c>
      <c r="P7" s="4">
        <v>2</v>
      </c>
      <c r="Q7" s="14">
        <v>0</v>
      </c>
      <c r="R7" s="14">
        <v>0</v>
      </c>
      <c r="S7" s="14">
        <v>300</v>
      </c>
      <c r="T7" s="14">
        <f t="shared" ref="T7:T20" si="3">Q7+R7</f>
        <v>0</v>
      </c>
    </row>
    <row r="8" spans="3:20">
      <c r="C8" s="4" t="s">
        <v>6</v>
      </c>
      <c r="D8" s="8">
        <v>0.05</v>
      </c>
      <c r="F8" s="4">
        <v>1.5</v>
      </c>
      <c r="G8" s="14">
        <f t="shared" si="0"/>
        <v>2.5</v>
      </c>
      <c r="H8" s="14">
        <v>0</v>
      </c>
      <c r="I8" s="14">
        <f t="shared" si="1"/>
        <v>100</v>
      </c>
      <c r="J8" s="14">
        <f t="shared" si="2"/>
        <v>2.5</v>
      </c>
      <c r="K8" s="6"/>
      <c r="M8" s="4" t="s">
        <v>38</v>
      </c>
      <c r="N8">
        <v>300</v>
      </c>
      <c r="P8" s="4">
        <v>3</v>
      </c>
      <c r="Q8" s="14">
        <v>0</v>
      </c>
      <c r="R8" s="14">
        <v>0</v>
      </c>
      <c r="S8" s="14">
        <v>300</v>
      </c>
      <c r="T8" s="14">
        <f t="shared" si="3"/>
        <v>0</v>
      </c>
    </row>
    <row r="9" spans="3:20">
      <c r="C9" s="4" t="s">
        <v>6</v>
      </c>
      <c r="D9" s="9">
        <f>D8/2</f>
        <v>2.5000000000000001E-2</v>
      </c>
      <c r="F9" s="4">
        <v>2</v>
      </c>
      <c r="G9" s="14">
        <f t="shared" si="0"/>
        <v>2.5</v>
      </c>
      <c r="H9" s="14">
        <v>0</v>
      </c>
      <c r="I9" s="14">
        <f t="shared" si="1"/>
        <v>100</v>
      </c>
      <c r="J9" s="14">
        <f t="shared" si="2"/>
        <v>2.5</v>
      </c>
      <c r="K9" s="6"/>
      <c r="P9" s="4">
        <v>4</v>
      </c>
      <c r="Q9" s="14">
        <v>0</v>
      </c>
      <c r="R9" s="14">
        <v>0</v>
      </c>
      <c r="S9" s="14">
        <v>300</v>
      </c>
      <c r="T9" s="14">
        <f t="shared" si="3"/>
        <v>0</v>
      </c>
    </row>
    <row r="10" spans="3:20">
      <c r="C10" s="4" t="s">
        <v>7</v>
      </c>
      <c r="D10" s="13">
        <v>100</v>
      </c>
      <c r="F10" s="4">
        <v>2.5</v>
      </c>
      <c r="G10" s="14">
        <f t="shared" si="0"/>
        <v>2.5</v>
      </c>
      <c r="H10" s="14">
        <v>0</v>
      </c>
      <c r="I10" s="14">
        <f t="shared" si="1"/>
        <v>100</v>
      </c>
      <c r="J10" s="14">
        <f t="shared" si="2"/>
        <v>2.5</v>
      </c>
      <c r="K10" s="6"/>
      <c r="M10" s="4" t="s">
        <v>23</v>
      </c>
      <c r="N10" s="16">
        <f>IRR(T5:T20)</f>
        <v>0.10403457138594363</v>
      </c>
      <c r="P10" s="4">
        <v>5</v>
      </c>
      <c r="Q10" s="14">
        <v>0</v>
      </c>
      <c r="R10" s="14">
        <v>0</v>
      </c>
      <c r="S10" s="14">
        <v>300</v>
      </c>
      <c r="T10" s="14">
        <f t="shared" si="3"/>
        <v>0</v>
      </c>
    </row>
    <row r="11" spans="3:20">
      <c r="C11" s="4"/>
      <c r="D11" s="11"/>
      <c r="F11" s="4">
        <v>3</v>
      </c>
      <c r="G11" s="14">
        <f t="shared" si="0"/>
        <v>2.5</v>
      </c>
      <c r="H11" s="14">
        <v>0</v>
      </c>
      <c r="I11" s="14">
        <f t="shared" si="1"/>
        <v>100</v>
      </c>
      <c r="J11" s="14">
        <f t="shared" si="2"/>
        <v>2.5</v>
      </c>
      <c r="K11" s="6"/>
      <c r="P11" s="4">
        <v>6</v>
      </c>
      <c r="Q11" s="14">
        <v>0</v>
      </c>
      <c r="R11" s="14">
        <v>0</v>
      </c>
      <c r="S11" s="14">
        <v>300</v>
      </c>
      <c r="T11" s="14">
        <f t="shared" si="3"/>
        <v>0</v>
      </c>
    </row>
    <row r="12" spans="3:20">
      <c r="C12" s="4" t="s">
        <v>31</v>
      </c>
      <c r="D12" s="5">
        <f>D10*D7</f>
        <v>99.539999999999992</v>
      </c>
      <c r="F12" s="4">
        <v>3.5</v>
      </c>
      <c r="G12" s="14">
        <f t="shared" si="0"/>
        <v>2.5</v>
      </c>
      <c r="H12" s="14">
        <v>0</v>
      </c>
      <c r="I12" s="14">
        <f t="shared" si="1"/>
        <v>100</v>
      </c>
      <c r="J12" s="14">
        <f t="shared" si="2"/>
        <v>2.5</v>
      </c>
      <c r="K12" s="6"/>
      <c r="P12" s="4">
        <v>7</v>
      </c>
      <c r="Q12" s="14">
        <v>0</v>
      </c>
      <c r="R12" s="14">
        <v>0</v>
      </c>
      <c r="S12" s="14">
        <v>300</v>
      </c>
      <c r="T12" s="14">
        <f t="shared" si="3"/>
        <v>0</v>
      </c>
    </row>
    <row r="13" spans="3:20">
      <c r="C13" s="4" t="s">
        <v>32</v>
      </c>
      <c r="D13" s="14">
        <f>D10*D9</f>
        <v>2.5</v>
      </c>
      <c r="F13" s="4">
        <v>4</v>
      </c>
      <c r="G13" s="14">
        <f>G12</f>
        <v>2.5</v>
      </c>
      <c r="H13" s="14">
        <f>D10</f>
        <v>100</v>
      </c>
      <c r="I13" s="14">
        <v>0</v>
      </c>
      <c r="J13" s="14">
        <f>G13+H13</f>
        <v>102.5</v>
      </c>
      <c r="K13" s="6"/>
      <c r="P13" s="4">
        <v>8</v>
      </c>
      <c r="Q13" s="14">
        <v>0</v>
      </c>
      <c r="R13" s="14">
        <v>0</v>
      </c>
      <c r="S13" s="14">
        <v>300</v>
      </c>
      <c r="T13" s="14">
        <f t="shared" si="3"/>
        <v>0</v>
      </c>
    </row>
    <row r="14" spans="3:20">
      <c r="C14" s="4"/>
      <c r="D14" s="4"/>
      <c r="F14" s="4"/>
      <c r="K14" s="6"/>
      <c r="P14" s="4">
        <v>9</v>
      </c>
      <c r="Q14" s="14">
        <v>0</v>
      </c>
      <c r="R14" s="14">
        <v>0</v>
      </c>
      <c r="S14" s="14">
        <v>300</v>
      </c>
      <c r="T14" s="14">
        <f t="shared" si="3"/>
        <v>0</v>
      </c>
    </row>
    <row r="15" spans="3:20">
      <c r="C15" s="4" t="s">
        <v>23</v>
      </c>
      <c r="D15" s="8">
        <f>IRR(J5:J13)</f>
        <v>2.5643310749494885E-2</v>
      </c>
      <c r="P15" s="4">
        <v>10</v>
      </c>
      <c r="Q15" s="14">
        <v>0</v>
      </c>
      <c r="R15" s="14">
        <v>0</v>
      </c>
      <c r="S15" s="14">
        <v>300</v>
      </c>
      <c r="T15" s="14">
        <f t="shared" si="3"/>
        <v>0</v>
      </c>
    </row>
    <row r="16" spans="3:20">
      <c r="C16" s="4" t="s">
        <v>34</v>
      </c>
      <c r="D16" s="9">
        <f>(1+D15)^2-1</f>
        <v>5.1944200885184921E-2</v>
      </c>
      <c r="P16" s="4">
        <v>11</v>
      </c>
      <c r="Q16" s="14">
        <v>0</v>
      </c>
      <c r="R16" s="14">
        <v>0</v>
      </c>
      <c r="S16" s="14">
        <v>300</v>
      </c>
      <c r="T16" s="14">
        <f t="shared" si="3"/>
        <v>0</v>
      </c>
    </row>
    <row r="17" spans="3:20">
      <c r="P17" s="4">
        <v>12</v>
      </c>
      <c r="Q17" s="14">
        <v>0</v>
      </c>
      <c r="R17" s="14">
        <v>0</v>
      </c>
      <c r="S17" s="14">
        <v>300</v>
      </c>
      <c r="T17" s="14">
        <f t="shared" si="3"/>
        <v>0</v>
      </c>
    </row>
    <row r="18" spans="3:20">
      <c r="P18" s="4">
        <v>13</v>
      </c>
      <c r="Q18" s="14">
        <v>0</v>
      </c>
      <c r="R18" s="14">
        <v>0</v>
      </c>
      <c r="S18" s="14">
        <v>300</v>
      </c>
      <c r="T18" s="14">
        <f t="shared" si="3"/>
        <v>0</v>
      </c>
    </row>
    <row r="19" spans="3:20">
      <c r="C19" s="7" t="s">
        <v>35</v>
      </c>
      <c r="P19" s="4">
        <v>14</v>
      </c>
      <c r="Q19" s="14">
        <v>0</v>
      </c>
      <c r="R19" s="14">
        <v>0</v>
      </c>
      <c r="S19" s="14">
        <v>300</v>
      </c>
      <c r="T19" s="14">
        <f t="shared" si="3"/>
        <v>0</v>
      </c>
    </row>
    <row r="20" spans="3:20">
      <c r="J20" s="4" t="s">
        <v>33</v>
      </c>
      <c r="P20" s="4">
        <v>15</v>
      </c>
      <c r="Q20" s="14">
        <v>0</v>
      </c>
      <c r="R20" s="14">
        <f>S19</f>
        <v>300</v>
      </c>
      <c r="S20" s="14">
        <v>0</v>
      </c>
      <c r="T20" s="14">
        <f t="shared" si="3"/>
        <v>300</v>
      </c>
    </row>
    <row r="21" spans="3:20">
      <c r="C21" s="4" t="s">
        <v>0</v>
      </c>
      <c r="D21" s="4" t="s">
        <v>36</v>
      </c>
      <c r="F21" s="4" t="s">
        <v>15</v>
      </c>
      <c r="G21" s="4" t="s">
        <v>16</v>
      </c>
      <c r="H21" s="4" t="s">
        <v>17</v>
      </c>
      <c r="I21" s="4" t="s">
        <v>18</v>
      </c>
      <c r="J21" s="4" t="s">
        <v>19</v>
      </c>
    </row>
    <row r="22" spans="3:20">
      <c r="C22" s="4" t="s">
        <v>2</v>
      </c>
      <c r="D22" s="4">
        <v>3</v>
      </c>
      <c r="F22" s="4">
        <v>0</v>
      </c>
      <c r="G22" s="14"/>
      <c r="H22" s="14"/>
      <c r="I22" s="14">
        <f>D29</f>
        <v>50.375</v>
      </c>
      <c r="J22" s="14">
        <f>-D29</f>
        <v>-50.375</v>
      </c>
    </row>
    <row r="23" spans="3:20">
      <c r="C23" s="4" t="s">
        <v>3</v>
      </c>
      <c r="D23" s="4" t="s">
        <v>4</v>
      </c>
      <c r="F23" s="4">
        <v>0.5</v>
      </c>
      <c r="G23" s="14">
        <f>I22*$D$26</f>
        <v>1.489236835222012</v>
      </c>
      <c r="H23" s="14">
        <f>J23-G23</f>
        <v>7.7272745564355727</v>
      </c>
      <c r="I23" s="14">
        <f>I22-H23</f>
        <v>42.647725443564426</v>
      </c>
      <c r="J23" s="14">
        <f>$D$30</f>
        <v>9.2165113916575852</v>
      </c>
    </row>
    <row r="24" spans="3:20">
      <c r="C24" s="4" t="s">
        <v>31</v>
      </c>
      <c r="D24" s="11">
        <v>1.0075000000000001</v>
      </c>
      <c r="F24" s="4">
        <v>1</v>
      </c>
      <c r="G24" s="14">
        <f t="shared" ref="G24:G28" si="4">I23*$D$26</f>
        <v>1.2607953085655814</v>
      </c>
      <c r="H24" s="14">
        <f t="shared" ref="H24:H28" si="5">J24-G24</f>
        <v>7.9557160830920033</v>
      </c>
      <c r="I24" s="14">
        <f t="shared" ref="I24:I28" si="6">I23-H24</f>
        <v>34.692009360472426</v>
      </c>
      <c r="J24" s="14">
        <f t="shared" ref="J24:J28" si="7">$D$30</f>
        <v>9.2165113916575852</v>
      </c>
    </row>
    <row r="25" spans="3:20">
      <c r="C25" s="4" t="s">
        <v>6</v>
      </c>
      <c r="D25" s="8">
        <v>0.06</v>
      </c>
      <c r="F25" s="4">
        <v>1.5</v>
      </c>
      <c r="G25" s="14">
        <f t="shared" si="4"/>
        <v>1.0256003618358784</v>
      </c>
      <c r="H25" s="14">
        <f t="shared" si="5"/>
        <v>8.1909110298217058</v>
      </c>
      <c r="I25" s="14">
        <f t="shared" si="6"/>
        <v>26.50109833065072</v>
      </c>
      <c r="J25" s="14">
        <f t="shared" si="7"/>
        <v>9.2165113916575852</v>
      </c>
    </row>
    <row r="26" spans="3:20">
      <c r="C26" s="4" t="s">
        <v>6</v>
      </c>
      <c r="D26" s="9">
        <f>(1+D25)^(1/2)-1</f>
        <v>2.9563014098699991E-2</v>
      </c>
      <c r="F26" s="4">
        <v>2</v>
      </c>
      <c r="G26" s="14">
        <f t="shared" si="4"/>
        <v>0.78345234358006199</v>
      </c>
      <c r="H26" s="14">
        <f t="shared" si="5"/>
        <v>8.4330590480775225</v>
      </c>
      <c r="I26" s="14">
        <f t="shared" si="6"/>
        <v>18.068039282573196</v>
      </c>
      <c r="J26" s="14">
        <f t="shared" si="7"/>
        <v>9.2165113916575852</v>
      </c>
    </row>
    <row r="27" spans="3:20">
      <c r="C27" s="4" t="s">
        <v>7</v>
      </c>
      <c r="D27" s="13">
        <v>50</v>
      </c>
      <c r="F27" s="4">
        <v>2.5</v>
      </c>
      <c r="G27" s="14">
        <f t="shared" si="4"/>
        <v>0.53414570004657669</v>
      </c>
      <c r="H27" s="14">
        <f t="shared" si="5"/>
        <v>8.6823656916110092</v>
      </c>
      <c r="I27" s="14">
        <f t="shared" si="6"/>
        <v>9.3856735909621865</v>
      </c>
      <c r="J27" s="14">
        <f t="shared" si="7"/>
        <v>9.2165113916575852</v>
      </c>
    </row>
    <row r="28" spans="3:20">
      <c r="C28" s="4"/>
      <c r="D28" s="11"/>
      <c r="F28" s="4">
        <v>3</v>
      </c>
      <c r="G28" s="14">
        <f t="shared" si="4"/>
        <v>0.2774688006954113</v>
      </c>
      <c r="H28" s="14">
        <f t="shared" si="5"/>
        <v>8.939042590962174</v>
      </c>
      <c r="I28" s="14">
        <f t="shared" si="6"/>
        <v>0.44663100000001243</v>
      </c>
      <c r="J28" s="14">
        <f t="shared" si="7"/>
        <v>9.2165113916575852</v>
      </c>
    </row>
    <row r="29" spans="3:20">
      <c r="C29" s="4" t="s">
        <v>31</v>
      </c>
      <c r="D29" s="14">
        <f>D27*D24</f>
        <v>50.375</v>
      </c>
      <c r="F29" s="4"/>
      <c r="G29" s="14"/>
      <c r="H29" s="14"/>
      <c r="I29" s="14"/>
      <c r="J29" s="14"/>
    </row>
    <row r="30" spans="3:20">
      <c r="C30" s="4" t="s">
        <v>32</v>
      </c>
      <c r="D30" s="15">
        <f>-PMT(D26,6,D27)</f>
        <v>9.2165113916575852</v>
      </c>
      <c r="F30" s="4"/>
      <c r="G30" s="14"/>
      <c r="H30" s="14"/>
      <c r="I30" s="14"/>
      <c r="J30" s="14"/>
    </row>
    <row r="31" spans="3:20">
      <c r="C31" s="4"/>
      <c r="D31" s="4"/>
      <c r="F31" s="4"/>
    </row>
    <row r="32" spans="3:20">
      <c r="C32" s="4" t="s">
        <v>23</v>
      </c>
      <c r="D32" s="8">
        <f>IRR(J22:J30)</f>
        <v>2.7314932852276819E-2</v>
      </c>
    </row>
    <row r="33" spans="3:4">
      <c r="C33" s="4" t="s">
        <v>34</v>
      </c>
      <c r="D33" s="9">
        <f>(1+D32)^2-1</f>
        <v>5.5375971261278023E-2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D669-076D-47F5-82C2-BB055E9177E5}">
  <dimension ref="A2:H31"/>
  <sheetViews>
    <sheetView topLeftCell="A10" zoomScale="140" zoomScaleNormal="140" workbookViewId="0">
      <selection activeCell="G30" sqref="G30"/>
    </sheetView>
  </sheetViews>
  <sheetFormatPr baseColWidth="10" defaultRowHeight="14.25"/>
  <cols>
    <col min="2" max="2" width="20.5" customWidth="1"/>
    <col min="3" max="3" width="27.125" customWidth="1"/>
    <col min="4" max="4" width="17.5" customWidth="1"/>
    <col min="5" max="5" width="16.5" customWidth="1"/>
    <col min="6" max="6" width="18" customWidth="1"/>
    <col min="7" max="7" width="13.125" bestFit="1" customWidth="1"/>
  </cols>
  <sheetData>
    <row r="2" spans="1:7" ht="15" thickBot="1">
      <c r="A2" s="17"/>
      <c r="B2" s="17"/>
      <c r="C2" s="17"/>
      <c r="D2" s="17"/>
      <c r="E2" s="17"/>
      <c r="F2" s="17"/>
      <c r="G2" s="17"/>
    </row>
    <row r="3" spans="1:7" ht="15" thickBot="1">
      <c r="A3" s="17"/>
      <c r="B3" s="18" t="s">
        <v>39</v>
      </c>
      <c r="C3" s="18" t="s">
        <v>40</v>
      </c>
      <c r="D3" s="18" t="s">
        <v>41</v>
      </c>
      <c r="E3" s="18" t="s">
        <v>23</v>
      </c>
      <c r="F3" s="18" t="s">
        <v>42</v>
      </c>
      <c r="G3" s="17" t="s">
        <v>43</v>
      </c>
    </row>
    <row r="4" spans="1:7" ht="15.75" thickTop="1" thickBot="1">
      <c r="A4" s="17"/>
      <c r="B4" s="19" t="s">
        <v>12</v>
      </c>
      <c r="C4" s="19">
        <v>7.5</v>
      </c>
      <c r="D4" s="19">
        <v>77.45</v>
      </c>
      <c r="E4" s="20">
        <v>8.3000000000000004E-2</v>
      </c>
      <c r="F4" s="21">
        <v>251327</v>
      </c>
      <c r="G4" s="22">
        <f>F4/SUM($F$4:$F$9)</f>
        <v>0.11366188475751193</v>
      </c>
    </row>
    <row r="5" spans="1:7" ht="15" thickBot="1">
      <c r="A5" s="17"/>
      <c r="B5" s="23" t="s">
        <v>13</v>
      </c>
      <c r="C5" s="23">
        <v>3.7</v>
      </c>
      <c r="D5" s="23">
        <v>22.3</v>
      </c>
      <c r="E5" s="24">
        <v>4.4999999999999998E-2</v>
      </c>
      <c r="F5" s="25">
        <v>265346</v>
      </c>
      <c r="G5" s="22">
        <f t="shared" ref="G5:G9" si="0">F5/SUM($F$4:$F$9)</f>
        <v>0.1200019356172109</v>
      </c>
    </row>
    <row r="6" spans="1:7" ht="15" thickBot="1">
      <c r="A6" s="17"/>
      <c r="B6" s="26" t="s">
        <v>14</v>
      </c>
      <c r="C6" s="26">
        <v>2</v>
      </c>
      <c r="D6" s="26">
        <v>17.399999999999999</v>
      </c>
      <c r="E6" s="27">
        <v>3.4000000000000002E-2</v>
      </c>
      <c r="F6" s="28">
        <v>151322</v>
      </c>
      <c r="G6" s="22">
        <f t="shared" si="0"/>
        <v>6.8434922333359419E-2</v>
      </c>
    </row>
    <row r="7" spans="1:7" ht="15" thickBot="1">
      <c r="A7" s="17"/>
      <c r="B7" s="23" t="s">
        <v>44</v>
      </c>
      <c r="C7" s="23">
        <v>4</v>
      </c>
      <c r="D7" s="23">
        <v>23.4</v>
      </c>
      <c r="E7" s="24">
        <v>5.6000000000000001E-2</v>
      </c>
      <c r="F7" s="25">
        <v>352666</v>
      </c>
      <c r="G7" s="22">
        <f t="shared" si="0"/>
        <v>0.15949214469552697</v>
      </c>
    </row>
    <row r="8" spans="1:7" ht="15" thickBot="1">
      <c r="A8" s="17"/>
      <c r="B8" s="26" t="s">
        <v>45</v>
      </c>
      <c r="C8" s="26">
        <v>9</v>
      </c>
      <c r="D8" s="26">
        <v>81.099999999999994</v>
      </c>
      <c r="E8" s="27">
        <v>8.8999999999999996E-2</v>
      </c>
      <c r="F8" s="28">
        <v>299765</v>
      </c>
      <c r="G8" s="22">
        <f t="shared" si="0"/>
        <v>0.13556782551948485</v>
      </c>
    </row>
    <row r="9" spans="1:7" ht="15" thickBot="1">
      <c r="A9" s="17"/>
      <c r="B9" s="23" t="s">
        <v>46</v>
      </c>
      <c r="C9" s="23">
        <v>12.1</v>
      </c>
      <c r="D9" s="23">
        <v>95.22</v>
      </c>
      <c r="E9" s="24">
        <v>6.5000000000000002E-2</v>
      </c>
      <c r="F9" s="25">
        <v>890755</v>
      </c>
      <c r="G9" s="22">
        <f t="shared" si="0"/>
        <v>0.40284128707690597</v>
      </c>
    </row>
    <row r="10" spans="1:7">
      <c r="A10" s="17"/>
      <c r="B10" s="17"/>
      <c r="C10" s="17"/>
      <c r="D10" s="17"/>
      <c r="E10" s="17"/>
      <c r="F10" s="17"/>
      <c r="G10" s="17"/>
    </row>
    <row r="11" spans="1:7">
      <c r="B11" t="s">
        <v>47</v>
      </c>
    </row>
    <row r="13" spans="1:7">
      <c r="B13" s="29">
        <f>SUM(F4:F9)</f>
        <v>2211181</v>
      </c>
    </row>
    <row r="15" spans="1:7">
      <c r="B15" t="s">
        <v>71</v>
      </c>
      <c r="C15" s="36" t="s">
        <v>70</v>
      </c>
    </row>
    <row r="16" spans="1:7">
      <c r="C16" s="36"/>
    </row>
    <row r="17" spans="2:8">
      <c r="B17" s="7">
        <f>SUMPRODUCT(C4:C9,G4:G9)</f>
        <v>8.165799724219772</v>
      </c>
      <c r="C17" s="36">
        <f>B17/(1+B21)</f>
        <v>7.6721534891705332</v>
      </c>
    </row>
    <row r="19" spans="2:8">
      <c r="B19" t="s">
        <v>48</v>
      </c>
    </row>
    <row r="21" spans="2:8">
      <c r="B21">
        <f>SUMPRODUCT(E4:E9,G4:G9)</f>
        <v>6.434259113116475E-2</v>
      </c>
    </row>
    <row r="23" spans="2:8">
      <c r="B23" s="36" t="s">
        <v>49</v>
      </c>
    </row>
    <row r="24" spans="2:8">
      <c r="B24" s="36"/>
    </row>
    <row r="25" spans="2:8">
      <c r="B25" s="36">
        <f>SUMPRODUCT(D4:D9,G4:G9)</f>
        <v>65.755137978302102</v>
      </c>
    </row>
    <row r="29" spans="2:8">
      <c r="B29" s="4" t="s">
        <v>72</v>
      </c>
      <c r="C29" s="4" t="s">
        <v>73</v>
      </c>
      <c r="D29" s="4" t="s">
        <v>41</v>
      </c>
      <c r="E29" s="4" t="s">
        <v>74</v>
      </c>
      <c r="F29" s="4" t="s">
        <v>31</v>
      </c>
      <c r="G29" s="4" t="s">
        <v>75</v>
      </c>
    </row>
    <row r="30" spans="2:8">
      <c r="B30" s="11">
        <v>1.4999999999999999E-2</v>
      </c>
      <c r="C30" s="9">
        <f>-C17*B30</f>
        <v>-0.11508230233755799</v>
      </c>
      <c r="D30" s="9">
        <f>0.5*$B$25*B30^2</f>
        <v>7.3974530225589859E-3</v>
      </c>
      <c r="E30" s="9">
        <f>C30+D30</f>
        <v>-0.10768484931499901</v>
      </c>
      <c r="F30" s="37">
        <f>B13*(1+E30)</f>
        <v>1973070.3072068112</v>
      </c>
      <c r="G30" s="38">
        <f>F30-B13</f>
        <v>-238110.69279318885</v>
      </c>
      <c r="H30" s="4" t="s">
        <v>76</v>
      </c>
    </row>
    <row r="31" spans="2:8">
      <c r="B31" s="11">
        <v>-1.4999999999999999E-2</v>
      </c>
      <c r="C31" s="9">
        <f>-C17*B31</f>
        <v>0.11508230233755799</v>
      </c>
      <c r="D31" s="9">
        <f>0.5*$B$25*B31^2</f>
        <v>7.3974530225589859E-3</v>
      </c>
      <c r="E31" s="9">
        <f>C31+D31</f>
        <v>0.12247975536011697</v>
      </c>
      <c r="F31" s="37">
        <f>B13*(1+E31)</f>
        <v>2482005.9079369386</v>
      </c>
      <c r="G31" s="38">
        <f>F31-B13</f>
        <v>270824.90793693857</v>
      </c>
      <c r="H31" s="4" t="s">
        <v>77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4751-899D-453B-B6AC-BDDC6E0DD63D}">
  <dimension ref="A2:S55"/>
  <sheetViews>
    <sheetView tabSelected="1" topLeftCell="A10" zoomScale="160" zoomScaleNormal="160" workbookViewId="0">
      <selection activeCell="C16" sqref="C16"/>
    </sheetView>
  </sheetViews>
  <sheetFormatPr baseColWidth="10" defaultRowHeight="14.25"/>
  <cols>
    <col min="6" max="6" width="13.5" bestFit="1" customWidth="1"/>
    <col min="7" max="11" width="13.5" customWidth="1"/>
    <col min="18" max="19" width="12.5" bestFit="1" customWidth="1"/>
  </cols>
  <sheetData>
    <row r="2" spans="1:19">
      <c r="B2" s="6">
        <v>7000000</v>
      </c>
    </row>
    <row r="3" spans="1:19">
      <c r="A3" t="s">
        <v>51</v>
      </c>
      <c r="B3" s="31">
        <f>B2*0.35</f>
        <v>2450000</v>
      </c>
    </row>
    <row r="4" spans="1:19">
      <c r="A4" t="s">
        <v>52</v>
      </c>
      <c r="B4" s="6">
        <f>B2-B3</f>
        <v>4550000</v>
      </c>
    </row>
    <row r="6" spans="1:19">
      <c r="M6" t="s">
        <v>53</v>
      </c>
      <c r="N6" t="s">
        <v>64</v>
      </c>
    </row>
    <row r="7" spans="1:19">
      <c r="A7" t="s">
        <v>53</v>
      </c>
      <c r="B7" t="s">
        <v>54</v>
      </c>
      <c r="M7" t="s">
        <v>38</v>
      </c>
      <c r="N7" s="6">
        <f>B4</f>
        <v>4550000</v>
      </c>
    </row>
    <row r="8" spans="1:19">
      <c r="A8" t="s">
        <v>38</v>
      </c>
      <c r="B8" s="6">
        <f>B3</f>
        <v>2450000</v>
      </c>
      <c r="M8" t="s">
        <v>55</v>
      </c>
      <c r="N8" s="1">
        <v>4.4999999999999998E-2</v>
      </c>
      <c r="O8" t="s">
        <v>20</v>
      </c>
    </row>
    <row r="9" spans="1:19">
      <c r="A9" t="s">
        <v>55</v>
      </c>
      <c r="B9" s="32">
        <v>0.03</v>
      </c>
      <c r="C9" t="s">
        <v>56</v>
      </c>
      <c r="M9" t="s">
        <v>3</v>
      </c>
      <c r="N9" t="s">
        <v>21</v>
      </c>
    </row>
    <row r="10" spans="1:19">
      <c r="A10" t="s">
        <v>3</v>
      </c>
      <c r="B10" s="6" t="s">
        <v>21</v>
      </c>
      <c r="M10" t="s">
        <v>57</v>
      </c>
      <c r="N10" s="2">
        <f>N8/2</f>
        <v>2.2499999999999999E-2</v>
      </c>
    </row>
    <row r="11" spans="1:19">
      <c r="A11" t="s">
        <v>57</v>
      </c>
      <c r="B11" s="2">
        <f>(1+B9)^0.5-1</f>
        <v>1.4889156509221957E-2</v>
      </c>
      <c r="M11" t="s">
        <v>23</v>
      </c>
      <c r="N11" s="1">
        <f>3.3%+2%</f>
        <v>5.3000000000000005E-2</v>
      </c>
    </row>
    <row r="12" spans="1:19">
      <c r="A12" t="s">
        <v>23</v>
      </c>
      <c r="B12" s="2">
        <v>4.4999999999999998E-2</v>
      </c>
      <c r="C12" t="s">
        <v>56</v>
      </c>
      <c r="M12" t="s">
        <v>59</v>
      </c>
      <c r="N12">
        <v>10</v>
      </c>
    </row>
    <row r="13" spans="1:19">
      <c r="A13" t="s">
        <v>58</v>
      </c>
      <c r="B13" s="2">
        <f>(1+B12)^0.5-1</f>
        <v>2.2252415013043647E-2</v>
      </c>
      <c r="M13" t="s">
        <v>31</v>
      </c>
    </row>
    <row r="14" spans="1:19">
      <c r="A14" t="s">
        <v>59</v>
      </c>
      <c r="B14" s="6">
        <v>4</v>
      </c>
    </row>
    <row r="15" spans="1:19">
      <c r="A15" t="s">
        <v>31</v>
      </c>
      <c r="B15" s="6"/>
      <c r="C15" t="s">
        <v>60</v>
      </c>
      <c r="N15" t="s">
        <v>50</v>
      </c>
      <c r="O15" t="s">
        <v>16</v>
      </c>
      <c r="P15" t="s">
        <v>62</v>
      </c>
      <c r="Q15" t="s">
        <v>63</v>
      </c>
      <c r="R15" t="s">
        <v>33</v>
      </c>
      <c r="S15" t="s">
        <v>22</v>
      </c>
    </row>
    <row r="16" spans="1:19">
      <c r="B16" s="6"/>
      <c r="C16" t="s">
        <v>61</v>
      </c>
      <c r="N16">
        <v>0</v>
      </c>
    </row>
    <row r="17" spans="1:19">
      <c r="B17" s="6"/>
      <c r="N17">
        <v>0.5</v>
      </c>
      <c r="O17" s="34">
        <f>$N$7*$N$10</f>
        <v>102375</v>
      </c>
      <c r="P17">
        <v>0</v>
      </c>
      <c r="Q17" s="6">
        <f>$P$36</f>
        <v>4550000</v>
      </c>
      <c r="R17" s="34">
        <f>O17+P17</f>
        <v>102375</v>
      </c>
      <c r="S17" s="34">
        <f>R17/(1+$N$11)^N17</f>
        <v>99765.349696174584</v>
      </c>
    </row>
    <row r="18" spans="1:19">
      <c r="A18" t="s">
        <v>32</v>
      </c>
      <c r="B18" s="6">
        <f>-PMT(B11,8,B8)</f>
        <v>327122.83878928865</v>
      </c>
      <c r="N18">
        <v>1</v>
      </c>
      <c r="O18" s="34">
        <f t="shared" ref="O18:O36" si="0">$N$7*$N$10</f>
        <v>102375</v>
      </c>
      <c r="P18">
        <v>0</v>
      </c>
      <c r="Q18" s="6">
        <f t="shared" ref="Q18:Q35" si="1">$P$36</f>
        <v>4550000</v>
      </c>
      <c r="R18" s="34">
        <f t="shared" ref="R18:R36" si="2">O18+P18</f>
        <v>102375</v>
      </c>
      <c r="S18" s="34">
        <f t="shared" ref="S18:S36" si="3">R18/(1+$N$11)^N18</f>
        <v>97222.222222222234</v>
      </c>
    </row>
    <row r="19" spans="1:19">
      <c r="B19" s="6"/>
      <c r="N19">
        <v>1.5</v>
      </c>
      <c r="O19" s="34">
        <f t="shared" si="0"/>
        <v>102375</v>
      </c>
      <c r="P19">
        <v>0</v>
      </c>
      <c r="Q19" s="6">
        <f t="shared" si="1"/>
        <v>4550000</v>
      </c>
      <c r="R19" s="34">
        <f t="shared" si="2"/>
        <v>102375</v>
      </c>
      <c r="S19" s="34">
        <f t="shared" si="3"/>
        <v>94743.921838722308</v>
      </c>
    </row>
    <row r="20" spans="1:19">
      <c r="N20">
        <v>2</v>
      </c>
      <c r="O20" s="34">
        <f t="shared" si="0"/>
        <v>102375</v>
      </c>
      <c r="P20">
        <v>0</v>
      </c>
      <c r="Q20" s="6">
        <f t="shared" si="1"/>
        <v>4550000</v>
      </c>
      <c r="R20" s="34">
        <f t="shared" si="2"/>
        <v>102375</v>
      </c>
      <c r="S20" s="34">
        <f t="shared" si="3"/>
        <v>92328.79603249974</v>
      </c>
    </row>
    <row r="21" spans="1:19">
      <c r="A21" t="s">
        <v>50</v>
      </c>
      <c r="B21" t="s">
        <v>16</v>
      </c>
      <c r="C21" t="s">
        <v>62</v>
      </c>
      <c r="D21" t="s">
        <v>63</v>
      </c>
      <c r="E21" t="s">
        <v>33</v>
      </c>
      <c r="F21" t="s">
        <v>22</v>
      </c>
      <c r="G21" t="s">
        <v>78</v>
      </c>
      <c r="H21" t="s">
        <v>79</v>
      </c>
      <c r="J21" s="36" t="s">
        <v>40</v>
      </c>
      <c r="K21" s="36" t="s">
        <v>41</v>
      </c>
      <c r="N21">
        <v>2.5</v>
      </c>
      <c r="O21" s="34">
        <f t="shared" si="0"/>
        <v>102375</v>
      </c>
      <c r="P21">
        <v>0</v>
      </c>
      <c r="Q21" s="6">
        <f t="shared" si="1"/>
        <v>4550000</v>
      </c>
      <c r="R21" s="34">
        <f t="shared" si="2"/>
        <v>102375</v>
      </c>
      <c r="S21" s="34">
        <f t="shared" si="3"/>
        <v>89975.234414741033</v>
      </c>
    </row>
    <row r="22" spans="1:19">
      <c r="A22">
        <v>0</v>
      </c>
      <c r="D22" s="6">
        <f>B3</f>
        <v>2450000</v>
      </c>
      <c r="E22" s="6">
        <f>-D22</f>
        <v>-2450000</v>
      </c>
      <c r="J22" s="39">
        <f>G31/F31</f>
        <v>2.481087734188737</v>
      </c>
      <c r="K22" s="39">
        <f>H31/F31</f>
        <v>9.5108363143901578</v>
      </c>
      <c r="N22">
        <v>3</v>
      </c>
      <c r="O22" s="34">
        <f t="shared" si="0"/>
        <v>102375</v>
      </c>
      <c r="P22">
        <v>0</v>
      </c>
      <c r="Q22" s="6">
        <f t="shared" si="1"/>
        <v>4550000</v>
      </c>
      <c r="R22" s="34">
        <f t="shared" si="2"/>
        <v>102375</v>
      </c>
      <c r="S22" s="34">
        <f t="shared" si="3"/>
        <v>87681.66764719825</v>
      </c>
    </row>
    <row r="23" spans="1:19">
      <c r="A23">
        <v>0.5</v>
      </c>
      <c r="B23" s="6">
        <f>$B$11*D22</f>
        <v>36478.433447593794</v>
      </c>
      <c r="C23" s="6">
        <f>E23-B23</f>
        <v>290644.40534169483</v>
      </c>
      <c r="D23" s="6">
        <f>D22-C23</f>
        <v>2159355.5946583049</v>
      </c>
      <c r="E23" s="29">
        <f>$B$18</f>
        <v>327122.83878928865</v>
      </c>
      <c r="F23" s="30">
        <f>E23/(1+$B$12)^A23</f>
        <v>320002.02101270133</v>
      </c>
      <c r="G23" s="30">
        <f>E23*A23</f>
        <v>163561.41939464433</v>
      </c>
      <c r="H23" s="30">
        <f>G23*(A23+1)</f>
        <v>245342.12909196649</v>
      </c>
      <c r="I23" s="30"/>
      <c r="J23" s="40"/>
      <c r="K23" s="40"/>
      <c r="N23">
        <v>3.5</v>
      </c>
      <c r="O23" s="34">
        <f t="shared" si="0"/>
        <v>102375</v>
      </c>
      <c r="P23">
        <v>0</v>
      </c>
      <c r="Q23" s="6">
        <f t="shared" si="1"/>
        <v>4550000</v>
      </c>
      <c r="R23" s="34">
        <f t="shared" si="2"/>
        <v>102375</v>
      </c>
      <c r="S23" s="34">
        <f t="shared" si="3"/>
        <v>85446.566395765476</v>
      </c>
    </row>
    <row r="24" spans="1:19">
      <c r="A24">
        <v>1</v>
      </c>
      <c r="B24" s="6">
        <f t="shared" ref="B24:B30" si="4">$B$11*D23</f>
        <v>32150.983407931551</v>
      </c>
      <c r="C24" s="6">
        <f t="shared" ref="C24:C30" si="5">E24-B24</f>
        <v>294971.85538135708</v>
      </c>
      <c r="D24" s="6">
        <f t="shared" ref="D24:D30" si="6">D23-C24</f>
        <v>1864383.7392769479</v>
      </c>
      <c r="E24" s="29">
        <f t="shared" ref="E24:E30" si="7">$B$18</f>
        <v>327122.83878928865</v>
      </c>
      <c r="F24" s="30">
        <f t="shared" ref="F24:F30" si="8">E24/(1+$B$12)^A24</f>
        <v>313036.20936774038</v>
      </c>
      <c r="G24" s="30">
        <f t="shared" ref="G24:G30" si="9">E24*A24</f>
        <v>327122.83878928865</v>
      </c>
      <c r="H24" s="30">
        <f t="shared" ref="H24:H30" si="10">G24*(A24+1)</f>
        <v>654245.67757857731</v>
      </c>
      <c r="I24" s="30"/>
      <c r="J24" s="40" t="s">
        <v>70</v>
      </c>
      <c r="K24" s="40"/>
      <c r="N24">
        <v>4</v>
      </c>
      <c r="O24" s="34">
        <f t="shared" si="0"/>
        <v>102375</v>
      </c>
      <c r="P24">
        <v>0</v>
      </c>
      <c r="Q24" s="6">
        <f t="shared" si="1"/>
        <v>4550000</v>
      </c>
      <c r="R24" s="34">
        <f t="shared" si="2"/>
        <v>102375</v>
      </c>
      <c r="S24" s="34">
        <f t="shared" si="3"/>
        <v>83268.44031072958</v>
      </c>
    </row>
    <row r="25" spans="1:19">
      <c r="A25">
        <v>1.5</v>
      </c>
      <c r="B25" s="6">
        <f t="shared" si="4"/>
        <v>27759.101287342943</v>
      </c>
      <c r="C25" s="6">
        <f t="shared" si="5"/>
        <v>299363.7375019457</v>
      </c>
      <c r="D25" s="6">
        <f t="shared" si="6"/>
        <v>1565020.0017750021</v>
      </c>
      <c r="E25" s="29">
        <f t="shared" si="7"/>
        <v>327122.83878928865</v>
      </c>
      <c r="F25" s="30">
        <f t="shared" si="8"/>
        <v>306222.02967722621</v>
      </c>
      <c r="G25" s="30">
        <f t="shared" si="9"/>
        <v>490684.25818393298</v>
      </c>
      <c r="H25" s="30">
        <f t="shared" si="10"/>
        <v>1226710.6454598324</v>
      </c>
      <c r="I25" s="30"/>
      <c r="J25" s="39">
        <f>J22/(1+B12)</f>
        <v>2.3742466355873084</v>
      </c>
      <c r="K25" s="40"/>
      <c r="N25">
        <v>4.5</v>
      </c>
      <c r="O25" s="34">
        <f t="shared" si="0"/>
        <v>102375</v>
      </c>
      <c r="P25">
        <v>0</v>
      </c>
      <c r="Q25" s="6">
        <f t="shared" si="1"/>
        <v>4550000</v>
      </c>
      <c r="R25" s="34">
        <f t="shared" si="2"/>
        <v>102375</v>
      </c>
      <c r="S25" s="34">
        <f t="shared" si="3"/>
        <v>81145.837033015647</v>
      </c>
    </row>
    <row r="26" spans="1:19">
      <c r="A26">
        <v>2</v>
      </c>
      <c r="B26" s="6">
        <f t="shared" si="4"/>
        <v>23301.827746490831</v>
      </c>
      <c r="C26" s="6">
        <f t="shared" si="5"/>
        <v>303821.01104279782</v>
      </c>
      <c r="D26" s="6">
        <f t="shared" si="6"/>
        <v>1261198.9907322042</v>
      </c>
      <c r="E26" s="29">
        <f t="shared" si="7"/>
        <v>327122.83878928865</v>
      </c>
      <c r="F26" s="30">
        <f t="shared" si="8"/>
        <v>299556.18121314869</v>
      </c>
      <c r="G26" s="30">
        <f t="shared" si="9"/>
        <v>654245.67757857731</v>
      </c>
      <c r="H26" s="30">
        <f t="shared" si="10"/>
        <v>1962737.0327357319</v>
      </c>
      <c r="I26" s="30"/>
      <c r="J26" s="30"/>
      <c r="K26" s="30"/>
      <c r="N26">
        <v>5</v>
      </c>
      <c r="O26" s="34">
        <f t="shared" si="0"/>
        <v>102375</v>
      </c>
      <c r="P26">
        <v>0</v>
      </c>
      <c r="Q26" s="6">
        <f t="shared" si="1"/>
        <v>4550000</v>
      </c>
      <c r="R26" s="34">
        <f t="shared" si="2"/>
        <v>102375</v>
      </c>
      <c r="S26" s="34">
        <f t="shared" si="3"/>
        <v>79077.341225764088</v>
      </c>
    </row>
    <row r="27" spans="1:19">
      <c r="A27">
        <v>2.5</v>
      </c>
      <c r="B27" s="6">
        <f t="shared" si="4"/>
        <v>18778.189162284561</v>
      </c>
      <c r="C27" s="6">
        <f t="shared" si="5"/>
        <v>308344.64962700411</v>
      </c>
      <c r="D27" s="6">
        <f t="shared" si="6"/>
        <v>952854.34110520012</v>
      </c>
      <c r="E27" s="29">
        <f t="shared" si="7"/>
        <v>327122.83878928865</v>
      </c>
      <c r="F27" s="30">
        <f t="shared" si="8"/>
        <v>293035.43509782408</v>
      </c>
      <c r="G27" s="30">
        <f t="shared" si="9"/>
        <v>817807.09697322163</v>
      </c>
      <c r="H27" s="30">
        <f t="shared" si="10"/>
        <v>2862324.8394062757</v>
      </c>
      <c r="I27" s="30"/>
      <c r="J27" s="30"/>
      <c r="K27" s="30"/>
      <c r="N27">
        <v>5.5</v>
      </c>
      <c r="O27" s="34">
        <f t="shared" si="0"/>
        <v>102375</v>
      </c>
      <c r="P27">
        <v>0</v>
      </c>
      <c r="Q27" s="6">
        <f t="shared" si="1"/>
        <v>4550000</v>
      </c>
      <c r="R27" s="34">
        <f t="shared" si="2"/>
        <v>102375</v>
      </c>
      <c r="S27" s="34">
        <f t="shared" si="3"/>
        <v>77061.573630594168</v>
      </c>
    </row>
    <row r="28" spans="1:19">
      <c r="A28">
        <v>3</v>
      </c>
      <c r="B28" s="6">
        <f t="shared" si="4"/>
        <v>14187.197415206889</v>
      </c>
      <c r="C28" s="6">
        <f t="shared" si="5"/>
        <v>312935.64137408178</v>
      </c>
      <c r="D28" s="6">
        <f t="shared" si="6"/>
        <v>639918.69973111828</v>
      </c>
      <c r="E28" s="29">
        <f t="shared" si="7"/>
        <v>327122.83878928865</v>
      </c>
      <c r="F28" s="30">
        <f t="shared" si="8"/>
        <v>286656.63273985521</v>
      </c>
      <c r="G28" s="30">
        <f t="shared" si="9"/>
        <v>981368.51636786596</v>
      </c>
      <c r="H28" s="30">
        <f t="shared" si="10"/>
        <v>3925474.0654714638</v>
      </c>
      <c r="I28" s="30"/>
      <c r="J28" s="30"/>
      <c r="K28" s="30"/>
      <c r="N28">
        <v>6</v>
      </c>
      <c r="O28" s="34">
        <f t="shared" si="0"/>
        <v>102375</v>
      </c>
      <c r="P28">
        <v>0</v>
      </c>
      <c r="Q28" s="6">
        <f t="shared" si="1"/>
        <v>4550000</v>
      </c>
      <c r="R28" s="34">
        <f t="shared" si="2"/>
        <v>102375</v>
      </c>
      <c r="S28" s="34">
        <f t="shared" si="3"/>
        <v>75097.190147924106</v>
      </c>
    </row>
    <row r="29" spans="1:19">
      <c r="A29">
        <v>3.5</v>
      </c>
      <c r="B29" s="6">
        <f t="shared" si="4"/>
        <v>9527.8496734744313</v>
      </c>
      <c r="C29" s="6">
        <f t="shared" si="5"/>
        <v>317594.98911581421</v>
      </c>
      <c r="D29" s="6">
        <f t="shared" si="6"/>
        <v>322323.71061530407</v>
      </c>
      <c r="E29" s="29">
        <f t="shared" si="7"/>
        <v>327122.83878928865</v>
      </c>
      <c r="F29" s="30">
        <f t="shared" si="8"/>
        <v>280416.68430413795</v>
      </c>
      <c r="G29" s="30">
        <f t="shared" si="9"/>
        <v>1144929.9357625102</v>
      </c>
      <c r="H29" s="30">
        <f t="shared" si="10"/>
        <v>5152184.7109312955</v>
      </c>
      <c r="I29" s="30"/>
      <c r="J29" s="30"/>
      <c r="K29" s="30"/>
      <c r="N29">
        <v>6.5</v>
      </c>
      <c r="O29" s="34">
        <f t="shared" si="0"/>
        <v>102375</v>
      </c>
      <c r="P29">
        <v>0</v>
      </c>
      <c r="Q29" s="6">
        <f t="shared" si="1"/>
        <v>4550000</v>
      </c>
      <c r="R29" s="34">
        <f t="shared" si="2"/>
        <v>102375</v>
      </c>
      <c r="S29" s="34">
        <f t="shared" si="3"/>
        <v>73182.880940735195</v>
      </c>
    </row>
    <row r="30" spans="1:19">
      <c r="A30">
        <v>4</v>
      </c>
      <c r="B30" s="6">
        <f t="shared" si="4"/>
        <v>4799.1281739844289</v>
      </c>
      <c r="C30" s="6">
        <f t="shared" si="5"/>
        <v>322323.71061530424</v>
      </c>
      <c r="D30" s="6">
        <f t="shared" si="6"/>
        <v>0</v>
      </c>
      <c r="E30" s="29">
        <f t="shared" si="7"/>
        <v>327122.83878928865</v>
      </c>
      <c r="F30" s="30">
        <f t="shared" si="8"/>
        <v>274312.56721517252</v>
      </c>
      <c r="G30" s="30">
        <f t="shared" si="9"/>
        <v>1308491.3551571546</v>
      </c>
      <c r="H30" s="30">
        <f t="shared" si="10"/>
        <v>6542456.7757857731</v>
      </c>
      <c r="I30" s="30"/>
      <c r="J30" s="30"/>
      <c r="K30" s="30"/>
      <c r="N30">
        <v>7</v>
      </c>
      <c r="O30" s="34">
        <f t="shared" si="0"/>
        <v>102375</v>
      </c>
      <c r="P30">
        <v>0</v>
      </c>
      <c r="Q30" s="6">
        <f t="shared" si="1"/>
        <v>4550000</v>
      </c>
      <c r="R30" s="34">
        <f t="shared" si="2"/>
        <v>102375</v>
      </c>
      <c r="S30" s="34">
        <f t="shared" si="3"/>
        <v>71317.369561181491</v>
      </c>
    </row>
    <row r="31" spans="1:19">
      <c r="F31" s="33">
        <f>SUM(F23:F30)</f>
        <v>2373237.7606278062</v>
      </c>
      <c r="G31" s="41">
        <f>SUM(G23:G30)</f>
        <v>5888211.0982071953</v>
      </c>
      <c r="H31" s="42">
        <f>SUM(H23:H30)</f>
        <v>22571475.876460917</v>
      </c>
      <c r="N31">
        <v>7.5</v>
      </c>
      <c r="O31" s="34">
        <f t="shared" si="0"/>
        <v>102375</v>
      </c>
      <c r="P31">
        <v>0</v>
      </c>
      <c r="Q31" s="6">
        <f t="shared" si="1"/>
        <v>4550000</v>
      </c>
      <c r="R31" s="34">
        <f t="shared" si="2"/>
        <v>102375</v>
      </c>
      <c r="S31" s="34">
        <f t="shared" si="3"/>
        <v>69499.412099463632</v>
      </c>
    </row>
    <row r="32" spans="1:19">
      <c r="A32" t="s">
        <v>68</v>
      </c>
      <c r="B32" s="31">
        <f>(B11*(1+B11)^8) / ((1+B11)^8-1) *B8</f>
        <v>327122.83878928912</v>
      </c>
      <c r="C32" t="s">
        <v>69</v>
      </c>
      <c r="N32">
        <v>8</v>
      </c>
      <c r="O32" s="34">
        <f t="shared" si="0"/>
        <v>102375</v>
      </c>
      <c r="P32">
        <v>0</v>
      </c>
      <c r="Q32" s="6">
        <f t="shared" si="1"/>
        <v>4550000</v>
      </c>
      <c r="R32" s="34">
        <f t="shared" si="2"/>
        <v>102375</v>
      </c>
      <c r="S32" s="34">
        <f t="shared" si="3"/>
        <v>67727.796354398379</v>
      </c>
    </row>
    <row r="33" spans="1:19">
      <c r="N33">
        <v>8.5</v>
      </c>
      <c r="O33" s="34">
        <f t="shared" si="0"/>
        <v>102375</v>
      </c>
      <c r="P33">
        <v>0</v>
      </c>
      <c r="Q33" s="6">
        <f t="shared" si="1"/>
        <v>4550000</v>
      </c>
      <c r="R33" s="34">
        <f t="shared" si="2"/>
        <v>102375</v>
      </c>
      <c r="S33" s="34">
        <f t="shared" si="3"/>
        <v>66001.341025131653</v>
      </c>
    </row>
    <row r="34" spans="1:19">
      <c r="A34" t="s">
        <v>15</v>
      </c>
      <c r="B34" t="s">
        <v>65</v>
      </c>
      <c r="C34" t="s">
        <v>66</v>
      </c>
      <c r="D34" t="s">
        <v>67</v>
      </c>
      <c r="N34">
        <v>9</v>
      </c>
      <c r="O34" s="34">
        <f t="shared" si="0"/>
        <v>102375</v>
      </c>
      <c r="P34">
        <v>0</v>
      </c>
      <c r="Q34" s="6">
        <f t="shared" si="1"/>
        <v>4550000</v>
      </c>
      <c r="R34" s="34">
        <f t="shared" si="2"/>
        <v>102375</v>
      </c>
      <c r="S34" s="34">
        <f t="shared" si="3"/>
        <v>64318.894923455249</v>
      </c>
    </row>
    <row r="35" spans="1:19">
      <c r="A35">
        <v>0</v>
      </c>
      <c r="B35">
        <v>-2450000</v>
      </c>
      <c r="D35">
        <f>B35+C35</f>
        <v>-2450000</v>
      </c>
      <c r="N35">
        <v>9.5</v>
      </c>
      <c r="O35" s="34">
        <f t="shared" si="0"/>
        <v>102375</v>
      </c>
      <c r="P35">
        <v>0</v>
      </c>
      <c r="Q35" s="6">
        <f t="shared" si="1"/>
        <v>4550000</v>
      </c>
      <c r="R35" s="34">
        <f t="shared" si="2"/>
        <v>102375</v>
      </c>
      <c r="S35" s="34">
        <f t="shared" si="3"/>
        <v>62679.336206202912</v>
      </c>
    </row>
    <row r="36" spans="1:19">
      <c r="A36">
        <v>0.5</v>
      </c>
      <c r="B36">
        <v>327122.83878928865</v>
      </c>
      <c r="C36">
        <v>102375</v>
      </c>
      <c r="D36">
        <f t="shared" ref="D36:D55" si="11">B36+C36</f>
        <v>429497.83878928865</v>
      </c>
      <c r="N36">
        <v>10</v>
      </c>
      <c r="O36" s="34">
        <f t="shared" si="0"/>
        <v>102375</v>
      </c>
      <c r="P36" s="6">
        <f>$N$7</f>
        <v>4550000</v>
      </c>
      <c r="Q36">
        <v>0</v>
      </c>
      <c r="R36" s="34">
        <f t="shared" si="2"/>
        <v>4652375</v>
      </c>
      <c r="S36" s="34">
        <f t="shared" si="3"/>
        <v>2775818.0883922339</v>
      </c>
    </row>
    <row r="37" spans="1:19">
      <c r="A37">
        <v>1</v>
      </c>
      <c r="B37">
        <v>327122.83878928865</v>
      </c>
      <c r="C37">
        <v>102375</v>
      </c>
      <c r="D37">
        <f t="shared" si="11"/>
        <v>429497.83878928865</v>
      </c>
      <c r="S37" s="35">
        <f>SUM(S17:S36)</f>
        <v>4293359.2600981537</v>
      </c>
    </row>
    <row r="38" spans="1:19">
      <c r="A38">
        <v>1.5</v>
      </c>
      <c r="B38">
        <v>327122.83878928865</v>
      </c>
      <c r="C38">
        <v>102375</v>
      </c>
      <c r="D38">
        <f t="shared" si="11"/>
        <v>429497.83878928865</v>
      </c>
    </row>
    <row r="39" spans="1:19">
      <c r="A39">
        <v>2</v>
      </c>
      <c r="B39">
        <v>327122.83878928865</v>
      </c>
      <c r="C39">
        <v>102375</v>
      </c>
      <c r="D39">
        <f t="shared" si="11"/>
        <v>429497.83878928865</v>
      </c>
    </row>
    <row r="40" spans="1:19">
      <c r="A40">
        <v>2.5</v>
      </c>
      <c r="B40">
        <v>327122.83878928865</v>
      </c>
      <c r="C40">
        <v>102375</v>
      </c>
      <c r="D40">
        <f t="shared" si="11"/>
        <v>429497.83878928865</v>
      </c>
    </row>
    <row r="41" spans="1:19">
      <c r="A41">
        <v>3</v>
      </c>
      <c r="B41">
        <v>327122.83878928865</v>
      </c>
      <c r="C41">
        <v>102375</v>
      </c>
      <c r="D41">
        <f t="shared" si="11"/>
        <v>429497.83878928865</v>
      </c>
    </row>
    <row r="42" spans="1:19">
      <c r="A42">
        <v>3.5</v>
      </c>
      <c r="B42">
        <v>327122.83878928865</v>
      </c>
      <c r="C42">
        <v>102375</v>
      </c>
      <c r="D42">
        <f t="shared" si="11"/>
        <v>429497.83878928865</v>
      </c>
    </row>
    <row r="43" spans="1:19">
      <c r="A43">
        <v>4</v>
      </c>
      <c r="B43">
        <v>327122.83878928865</v>
      </c>
      <c r="C43">
        <v>102375</v>
      </c>
      <c r="D43">
        <f t="shared" si="11"/>
        <v>429497.83878928865</v>
      </c>
    </row>
    <row r="44" spans="1:19">
      <c r="A44">
        <v>4.5</v>
      </c>
      <c r="C44">
        <v>102375</v>
      </c>
      <c r="D44">
        <f t="shared" si="11"/>
        <v>102375</v>
      </c>
    </row>
    <row r="45" spans="1:19">
      <c r="A45">
        <v>5</v>
      </c>
      <c r="C45">
        <v>102375</v>
      </c>
      <c r="D45">
        <f t="shared" si="11"/>
        <v>102375</v>
      </c>
    </row>
    <row r="46" spans="1:19">
      <c r="A46">
        <v>5.5</v>
      </c>
      <c r="C46">
        <v>102375</v>
      </c>
      <c r="D46">
        <f t="shared" si="11"/>
        <v>102375</v>
      </c>
    </row>
    <row r="47" spans="1:19">
      <c r="A47">
        <v>6</v>
      </c>
      <c r="C47">
        <v>102375</v>
      </c>
      <c r="D47">
        <f t="shared" si="11"/>
        <v>102375</v>
      </c>
    </row>
    <row r="48" spans="1:19">
      <c r="A48">
        <v>6.5</v>
      </c>
      <c r="C48">
        <v>102375</v>
      </c>
      <c r="D48">
        <f t="shared" si="11"/>
        <v>102375</v>
      </c>
    </row>
    <row r="49" spans="1:4">
      <c r="A49">
        <v>7</v>
      </c>
      <c r="C49">
        <v>102375</v>
      </c>
      <c r="D49">
        <f t="shared" si="11"/>
        <v>102375</v>
      </c>
    </row>
    <row r="50" spans="1:4">
      <c r="A50">
        <v>7.5</v>
      </c>
      <c r="C50">
        <v>102375</v>
      </c>
      <c r="D50">
        <f t="shared" si="11"/>
        <v>102375</v>
      </c>
    </row>
    <row r="51" spans="1:4">
      <c r="A51">
        <v>8</v>
      </c>
      <c r="C51">
        <v>102375</v>
      </c>
      <c r="D51">
        <f t="shared" si="11"/>
        <v>102375</v>
      </c>
    </row>
    <row r="52" spans="1:4">
      <c r="A52">
        <v>8.5</v>
      </c>
      <c r="C52">
        <v>102375</v>
      </c>
      <c r="D52">
        <f t="shared" si="11"/>
        <v>102375</v>
      </c>
    </row>
    <row r="53" spans="1:4">
      <c r="A53">
        <v>9</v>
      </c>
      <c r="C53">
        <v>102375</v>
      </c>
      <c r="D53">
        <f t="shared" si="11"/>
        <v>102375</v>
      </c>
    </row>
    <row r="54" spans="1:4">
      <c r="A54">
        <v>9.5</v>
      </c>
      <c r="C54">
        <v>102375</v>
      </c>
      <c r="D54">
        <f t="shared" si="11"/>
        <v>102375</v>
      </c>
    </row>
    <row r="55" spans="1:4">
      <c r="A55">
        <v>10</v>
      </c>
      <c r="C55">
        <v>4652375</v>
      </c>
      <c r="D55">
        <f t="shared" si="11"/>
        <v>4652375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Ejemplo I</vt:lpstr>
      <vt:lpstr>Ejercicio I</vt:lpstr>
      <vt:lpstr>Cartera_1</vt:lpstr>
      <vt:lpstr>Cartera_2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Ponce Arellano</dc:creator>
  <cp:lastModifiedBy>Facultad de Administración y Economia</cp:lastModifiedBy>
  <dcterms:created xsi:type="dcterms:W3CDTF">2024-03-30T22:22:36Z</dcterms:created>
  <dcterms:modified xsi:type="dcterms:W3CDTF">2024-04-08T19:36:05Z</dcterms:modified>
</cp:coreProperties>
</file>