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Escritorio\Denis\Emprendimientos\Clases\UDP\16. Clase 10 - Valorizacion de Empresas\"/>
    </mc:Choice>
  </mc:AlternateContent>
  <xr:revisionPtr revIDLastSave="0" documentId="13_ncr:1_{EBE82E24-5FAD-4934-B229-194AF9ECB8B2}" xr6:coauthVersionLast="47" xr6:coauthVersionMax="47" xr10:uidLastSave="{00000000-0000-0000-0000-000000000000}"/>
  <bookViews>
    <workbookView xWindow="28680" yWindow="-120" windowWidth="29040" windowHeight="15720" activeTab="1" xr2:uid="{B92A9A49-8DD1-436F-A707-0A1CB9762878}"/>
  </bookViews>
  <sheets>
    <sheet name="Desarrollo" sheetId="2" r:id="rId1"/>
    <sheet name="Desarrollo Deuda 1" sheetId="4" r:id="rId2"/>
    <sheet name="Parte 1" sheetId="3" r:id="rId3"/>
    <sheet name="Bet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5" i="6" l="1"/>
  <c r="M23" i="6"/>
  <c r="M17" i="6"/>
  <c r="M15" i="6"/>
  <c r="M11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3" i="6"/>
  <c r="O38" i="4"/>
  <c r="O41" i="4" s="1"/>
  <c r="P38" i="4"/>
  <c r="P41" i="4" s="1"/>
  <c r="Q38" i="4"/>
  <c r="Q41" i="4" s="1"/>
  <c r="R38" i="4"/>
  <c r="R41" i="4" s="1"/>
  <c r="S38" i="4"/>
  <c r="F14" i="3"/>
  <c r="G16" i="3"/>
  <c r="G17" i="3"/>
  <c r="G18" i="3"/>
  <c r="G19" i="3"/>
  <c r="G20" i="3"/>
  <c r="G21" i="3"/>
  <c r="G22" i="3"/>
  <c r="G23" i="3"/>
  <c r="G24" i="3"/>
  <c r="G15" i="3"/>
  <c r="L15" i="3"/>
  <c r="L16" i="3"/>
  <c r="L17" i="3"/>
  <c r="L18" i="3"/>
  <c r="L19" i="3"/>
  <c r="L20" i="3"/>
  <c r="L21" i="3"/>
  <c r="L14" i="3"/>
  <c r="K22" i="3"/>
  <c r="J16" i="3"/>
  <c r="M16" i="3" s="1"/>
  <c r="J17" i="3"/>
  <c r="M17" i="3" s="1"/>
  <c r="J18" i="3"/>
  <c r="M18" i="3" s="1"/>
  <c r="J19" i="3"/>
  <c r="M19" i="3" s="1"/>
  <c r="J20" i="3"/>
  <c r="M20" i="3" s="1"/>
  <c r="J21" i="3"/>
  <c r="M21" i="3" s="1"/>
  <c r="J22" i="3"/>
  <c r="J15" i="3"/>
  <c r="M15" i="3" s="1"/>
  <c r="D41" i="4"/>
  <c r="S36" i="4"/>
  <c r="E27" i="4"/>
  <c r="F27" i="4" s="1"/>
  <c r="G27" i="4" s="1"/>
  <c r="H27" i="4" s="1"/>
  <c r="I27" i="4" s="1"/>
  <c r="J27" i="4" s="1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S24" i="4"/>
  <c r="R24" i="4"/>
  <c r="Q24" i="4"/>
  <c r="P24" i="4"/>
  <c r="P26" i="4" s="1"/>
  <c r="O24" i="4"/>
  <c r="N24" i="4"/>
  <c r="M24" i="4"/>
  <c r="L24" i="4"/>
  <c r="K24" i="4"/>
  <c r="J24" i="4"/>
  <c r="H24" i="4"/>
  <c r="I24" i="4" s="1"/>
  <c r="G24" i="4"/>
  <c r="G26" i="4" s="1"/>
  <c r="F24" i="4"/>
  <c r="E24" i="4"/>
  <c r="D14" i="4"/>
  <c r="D17" i="4" s="1"/>
  <c r="D40" i="2"/>
  <c r="D15" i="3" l="1"/>
  <c r="S41" i="4"/>
  <c r="I3" i="6"/>
  <c r="O26" i="4"/>
  <c r="Q26" i="4"/>
  <c r="I26" i="4"/>
  <c r="R26" i="4"/>
  <c r="J26" i="4"/>
  <c r="S26" i="4"/>
  <c r="K26" i="4"/>
  <c r="L26" i="4"/>
  <c r="M26" i="4"/>
  <c r="F26" i="4"/>
  <c r="H26" i="4"/>
  <c r="E26" i="4"/>
  <c r="N26" i="4"/>
  <c r="M22" i="3"/>
  <c r="K27" i="4"/>
  <c r="S28" i="4"/>
  <c r="K28" i="4"/>
  <c r="K34" i="4" s="1"/>
  <c r="J28" i="4"/>
  <c r="J34" i="4" s="1"/>
  <c r="P28" i="4"/>
  <c r="P34" i="4" s="1"/>
  <c r="H28" i="4"/>
  <c r="H34" i="4" s="1"/>
  <c r="E28" i="4"/>
  <c r="E34" i="4" s="1"/>
  <c r="L28" i="4"/>
  <c r="L34" i="4" s="1"/>
  <c r="R28" i="4"/>
  <c r="R34" i="4" s="1"/>
  <c r="Q28" i="4"/>
  <c r="Q34" i="4" s="1"/>
  <c r="O28" i="4"/>
  <c r="O34" i="4" s="1"/>
  <c r="G28" i="4"/>
  <c r="G34" i="4" s="1"/>
  <c r="N28" i="4"/>
  <c r="N34" i="4" s="1"/>
  <c r="F28" i="4"/>
  <c r="F34" i="4" s="1"/>
  <c r="M28" i="4"/>
  <c r="M34" i="4" s="1"/>
  <c r="I28" i="4"/>
  <c r="I34" i="4" s="1"/>
  <c r="S25" i="2"/>
  <c r="R25" i="2"/>
  <c r="Q25" i="2"/>
  <c r="P25" i="2"/>
  <c r="O25" i="2"/>
  <c r="S36" i="2"/>
  <c r="O24" i="2"/>
  <c r="P24" i="2"/>
  <c r="Q24" i="2"/>
  <c r="R24" i="2"/>
  <c r="S24" i="2"/>
  <c r="E27" i="2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D14" i="2"/>
  <c r="D17" i="2" s="1"/>
  <c r="P28" i="2" s="1"/>
  <c r="P34" i="2" s="1"/>
  <c r="N25" i="2"/>
  <c r="M25" i="2"/>
  <c r="L25" i="2"/>
  <c r="K25" i="2"/>
  <c r="J25" i="2"/>
  <c r="I25" i="2"/>
  <c r="H25" i="2"/>
  <c r="G25" i="2"/>
  <c r="F25" i="2"/>
  <c r="E25" i="2"/>
  <c r="K24" i="2"/>
  <c r="L24" i="2"/>
  <c r="M24" i="2"/>
  <c r="N24" i="2"/>
  <c r="J24" i="2"/>
  <c r="H24" i="2"/>
  <c r="I24" i="2" s="1"/>
  <c r="G24" i="2"/>
  <c r="E24" i="2"/>
  <c r="F24" i="2"/>
  <c r="E15" i="3" l="1"/>
  <c r="H29" i="4"/>
  <c r="G29" i="4"/>
  <c r="F29" i="4"/>
  <c r="L27" i="4"/>
  <c r="K29" i="4"/>
  <c r="I29" i="4"/>
  <c r="D55" i="4"/>
  <c r="D59" i="4" s="1"/>
  <c r="E29" i="4"/>
  <c r="D48" i="4"/>
  <c r="S34" i="4"/>
  <c r="J29" i="4"/>
  <c r="E26" i="2"/>
  <c r="F26" i="2"/>
  <c r="O26" i="2"/>
  <c r="R26" i="2"/>
  <c r="Q26" i="2"/>
  <c r="P26" i="2"/>
  <c r="P29" i="2" s="1"/>
  <c r="P31" i="2" s="1"/>
  <c r="O28" i="2"/>
  <c r="O34" i="2" s="1"/>
  <c r="S26" i="2"/>
  <c r="S28" i="2"/>
  <c r="Q28" i="2"/>
  <c r="Q34" i="2" s="1"/>
  <c r="R28" i="2"/>
  <c r="R34" i="2" s="1"/>
  <c r="G26" i="2"/>
  <c r="L26" i="2"/>
  <c r="J28" i="2"/>
  <c r="J34" i="2" s="1"/>
  <c r="K28" i="2"/>
  <c r="K34" i="2" s="1"/>
  <c r="L28" i="2"/>
  <c r="L34" i="2" s="1"/>
  <c r="M28" i="2"/>
  <c r="M34" i="2" s="1"/>
  <c r="F28" i="2"/>
  <c r="F34" i="2" s="1"/>
  <c r="N28" i="2"/>
  <c r="N34" i="2" s="1"/>
  <c r="G28" i="2"/>
  <c r="G34" i="2" s="1"/>
  <c r="E28" i="2"/>
  <c r="H28" i="2"/>
  <c r="H34" i="2" s="1"/>
  <c r="I28" i="2"/>
  <c r="I34" i="2" s="1"/>
  <c r="N26" i="2"/>
  <c r="I26" i="2"/>
  <c r="M26" i="2"/>
  <c r="H26" i="2"/>
  <c r="J26" i="2"/>
  <c r="K26" i="2"/>
  <c r="F15" i="3" l="1"/>
  <c r="L29" i="4"/>
  <c r="M27" i="4"/>
  <c r="P32" i="2"/>
  <c r="P33" i="2" s="1"/>
  <c r="P40" i="2" s="1"/>
  <c r="E29" i="2"/>
  <c r="E31" i="2" s="1"/>
  <c r="E34" i="2"/>
  <c r="D54" i="2"/>
  <c r="D58" i="2" s="1"/>
  <c r="D47" i="2"/>
  <c r="S34" i="2"/>
  <c r="R29" i="2"/>
  <c r="R31" i="2" s="1"/>
  <c r="F29" i="2"/>
  <c r="F31" i="2" s="1"/>
  <c r="O29" i="2"/>
  <c r="O31" i="2" s="1"/>
  <c r="H29" i="2"/>
  <c r="H31" i="2" s="1"/>
  <c r="Q29" i="2"/>
  <c r="Q31" i="2" s="1"/>
  <c r="J29" i="2"/>
  <c r="J31" i="2" s="1"/>
  <c r="S29" i="2"/>
  <c r="G29" i="2"/>
  <c r="G31" i="2" s="1"/>
  <c r="M29" i="2"/>
  <c r="M31" i="2" s="1"/>
  <c r="I29" i="2"/>
  <c r="I31" i="2" s="1"/>
  <c r="N29" i="2"/>
  <c r="N31" i="2" s="1"/>
  <c r="K29" i="2"/>
  <c r="K31" i="2" s="1"/>
  <c r="L29" i="2"/>
  <c r="L31" i="2" s="1"/>
  <c r="D16" i="3" l="1"/>
  <c r="N27" i="4"/>
  <c r="M29" i="4"/>
  <c r="E32" i="2"/>
  <c r="E33" i="2" s="1"/>
  <c r="E40" i="2" s="1"/>
  <c r="N32" i="2"/>
  <c r="N33" i="2" s="1"/>
  <c r="N40" i="2" s="1"/>
  <c r="M32" i="2"/>
  <c r="M33" i="2" s="1"/>
  <c r="M40" i="2" s="1"/>
  <c r="G32" i="2"/>
  <c r="G33" i="2" s="1"/>
  <c r="G40" i="2" s="1"/>
  <c r="O32" i="2"/>
  <c r="O33" i="2" s="1"/>
  <c r="O40" i="2" s="1"/>
  <c r="I32" i="2"/>
  <c r="I33" i="2" s="1"/>
  <c r="I40" i="2" s="1"/>
  <c r="F32" i="2"/>
  <c r="F33" i="2" s="1"/>
  <c r="F40" i="2" s="1"/>
  <c r="R32" i="2"/>
  <c r="R33" i="2" s="1"/>
  <c r="R40" i="2" s="1"/>
  <c r="L32" i="2"/>
  <c r="L33" i="2" s="1"/>
  <c r="L40" i="2" s="1"/>
  <c r="Q32" i="2"/>
  <c r="Q33" i="2" s="1"/>
  <c r="Q40" i="2" s="1"/>
  <c r="J32" i="2"/>
  <c r="J33" i="2" s="1"/>
  <c r="J40" i="2" s="1"/>
  <c r="K32" i="2"/>
  <c r="K33" i="2" s="1"/>
  <c r="K40" i="2" s="1"/>
  <c r="H32" i="2"/>
  <c r="H33" i="2" s="1"/>
  <c r="H40" i="2" s="1"/>
  <c r="S31" i="2"/>
  <c r="D46" i="2"/>
  <c r="E16" i="3" l="1"/>
  <c r="O27" i="4"/>
  <c r="N29" i="4"/>
  <c r="D53" i="2"/>
  <c r="D55" i="2" s="1"/>
  <c r="D56" i="2" s="1"/>
  <c r="D57" i="2" s="1"/>
  <c r="D59" i="2" s="1"/>
  <c r="S39" i="2" s="1"/>
  <c r="S32" i="2"/>
  <c r="S33" i="2" s="1"/>
  <c r="F16" i="3" l="1"/>
  <c r="P27" i="4"/>
  <c r="O29" i="4"/>
  <c r="O31" i="4" s="1"/>
  <c r="S40" i="2"/>
  <c r="D17" i="3" l="1"/>
  <c r="O32" i="4"/>
  <c r="O33" i="4" s="1"/>
  <c r="Q27" i="4"/>
  <c r="P29" i="4"/>
  <c r="P31" i="4" s="1"/>
  <c r="D42" i="2"/>
  <c r="D43" i="2"/>
  <c r="E17" i="3" l="1"/>
  <c r="P32" i="4"/>
  <c r="P33" i="4" s="1"/>
  <c r="R27" i="4"/>
  <c r="Q29" i="4"/>
  <c r="Q31" i="4" s="1"/>
  <c r="F17" i="3" l="1"/>
  <c r="R29" i="4"/>
  <c r="R31" i="4" s="1"/>
  <c r="S27" i="4"/>
  <c r="S29" i="4" s="1"/>
  <c r="Q32" i="4"/>
  <c r="Q33" i="4" s="1"/>
  <c r="D18" i="3" l="1"/>
  <c r="D47" i="4"/>
  <c r="D54" i="4" s="1"/>
  <c r="D56" i="4" s="1"/>
  <c r="S31" i="4"/>
  <c r="R32" i="4"/>
  <c r="R33" i="4" s="1"/>
  <c r="E18" i="3" l="1"/>
  <c r="S32" i="4"/>
  <c r="S33" i="4" s="1"/>
  <c r="D57" i="4"/>
  <c r="D58" i="4" s="1"/>
  <c r="D60" i="4" s="1"/>
  <c r="S40" i="4" s="1"/>
  <c r="F18" i="3" l="1"/>
  <c r="D19" i="3" s="1"/>
  <c r="E19" i="3" s="1"/>
  <c r="F19" i="3" s="1"/>
  <c r="D20" i="3" l="1"/>
  <c r="E20" i="3" s="1"/>
  <c r="F20" i="3" l="1"/>
  <c r="D21" i="3" s="1"/>
  <c r="E21" i="3" s="1"/>
  <c r="F21" i="3" s="1"/>
  <c r="D22" i="3" s="1"/>
  <c r="E22" i="3" s="1"/>
  <c r="F22" i="3" s="1"/>
  <c r="D23" i="3" l="1"/>
  <c r="E23" i="3" s="1"/>
  <c r="F23" i="3" s="1"/>
  <c r="D24" i="3" l="1"/>
  <c r="E24" i="3" l="1"/>
  <c r="O15" i="3" a="1"/>
  <c r="O15" i="3" l="1"/>
  <c r="O16" i="3" s="1"/>
  <c r="E30" i="4" s="1"/>
  <c r="E31" i="4" s="1"/>
  <c r="E32" i="4" s="1"/>
  <c r="E33" i="4" s="1"/>
  <c r="U16" i="3"/>
  <c r="K30" i="4" s="1"/>
  <c r="K31" i="4" s="1"/>
  <c r="T16" i="3"/>
  <c r="J30" i="4" s="1"/>
  <c r="J31" i="4" s="1"/>
  <c r="J32" i="4" s="1"/>
  <c r="J33" i="4" s="1"/>
  <c r="S16" i="3"/>
  <c r="I30" i="4" s="1"/>
  <c r="I31" i="4" s="1"/>
  <c r="I32" i="4" s="1"/>
  <c r="I33" i="4" s="1"/>
  <c r="W16" i="3"/>
  <c r="M30" i="4" s="1"/>
  <c r="M31" i="4" s="1"/>
  <c r="M32" i="4" s="1"/>
  <c r="M33" i="4" s="1"/>
  <c r="R16" i="3"/>
  <c r="H30" i="4" s="1"/>
  <c r="H31" i="4" s="1"/>
  <c r="H32" i="4" s="1"/>
  <c r="H33" i="4" s="1"/>
  <c r="Q16" i="3"/>
  <c r="G30" i="4" s="1"/>
  <c r="G31" i="4" s="1"/>
  <c r="G32" i="4" s="1"/>
  <c r="G33" i="4" s="1"/>
  <c r="P16" i="3"/>
  <c r="F30" i="4" s="1"/>
  <c r="F31" i="4" s="1"/>
  <c r="V16" i="3"/>
  <c r="L30" i="4" s="1"/>
  <c r="L31" i="4" s="1"/>
  <c r="L32" i="4" s="1"/>
  <c r="L33" i="4" s="1"/>
  <c r="X16" i="3"/>
  <c r="N30" i="4" s="1"/>
  <c r="N31" i="4" s="1"/>
  <c r="N32" i="4" s="1"/>
  <c r="N33" i="4" s="1"/>
  <c r="O18" i="3" a="1"/>
  <c r="F24" i="3"/>
  <c r="F32" i="4" l="1"/>
  <c r="F33" i="4" s="1"/>
  <c r="K32" i="4"/>
  <c r="K33" i="4" s="1"/>
  <c r="O18" i="3"/>
  <c r="E38" i="4" s="1"/>
  <c r="E41" i="4" s="1"/>
  <c r="F38" i="4"/>
  <c r="G38" i="4"/>
  <c r="G41" i="4" s="1"/>
  <c r="H38" i="4"/>
  <c r="H41" i="4" s="1"/>
  <c r="I38" i="4"/>
  <c r="I41" i="4" s="1"/>
  <c r="J38" i="4"/>
  <c r="J41" i="4" s="1"/>
  <c r="K38" i="4"/>
  <c r="L38" i="4"/>
  <c r="L41" i="4" s="1"/>
  <c r="M38" i="4"/>
  <c r="M41" i="4" s="1"/>
  <c r="N38" i="4"/>
  <c r="N41" i="4" s="1"/>
  <c r="K41" i="4" l="1"/>
  <c r="F41" i="4"/>
  <c r="D43" i="4" s="1"/>
  <c r="D4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<sst xmlns="http://schemas.openxmlformats.org/spreadsheetml/2006/main" count="208" uniqueCount="100">
  <si>
    <t>Margen de Contribución</t>
  </si>
  <si>
    <t>Costos Fijos</t>
  </si>
  <si>
    <t>EBIT</t>
  </si>
  <si>
    <t>TAX</t>
  </si>
  <si>
    <t>Depreciación</t>
  </si>
  <si>
    <t>Inversiones</t>
  </si>
  <si>
    <t>Valor Residual</t>
  </si>
  <si>
    <t>Flujo de Caja</t>
  </si>
  <si>
    <t>(+)</t>
  </si>
  <si>
    <t>Ingresos</t>
  </si>
  <si>
    <t>(-)</t>
  </si>
  <si>
    <t>Costos Variables</t>
  </si>
  <si>
    <t>(=)</t>
  </si>
  <si>
    <t>Utilidad antes de impuesto</t>
  </si>
  <si>
    <t>Gastos Financieros</t>
  </si>
  <si>
    <t>Utilidad despues de impuesto</t>
  </si>
  <si>
    <t>Retorno de depreciacón</t>
  </si>
  <si>
    <t>Capital de Trabajo</t>
  </si>
  <si>
    <t>Recuperación del Capital de Trabajo</t>
  </si>
  <si>
    <t>Préstamos</t>
  </si>
  <si>
    <t>Datos</t>
  </si>
  <si>
    <t>Cantidad Metro Cúbico</t>
  </si>
  <si>
    <t>1° Año</t>
  </si>
  <si>
    <t>2° Año</t>
  </si>
  <si>
    <t>3° año</t>
  </si>
  <si>
    <t>4° Año</t>
  </si>
  <si>
    <t>Precio Metro Cúbico Mercado Prom</t>
  </si>
  <si>
    <t>Cantidad Metro Cúbico Mercado Prom</t>
  </si>
  <si>
    <t>Precio Metro Cúbico</t>
  </si>
  <si>
    <t>Reajuste</t>
  </si>
  <si>
    <t>Inversión Total</t>
  </si>
  <si>
    <t>Gasto Prorrateo por UM/M3</t>
  </si>
  <si>
    <t>Gasto Transporte por UM/M3</t>
  </si>
  <si>
    <t>Inversión por Planta</t>
  </si>
  <si>
    <t>Depreciación Años</t>
  </si>
  <si>
    <t>Inversión Adicional</t>
  </si>
  <si>
    <t>Depreciación Lineal</t>
  </si>
  <si>
    <t>Impuesto</t>
  </si>
  <si>
    <t>Costo Fijo</t>
  </si>
  <si>
    <t>EBIT (último año)</t>
  </si>
  <si>
    <t>Depreciación (último año)</t>
  </si>
  <si>
    <t>Tasa de Crecimiento de LP</t>
  </si>
  <si>
    <t>Tasa de Descuento</t>
  </si>
  <si>
    <t>Valor libro</t>
  </si>
  <si>
    <t>Utilidad</t>
  </si>
  <si>
    <t>Valor potencial</t>
  </si>
  <si>
    <t>frente a esta utilidad calculamos el imp a pagar</t>
  </si>
  <si>
    <t>Utilidad venta desp del negocio</t>
  </si>
  <si>
    <t>Datos Mercado</t>
  </si>
  <si>
    <t>Valor Potencial</t>
  </si>
  <si>
    <t>valor de venta del negocio</t>
  </si>
  <si>
    <t>Años</t>
  </si>
  <si>
    <t>Proyección del Proyecto</t>
  </si>
  <si>
    <t>depreciacion que nunca me beneficiara si vento (costo del negocio)</t>
  </si>
  <si>
    <t>nunca desembolso, vuelvo a agregar</t>
  </si>
  <si>
    <t>VAN</t>
  </si>
  <si>
    <t>Valor economico del activo</t>
  </si>
  <si>
    <t>Monto</t>
  </si>
  <si>
    <t>Tasa</t>
  </si>
  <si>
    <t>Plazo</t>
  </si>
  <si>
    <t>años</t>
  </si>
  <si>
    <t>Tipo Deuda</t>
  </si>
  <si>
    <t>LH (Installment)</t>
  </si>
  <si>
    <t>Bullet</t>
  </si>
  <si>
    <t>Opción 1</t>
  </si>
  <si>
    <t>LH</t>
  </si>
  <si>
    <t>Opción 2</t>
  </si>
  <si>
    <t>Periodo</t>
  </si>
  <si>
    <t>SI</t>
  </si>
  <si>
    <t>Cuota</t>
  </si>
  <si>
    <t>Interes (GF)</t>
  </si>
  <si>
    <t>Amorti (Devolver)</t>
  </si>
  <si>
    <t>TIR financiera</t>
  </si>
  <si>
    <t>TIR economica</t>
  </si>
  <si>
    <t xml:space="preserve"> </t>
  </si>
  <si>
    <t>Amortización Capital</t>
  </si>
  <si>
    <t>Beta apalancado</t>
  </si>
  <si>
    <t>Deuda Neta</t>
  </si>
  <si>
    <t>Otros pasivos financieros corrientes</t>
  </si>
  <si>
    <t>Otros pasivos financieros no corrientes</t>
  </si>
  <si>
    <t>Efectivo y equivalente de efectivo</t>
  </si>
  <si>
    <t>Otros activos financieros corrientes</t>
  </si>
  <si>
    <t>Fecha</t>
  </si>
  <si>
    <t>Close IPSA</t>
  </si>
  <si>
    <t>Close AA</t>
  </si>
  <si>
    <t>Retornos</t>
  </si>
  <si>
    <t>eje y es el activo, eje x es el mercado</t>
  </si>
  <si>
    <t>Beta mercado</t>
  </si>
  <si>
    <t>Desapalancar Beta</t>
  </si>
  <si>
    <t>Deudas CP</t>
  </si>
  <si>
    <t>Deudas LP</t>
  </si>
  <si>
    <t>Patrimonio</t>
  </si>
  <si>
    <t>Deuda / Patrimonio</t>
  </si>
  <si>
    <t>Beta desapalancado</t>
  </si>
  <si>
    <t>Beta comparable</t>
  </si>
  <si>
    <t>Beta apalancado del proyecto</t>
  </si>
  <si>
    <t>Deuda neta proyecto</t>
  </si>
  <si>
    <t>Beta del proyecto</t>
  </si>
  <si>
    <t>Acciones</t>
  </si>
  <si>
    <t>Valor 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</si>
</sst>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&quot;$&quot;\-#,##0"/>
    <numFmt numFmtId="42" formatCode="_ &quot;$&quot;* #,##0_ ;_ &quot;$&quot;* \-#,##0_ ;_ &quot;$&quot;* &quot;-&quot;_ ;_ @_ "/>
    <numFmt numFmtId="41" formatCode="_ * #,##0_ ;_ * \-#,##0_ ;_ * &quot;-&quot;_ ;_ @_ "/>
    <numFmt numFmtId="164" formatCode="&quot;$&quot;#,##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164" fontId="0" fillId="2" borderId="0" xfId="0" applyNumberFormat="1" applyFill="1"/>
    <xf numFmtId="41" fontId="0" fillId="2" borderId="0" xfId="1" applyFont="1" applyFill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  <xf numFmtId="0" fontId="2" fillId="2" borderId="0" xfId="0" applyFont="1" applyFill="1"/>
    <xf numFmtId="164" fontId="2" fillId="2" borderId="0" xfId="0" applyNumberFormat="1" applyFont="1" applyFill="1"/>
    <xf numFmtId="9" fontId="0" fillId="2" borderId="0" xfId="0" applyNumberFormat="1" applyFill="1"/>
    <xf numFmtId="0" fontId="0" fillId="2" borderId="0" xfId="0" applyFill="1" applyAlignment="1">
      <alignment horizontal="left" indent="1"/>
    </xf>
    <xf numFmtId="164" fontId="0" fillId="2" borderId="0" xfId="1" applyNumberFormat="1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4" fontId="0" fillId="2" borderId="7" xfId="1" applyNumberFormat="1" applyFont="1" applyFill="1" applyBorder="1"/>
    <xf numFmtId="41" fontId="0" fillId="2" borderId="8" xfId="1" applyFont="1" applyFill="1" applyBorder="1"/>
    <xf numFmtId="9" fontId="0" fillId="2" borderId="8" xfId="0" applyNumberFormat="1" applyFill="1" applyBorder="1"/>
    <xf numFmtId="164" fontId="0" fillId="2" borderId="8" xfId="0" applyNumberFormat="1" applyFill="1" applyBorder="1"/>
    <xf numFmtId="164" fontId="0" fillId="2" borderId="8" xfId="1" applyNumberFormat="1" applyFont="1" applyFill="1" applyBorder="1"/>
    <xf numFmtId="164" fontId="0" fillId="2" borderId="8" xfId="2" applyNumberFormat="1" applyFont="1" applyFill="1" applyBorder="1"/>
    <xf numFmtId="0" fontId="0" fillId="2" borderId="8" xfId="0" applyFill="1" applyBorder="1"/>
    <xf numFmtId="9" fontId="0" fillId="2" borderId="9" xfId="0" applyNumberFormat="1" applyFill="1" applyBorder="1"/>
    <xf numFmtId="41" fontId="0" fillId="2" borderId="9" xfId="1" applyFont="1" applyFill="1" applyBorder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1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6" fontId="0" fillId="0" borderId="1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3" borderId="0" xfId="0" applyFill="1"/>
    <xf numFmtId="14" fontId="0" fillId="0" borderId="0" xfId="0" applyNumberFormat="1"/>
    <xf numFmtId="4" fontId="0" fillId="0" borderId="0" xfId="0" applyNumberFormat="1"/>
    <xf numFmtId="10" fontId="0" fillId="0" borderId="0" xfId="3" applyNumberFormat="1" applyFont="1"/>
    <xf numFmtId="2" fontId="0" fillId="0" borderId="0" xfId="0" applyNumberFormat="1"/>
    <xf numFmtId="165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333375</xdr:colOff>
      <xdr:row>45</xdr:row>
      <xdr:rowOff>95250</xdr:rowOff>
    </xdr:from>
    <xdr:to>
      <xdr:col>7</xdr:col>
      <xdr:colOff>533076</xdr:colOff>
      <xdr:row>48</xdr:row>
      <xdr:rowOff>76131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9A01AC-C40D-4C28-87F3-B4984BDBA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9324975"/>
          <a:ext cx="2590476" cy="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333375</xdr:colOff>
      <xdr:row>46</xdr:row>
      <xdr:rowOff>95250</xdr:rowOff>
    </xdr:from>
    <xdr:to>
      <xdr:col>7</xdr:col>
      <xdr:colOff>533076</xdr:colOff>
      <xdr:row>49</xdr:row>
      <xdr:rowOff>76132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E3D679-7A54-4C35-B5D1-3C2BD3374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1846" y="8460921"/>
          <a:ext cx="2736073" cy="536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BFBE-E23A-479A-83A3-DB26890D9DFE}">
  <dimension ref="B1:U59"/>
  <sheetViews>
    <sheetView topLeftCell="A29" workbookViewId="0">
      <selection activeCell="C62" sqref="C62"/>
    </sheetView>
  </sheetViews>
  <sheetFormatPr baseColWidth="10" defaultColWidth="11.42578125" defaultRowHeight="15" x14ac:dyDescent="0.25"/>
  <cols>
    <col min="1" max="1" width="6.5703125" style="1" customWidth="1"/>
    <col min="2" max="2" width="5.5703125" style="1" customWidth="1"/>
    <col min="3" max="3" width="33.140625" style="1" bestFit="1" customWidth="1"/>
    <col min="4" max="4" width="12.7109375" style="1" bestFit="1" customWidth="1"/>
    <col min="5" max="6" width="11.85546875" style="1" bestFit="1" customWidth="1"/>
    <col min="7" max="13" width="12.140625" style="1" bestFit="1" customWidth="1"/>
    <col min="14" max="19" width="12.85546875" style="1" bestFit="1" customWidth="1"/>
    <col min="20" max="16384" width="11.42578125" style="1"/>
  </cols>
  <sheetData>
    <row r="1" spans="3:9" ht="15.75" thickBot="1" x14ac:dyDescent="0.3"/>
    <row r="2" spans="3:9" ht="15.75" thickBot="1" x14ac:dyDescent="0.3">
      <c r="C2" s="50" t="s">
        <v>20</v>
      </c>
      <c r="D2" s="51"/>
      <c r="F2" s="50" t="s">
        <v>48</v>
      </c>
      <c r="G2" s="52"/>
      <c r="H2" s="52"/>
      <c r="I2" s="51"/>
    </row>
    <row r="3" spans="3:9" x14ac:dyDescent="0.25">
      <c r="C3" s="14" t="s">
        <v>28</v>
      </c>
      <c r="D3" s="16">
        <v>5000</v>
      </c>
      <c r="F3" s="14" t="s">
        <v>26</v>
      </c>
      <c r="I3" s="20">
        <v>5130</v>
      </c>
    </row>
    <row r="4" spans="3:9" ht="15.75" thickBot="1" x14ac:dyDescent="0.3">
      <c r="C4" s="14" t="s">
        <v>21</v>
      </c>
      <c r="D4" s="17">
        <v>32000</v>
      </c>
      <c r="F4" s="15" t="s">
        <v>27</v>
      </c>
      <c r="G4" s="6"/>
      <c r="H4" s="6"/>
      <c r="I4" s="24">
        <v>31722</v>
      </c>
    </row>
    <row r="5" spans="3:9" x14ac:dyDescent="0.25">
      <c r="C5" s="14" t="s">
        <v>22</v>
      </c>
      <c r="D5" s="18">
        <v>0.35</v>
      </c>
    </row>
    <row r="6" spans="3:9" x14ac:dyDescent="0.25">
      <c r="C6" s="14" t="s">
        <v>23</v>
      </c>
      <c r="D6" s="18">
        <v>0.5</v>
      </c>
    </row>
    <row r="7" spans="3:9" x14ac:dyDescent="0.25">
      <c r="C7" s="14" t="s">
        <v>24</v>
      </c>
      <c r="D7" s="18">
        <v>0.75</v>
      </c>
    </row>
    <row r="8" spans="3:9" x14ac:dyDescent="0.25">
      <c r="C8" s="14" t="s">
        <v>25</v>
      </c>
      <c r="D8" s="18">
        <v>1</v>
      </c>
    </row>
    <row r="9" spans="3:9" x14ac:dyDescent="0.25">
      <c r="C9" s="14" t="s">
        <v>38</v>
      </c>
      <c r="D9" s="19">
        <v>84000000</v>
      </c>
    </row>
    <row r="10" spans="3:9" x14ac:dyDescent="0.25">
      <c r="C10" s="14" t="s">
        <v>29</v>
      </c>
      <c r="D10" s="18">
        <v>0.02</v>
      </c>
    </row>
    <row r="11" spans="3:9" x14ac:dyDescent="0.25">
      <c r="C11" s="14" t="s">
        <v>31</v>
      </c>
      <c r="D11" s="17">
        <v>180</v>
      </c>
    </row>
    <row r="12" spans="3:9" x14ac:dyDescent="0.25">
      <c r="C12" s="14" t="s">
        <v>32</v>
      </c>
      <c r="D12" s="17">
        <v>100</v>
      </c>
    </row>
    <row r="13" spans="3:9" x14ac:dyDescent="0.25">
      <c r="C13" s="14" t="s">
        <v>33</v>
      </c>
      <c r="D13" s="20">
        <v>16000000</v>
      </c>
    </row>
    <row r="14" spans="3:9" x14ac:dyDescent="0.25">
      <c r="C14" s="14" t="s">
        <v>30</v>
      </c>
      <c r="D14" s="20">
        <f>D13*6</f>
        <v>96000000</v>
      </c>
    </row>
    <row r="15" spans="3:9" x14ac:dyDescent="0.25">
      <c r="C15" s="14" t="s">
        <v>35</v>
      </c>
      <c r="D15" s="21">
        <v>50000000</v>
      </c>
    </row>
    <row r="16" spans="3:9" x14ac:dyDescent="0.25">
      <c r="C16" s="14" t="s">
        <v>34</v>
      </c>
      <c r="D16" s="22">
        <v>35</v>
      </c>
    </row>
    <row r="17" spans="2:19" x14ac:dyDescent="0.25">
      <c r="C17" s="14" t="s">
        <v>36</v>
      </c>
      <c r="D17" s="19">
        <f>(D14+D15)/D16</f>
        <v>4171428.5714285714</v>
      </c>
    </row>
    <row r="18" spans="2:19" ht="15.75" thickBot="1" x14ac:dyDescent="0.3">
      <c r="C18" s="15" t="s">
        <v>37</v>
      </c>
      <c r="D18" s="23">
        <v>0.27</v>
      </c>
    </row>
    <row r="20" spans="2:19" ht="15.75" thickBot="1" x14ac:dyDescent="0.3"/>
    <row r="21" spans="2:19" ht="15.75" thickBot="1" x14ac:dyDescent="0.3">
      <c r="B21" s="50" t="s">
        <v>52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1"/>
    </row>
    <row r="23" spans="2:19" x14ac:dyDescent="0.25">
      <c r="B23" s="13"/>
      <c r="C23" s="13" t="s">
        <v>51</v>
      </c>
      <c r="D23" s="13">
        <v>0</v>
      </c>
      <c r="E23" s="13">
        <v>1</v>
      </c>
      <c r="F23" s="13">
        <v>2</v>
      </c>
      <c r="G23" s="13">
        <v>3</v>
      </c>
      <c r="H23" s="13">
        <v>4</v>
      </c>
      <c r="I23" s="13">
        <v>5</v>
      </c>
      <c r="J23" s="13">
        <v>6</v>
      </c>
      <c r="K23" s="13">
        <v>7</v>
      </c>
      <c r="L23" s="13">
        <v>8</v>
      </c>
      <c r="M23" s="13">
        <v>9</v>
      </c>
      <c r="N23" s="13">
        <v>10</v>
      </c>
      <c r="O23" s="13">
        <v>11</v>
      </c>
      <c r="P23" s="13">
        <v>12</v>
      </c>
      <c r="Q23" s="13">
        <v>13</v>
      </c>
      <c r="R23" s="13">
        <v>14</v>
      </c>
      <c r="S23" s="13">
        <v>15</v>
      </c>
    </row>
    <row r="24" spans="2:19" x14ac:dyDescent="0.25">
      <c r="B24" s="2" t="s">
        <v>8</v>
      </c>
      <c r="C24" s="1" t="s">
        <v>9</v>
      </c>
      <c r="D24" s="3"/>
      <c r="E24" s="3">
        <f>D3*D4*D5</f>
        <v>56000000</v>
      </c>
      <c r="F24" s="3">
        <f>D3*D4*D6</f>
        <v>80000000</v>
      </c>
      <c r="G24" s="3">
        <f>D3*D4*D7</f>
        <v>120000000</v>
      </c>
      <c r="H24" s="3">
        <f>D3*D4*D8</f>
        <v>160000000</v>
      </c>
      <c r="I24" s="3">
        <f>H24</f>
        <v>160000000</v>
      </c>
      <c r="J24" s="3">
        <f t="shared" ref="J24:S24" si="0">$I$3*$I$4</f>
        <v>162733860</v>
      </c>
      <c r="K24" s="3">
        <f t="shared" si="0"/>
        <v>162733860</v>
      </c>
      <c r="L24" s="3">
        <f t="shared" si="0"/>
        <v>162733860</v>
      </c>
      <c r="M24" s="3">
        <f t="shared" si="0"/>
        <v>162733860</v>
      </c>
      <c r="N24" s="3">
        <f t="shared" si="0"/>
        <v>162733860</v>
      </c>
      <c r="O24" s="3">
        <f t="shared" si="0"/>
        <v>162733860</v>
      </c>
      <c r="P24" s="3">
        <f t="shared" si="0"/>
        <v>162733860</v>
      </c>
      <c r="Q24" s="3">
        <f t="shared" si="0"/>
        <v>162733860</v>
      </c>
      <c r="R24" s="3">
        <f t="shared" si="0"/>
        <v>162733860</v>
      </c>
      <c r="S24" s="3">
        <f t="shared" si="0"/>
        <v>162733860</v>
      </c>
    </row>
    <row r="25" spans="2:19" x14ac:dyDescent="0.25">
      <c r="B25" s="2" t="s">
        <v>10</v>
      </c>
      <c r="C25" s="1" t="s">
        <v>11</v>
      </c>
      <c r="D25" s="3"/>
      <c r="E25" s="3">
        <f>-D4*D5*(D11+D12)</f>
        <v>-3136000</v>
      </c>
      <c r="F25" s="3">
        <f>-D4*D6*(D11+D12)</f>
        <v>-4480000</v>
      </c>
      <c r="G25" s="3">
        <f>-D4*D7*(D11+D12)</f>
        <v>-6720000</v>
      </c>
      <c r="H25" s="3">
        <f>-D4*D8*(D11+D12)</f>
        <v>-8960000</v>
      </c>
      <c r="I25" s="3">
        <f>-I4*D8*(D11+D12)</f>
        <v>-8882160</v>
      </c>
      <c r="J25" s="3">
        <f>-I4*D8*(D11+D12)</f>
        <v>-8882160</v>
      </c>
      <c r="K25" s="3">
        <f>-I4*D8*(D11+D12)</f>
        <v>-8882160</v>
      </c>
      <c r="L25" s="3">
        <f>-I4*D8*(D11+D12)</f>
        <v>-8882160</v>
      </c>
      <c r="M25" s="3">
        <f>-I4*D8*(D11+D12)</f>
        <v>-8882160</v>
      </c>
      <c r="N25" s="3">
        <f>-I4*D8*(D11+D12)</f>
        <v>-8882160</v>
      </c>
      <c r="O25" s="3">
        <f>-I4*D8*(D11+D12)</f>
        <v>-8882160</v>
      </c>
      <c r="P25" s="3">
        <f>-I4*D8*(D11+D12)</f>
        <v>-8882160</v>
      </c>
      <c r="Q25" s="3">
        <f>-I4*D8*(D11+D12)</f>
        <v>-8882160</v>
      </c>
      <c r="R25" s="3">
        <f>-I4*D8*(D11+D12)</f>
        <v>-8882160</v>
      </c>
      <c r="S25" s="3">
        <f>-I4*D8*(D11+D12)</f>
        <v>-8882160</v>
      </c>
    </row>
    <row r="26" spans="2:19" x14ac:dyDescent="0.25">
      <c r="B26" s="2" t="s">
        <v>12</v>
      </c>
      <c r="C26" s="1" t="s">
        <v>0</v>
      </c>
      <c r="D26" s="3"/>
      <c r="E26" s="3">
        <f>E24+E25</f>
        <v>52864000</v>
      </c>
      <c r="F26" s="3">
        <f t="shared" ref="F26:N26" si="1">F24+F25</f>
        <v>75520000</v>
      </c>
      <c r="G26" s="3">
        <f t="shared" si="1"/>
        <v>113280000</v>
      </c>
      <c r="H26" s="3">
        <f t="shared" si="1"/>
        <v>151040000</v>
      </c>
      <c r="I26" s="3">
        <f t="shared" si="1"/>
        <v>151117840</v>
      </c>
      <c r="J26" s="3">
        <f t="shared" si="1"/>
        <v>153851700</v>
      </c>
      <c r="K26" s="3">
        <f t="shared" si="1"/>
        <v>153851700</v>
      </c>
      <c r="L26" s="3">
        <f t="shared" si="1"/>
        <v>153851700</v>
      </c>
      <c r="M26" s="3">
        <f t="shared" si="1"/>
        <v>153851700</v>
      </c>
      <c r="N26" s="3">
        <f t="shared" si="1"/>
        <v>153851700</v>
      </c>
      <c r="O26" s="3">
        <f>O24+O25</f>
        <v>153851700</v>
      </c>
      <c r="P26" s="3">
        <f t="shared" ref="P26" si="2">P24+P25</f>
        <v>153851700</v>
      </c>
      <c r="Q26" s="3">
        <f t="shared" ref="Q26" si="3">Q24+Q25</f>
        <v>153851700</v>
      </c>
      <c r="R26" s="3">
        <f t="shared" ref="R26" si="4">R24+R25</f>
        <v>153851700</v>
      </c>
      <c r="S26" s="3">
        <f t="shared" ref="S26" si="5">S24+S25</f>
        <v>153851700</v>
      </c>
    </row>
    <row r="27" spans="2:19" x14ac:dyDescent="0.25">
      <c r="B27" s="2" t="s">
        <v>10</v>
      </c>
      <c r="C27" s="1" t="s">
        <v>1</v>
      </c>
      <c r="D27" s="3"/>
      <c r="E27" s="3">
        <f>-D9</f>
        <v>-84000000</v>
      </c>
      <c r="F27" s="3">
        <f t="shared" ref="F27:S27" si="6">E27*(1+$D$10)</f>
        <v>-85680000</v>
      </c>
      <c r="G27" s="3">
        <f t="shared" si="6"/>
        <v>-87393600</v>
      </c>
      <c r="H27" s="3">
        <f t="shared" si="6"/>
        <v>-89141472</v>
      </c>
      <c r="I27" s="3">
        <f t="shared" si="6"/>
        <v>-90924301.439999998</v>
      </c>
      <c r="J27" s="3">
        <f t="shared" si="6"/>
        <v>-92742787.468799993</v>
      </c>
      <c r="K27" s="3">
        <f t="shared" si="6"/>
        <v>-94597643.218175992</v>
      </c>
      <c r="L27" s="3">
        <f t="shared" si="6"/>
        <v>-96489596.082539514</v>
      </c>
      <c r="M27" s="3">
        <f t="shared" si="6"/>
        <v>-98419388.004190311</v>
      </c>
      <c r="N27" s="3">
        <f t="shared" si="6"/>
        <v>-100387775.76427412</v>
      </c>
      <c r="O27" s="3">
        <f t="shared" si="6"/>
        <v>-102395531.2795596</v>
      </c>
      <c r="P27" s="3">
        <f t="shared" si="6"/>
        <v>-104443441.90515079</v>
      </c>
      <c r="Q27" s="3">
        <f t="shared" si="6"/>
        <v>-106532310.7432538</v>
      </c>
      <c r="R27" s="3">
        <f t="shared" si="6"/>
        <v>-108662956.95811887</v>
      </c>
      <c r="S27" s="3">
        <f t="shared" si="6"/>
        <v>-110836216.09728125</v>
      </c>
    </row>
    <row r="28" spans="2:19" x14ac:dyDescent="0.25">
      <c r="B28" s="2" t="s">
        <v>10</v>
      </c>
      <c r="C28" s="1" t="s">
        <v>4</v>
      </c>
      <c r="D28" s="3"/>
      <c r="E28" s="3">
        <f t="shared" ref="E28:S28" si="7">-$D$17</f>
        <v>-4171428.5714285714</v>
      </c>
      <c r="F28" s="3">
        <f t="shared" si="7"/>
        <v>-4171428.5714285714</v>
      </c>
      <c r="G28" s="3">
        <f t="shared" si="7"/>
        <v>-4171428.5714285714</v>
      </c>
      <c r="H28" s="3">
        <f t="shared" si="7"/>
        <v>-4171428.5714285714</v>
      </c>
      <c r="I28" s="3">
        <f t="shared" si="7"/>
        <v>-4171428.5714285714</v>
      </c>
      <c r="J28" s="3">
        <f t="shared" si="7"/>
        <v>-4171428.5714285714</v>
      </c>
      <c r="K28" s="3">
        <f t="shared" si="7"/>
        <v>-4171428.5714285714</v>
      </c>
      <c r="L28" s="3">
        <f t="shared" si="7"/>
        <v>-4171428.5714285714</v>
      </c>
      <c r="M28" s="3">
        <f t="shared" si="7"/>
        <v>-4171428.5714285714</v>
      </c>
      <c r="N28" s="3">
        <f t="shared" si="7"/>
        <v>-4171428.5714285714</v>
      </c>
      <c r="O28" s="3">
        <f t="shared" si="7"/>
        <v>-4171428.5714285714</v>
      </c>
      <c r="P28" s="3">
        <f t="shared" si="7"/>
        <v>-4171428.5714285714</v>
      </c>
      <c r="Q28" s="3">
        <f t="shared" si="7"/>
        <v>-4171428.5714285714</v>
      </c>
      <c r="R28" s="3">
        <f t="shared" si="7"/>
        <v>-4171428.5714285714</v>
      </c>
      <c r="S28" s="3">
        <f t="shared" si="7"/>
        <v>-4171428.5714285714</v>
      </c>
    </row>
    <row r="29" spans="2:19" x14ac:dyDescent="0.25">
      <c r="B29" s="2" t="s">
        <v>12</v>
      </c>
      <c r="C29" s="1" t="s">
        <v>2</v>
      </c>
      <c r="D29" s="3"/>
      <c r="E29" s="3">
        <f>E26+E27+E28</f>
        <v>-35307428.571428575</v>
      </c>
      <c r="F29" s="3">
        <f t="shared" ref="F29:N29" si="8">F26+F27+F28</f>
        <v>-14331428.571428571</v>
      </c>
      <c r="G29" s="3">
        <f t="shared" si="8"/>
        <v>21714971.428571429</v>
      </c>
      <c r="H29" s="3">
        <f t="shared" si="8"/>
        <v>57727099.428571425</v>
      </c>
      <c r="I29" s="3">
        <f t="shared" si="8"/>
        <v>56022109.988571428</v>
      </c>
      <c r="J29" s="3">
        <f t="shared" si="8"/>
        <v>56937483.959771432</v>
      </c>
      <c r="K29" s="3">
        <f t="shared" si="8"/>
        <v>55082628.210395433</v>
      </c>
      <c r="L29" s="3">
        <f t="shared" si="8"/>
        <v>53190675.346031912</v>
      </c>
      <c r="M29" s="3">
        <f t="shared" si="8"/>
        <v>51260883.424381115</v>
      </c>
      <c r="N29" s="3">
        <f t="shared" si="8"/>
        <v>49292495.664297305</v>
      </c>
      <c r="O29" s="3">
        <f>O26+O27+O28</f>
        <v>47284740.149011828</v>
      </c>
      <c r="P29" s="3">
        <f t="shared" ref="P29" si="9">P26+P27+P28</f>
        <v>45236829.523420639</v>
      </c>
      <c r="Q29" s="3">
        <f t="shared" ref="Q29" si="10">Q26+Q27+Q28</f>
        <v>43147960.685317628</v>
      </c>
      <c r="R29" s="3">
        <f t="shared" ref="R29" si="11">R26+R27+R28</f>
        <v>41017314.470452555</v>
      </c>
      <c r="S29" s="3">
        <f t="shared" ref="S29" si="12">S26+S27+S28</f>
        <v>38844055.331290178</v>
      </c>
    </row>
    <row r="30" spans="2:19" x14ac:dyDescent="0.25">
      <c r="B30" s="2" t="s">
        <v>10</v>
      </c>
      <c r="C30" s="1" t="s">
        <v>14</v>
      </c>
      <c r="D30" s="3"/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2:19" x14ac:dyDescent="0.25">
      <c r="B31" s="2" t="s">
        <v>12</v>
      </c>
      <c r="C31" s="1" t="s">
        <v>13</v>
      </c>
      <c r="D31" s="3"/>
      <c r="E31" s="3">
        <f>E29+E30</f>
        <v>-35307428.571428575</v>
      </c>
      <c r="F31" s="3">
        <f t="shared" ref="F31:N31" si="13">F29+F30</f>
        <v>-14331428.571428571</v>
      </c>
      <c r="G31" s="3">
        <f t="shared" si="13"/>
        <v>21714971.428571429</v>
      </c>
      <c r="H31" s="3">
        <f t="shared" si="13"/>
        <v>57727099.428571425</v>
      </c>
      <c r="I31" s="3">
        <f t="shared" si="13"/>
        <v>56022109.988571428</v>
      </c>
      <c r="J31" s="3">
        <f t="shared" si="13"/>
        <v>56937483.959771432</v>
      </c>
      <c r="K31" s="3">
        <f t="shared" si="13"/>
        <v>55082628.210395433</v>
      </c>
      <c r="L31" s="3">
        <f t="shared" si="13"/>
        <v>53190675.346031912</v>
      </c>
      <c r="M31" s="3">
        <f t="shared" si="13"/>
        <v>51260883.424381115</v>
      </c>
      <c r="N31" s="3">
        <f t="shared" si="13"/>
        <v>49292495.664297305</v>
      </c>
      <c r="O31" s="3">
        <f>O29+O30</f>
        <v>47284740.149011828</v>
      </c>
      <c r="P31" s="3">
        <f t="shared" ref="P31" si="14">P29+P30</f>
        <v>45236829.523420639</v>
      </c>
      <c r="Q31" s="3">
        <f t="shared" ref="Q31" si="15">Q29+Q30</f>
        <v>43147960.685317628</v>
      </c>
      <c r="R31" s="3">
        <f t="shared" ref="R31" si="16">R29+R30</f>
        <v>41017314.470452555</v>
      </c>
      <c r="S31" s="3">
        <f t="shared" ref="S31" si="17">S29+S30</f>
        <v>38844055.331290178</v>
      </c>
    </row>
    <row r="32" spans="2:19" x14ac:dyDescent="0.25">
      <c r="B32" s="2" t="s">
        <v>10</v>
      </c>
      <c r="C32" s="1" t="s">
        <v>3</v>
      </c>
      <c r="D32" s="3"/>
      <c r="E32" s="3">
        <f t="shared" ref="E32:S32" si="18">IF(E31&gt;0,-E31*$D$18,0)</f>
        <v>0</v>
      </c>
      <c r="F32" s="3">
        <f t="shared" si="18"/>
        <v>0</v>
      </c>
      <c r="G32" s="3">
        <f t="shared" si="18"/>
        <v>-5863042.2857142864</v>
      </c>
      <c r="H32" s="3">
        <f t="shared" si="18"/>
        <v>-15586316.845714286</v>
      </c>
      <c r="I32" s="3">
        <f t="shared" si="18"/>
        <v>-15125969.696914287</v>
      </c>
      <c r="J32" s="3">
        <f t="shared" si="18"/>
        <v>-15373120.669138288</v>
      </c>
      <c r="K32" s="3">
        <f t="shared" si="18"/>
        <v>-14872309.616806768</v>
      </c>
      <c r="L32" s="3">
        <f t="shared" si="18"/>
        <v>-14361482.343428617</v>
      </c>
      <c r="M32" s="3">
        <f t="shared" si="18"/>
        <v>-13840438.524582902</v>
      </c>
      <c r="N32" s="3">
        <f t="shared" si="18"/>
        <v>-13308973.829360273</v>
      </c>
      <c r="O32" s="3">
        <f t="shared" si="18"/>
        <v>-12766879.840233194</v>
      </c>
      <c r="P32" s="3">
        <f t="shared" si="18"/>
        <v>-12213943.971323574</v>
      </c>
      <c r="Q32" s="3">
        <f t="shared" si="18"/>
        <v>-11649949.385035761</v>
      </c>
      <c r="R32" s="3">
        <f t="shared" si="18"/>
        <v>-11074674.907022191</v>
      </c>
      <c r="S32" s="3">
        <f t="shared" si="18"/>
        <v>-10487894.939448349</v>
      </c>
    </row>
    <row r="33" spans="2:21" x14ac:dyDescent="0.25">
      <c r="B33" s="2" t="s">
        <v>12</v>
      </c>
      <c r="C33" s="1" t="s">
        <v>15</v>
      </c>
      <c r="D33" s="3"/>
      <c r="E33" s="3">
        <f>E31+E32</f>
        <v>-35307428.571428575</v>
      </c>
      <c r="F33" s="3">
        <f t="shared" ref="F33:S33" si="19">F31+F32</f>
        <v>-14331428.571428571</v>
      </c>
      <c r="G33" s="3">
        <f t="shared" si="19"/>
        <v>15851929.142857142</v>
      </c>
      <c r="H33" s="3">
        <f t="shared" si="19"/>
        <v>42140782.582857139</v>
      </c>
      <c r="I33" s="3">
        <f t="shared" si="19"/>
        <v>40896140.291657142</v>
      </c>
      <c r="J33" s="3">
        <f t="shared" si="19"/>
        <v>41564363.290633142</v>
      </c>
      <c r="K33" s="3">
        <f t="shared" si="19"/>
        <v>40210318.593588665</v>
      </c>
      <c r="L33" s="3">
        <f t="shared" si="19"/>
        <v>38829193.002603292</v>
      </c>
      <c r="M33" s="3">
        <f t="shared" si="19"/>
        <v>37420444.899798214</v>
      </c>
      <c r="N33" s="3">
        <f t="shared" si="19"/>
        <v>35983521.834937036</v>
      </c>
      <c r="O33" s="3">
        <f t="shared" si="19"/>
        <v>34517860.308778636</v>
      </c>
      <c r="P33" s="3">
        <f t="shared" si="19"/>
        <v>33022885.552097067</v>
      </c>
      <c r="Q33" s="3">
        <f t="shared" si="19"/>
        <v>31498011.300281867</v>
      </c>
      <c r="R33" s="3">
        <f t="shared" si="19"/>
        <v>29942639.563430361</v>
      </c>
      <c r="S33" s="3">
        <f t="shared" si="19"/>
        <v>28356160.391841829</v>
      </c>
    </row>
    <row r="34" spans="2:21" x14ac:dyDescent="0.25">
      <c r="B34" s="2" t="s">
        <v>8</v>
      </c>
      <c r="C34" s="1" t="s">
        <v>16</v>
      </c>
      <c r="D34" s="3"/>
      <c r="E34" s="3">
        <f>-E28</f>
        <v>4171428.5714285714</v>
      </c>
      <c r="F34" s="3">
        <f t="shared" ref="F34:S34" si="20">-F28</f>
        <v>4171428.5714285714</v>
      </c>
      <c r="G34" s="3">
        <f t="shared" si="20"/>
        <v>4171428.5714285714</v>
      </c>
      <c r="H34" s="3">
        <f t="shared" si="20"/>
        <v>4171428.5714285714</v>
      </c>
      <c r="I34" s="3">
        <f t="shared" si="20"/>
        <v>4171428.5714285714</v>
      </c>
      <c r="J34" s="3">
        <f t="shared" si="20"/>
        <v>4171428.5714285714</v>
      </c>
      <c r="K34" s="3">
        <f t="shared" si="20"/>
        <v>4171428.5714285714</v>
      </c>
      <c r="L34" s="3">
        <f t="shared" si="20"/>
        <v>4171428.5714285714</v>
      </c>
      <c r="M34" s="3">
        <f t="shared" si="20"/>
        <v>4171428.5714285714</v>
      </c>
      <c r="N34" s="3">
        <f t="shared" si="20"/>
        <v>4171428.5714285714</v>
      </c>
      <c r="O34" s="3">
        <f t="shared" si="20"/>
        <v>4171428.5714285714</v>
      </c>
      <c r="P34" s="3">
        <f t="shared" si="20"/>
        <v>4171428.5714285714</v>
      </c>
      <c r="Q34" s="3">
        <f t="shared" si="20"/>
        <v>4171428.5714285714</v>
      </c>
      <c r="R34" s="3">
        <f t="shared" si="20"/>
        <v>4171428.5714285714</v>
      </c>
      <c r="S34" s="3">
        <f t="shared" si="20"/>
        <v>4171428.5714285714</v>
      </c>
    </row>
    <row r="35" spans="2:21" x14ac:dyDescent="0.25">
      <c r="B35" s="2" t="s">
        <v>10</v>
      </c>
      <c r="C35" s="1" t="s">
        <v>17</v>
      </c>
      <c r="D35" s="3">
        <v>-44000000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21" x14ac:dyDescent="0.25">
      <c r="B36" s="2" t="s">
        <v>8</v>
      </c>
      <c r="C36" s="1" t="s">
        <v>18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S36" s="3">
        <f>-D35</f>
        <v>44000000</v>
      </c>
    </row>
    <row r="37" spans="2:21" x14ac:dyDescent="0.25">
      <c r="B37" s="2" t="s">
        <v>10</v>
      </c>
      <c r="C37" s="1" t="s">
        <v>5</v>
      </c>
      <c r="D37" s="3">
        <v>-146000000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21" x14ac:dyDescent="0.25">
      <c r="B38" s="2" t="s">
        <v>8</v>
      </c>
      <c r="C38" s="1" t="s">
        <v>19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21" ht="15.75" thickBot="1" x14ac:dyDescent="0.3">
      <c r="B39" s="5" t="s">
        <v>8</v>
      </c>
      <c r="C39" s="6" t="s">
        <v>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6"/>
      <c r="P39" s="6"/>
      <c r="Q39" s="6"/>
      <c r="R39" s="6"/>
      <c r="S39" s="7">
        <f>D59</f>
        <v>342819007.42535818</v>
      </c>
    </row>
    <row r="40" spans="2:21" x14ac:dyDescent="0.25">
      <c r="B40" s="2" t="s">
        <v>12</v>
      </c>
      <c r="C40" s="8" t="s">
        <v>7</v>
      </c>
      <c r="D40" s="9">
        <f>D35+D37</f>
        <v>-190000000</v>
      </c>
      <c r="E40" s="9">
        <f>E33+E34</f>
        <v>-31136000.000000004</v>
      </c>
      <c r="F40" s="9">
        <f t="shared" ref="F40:R40" si="21">F33+F34</f>
        <v>-10160000</v>
      </c>
      <c r="G40" s="9">
        <f t="shared" si="21"/>
        <v>20023357.714285713</v>
      </c>
      <c r="H40" s="9">
        <f t="shared" si="21"/>
        <v>46312211.154285714</v>
      </c>
      <c r="I40" s="9">
        <f t="shared" si="21"/>
        <v>45067568.863085717</v>
      </c>
      <c r="J40" s="9">
        <f t="shared" si="21"/>
        <v>45735791.862061717</v>
      </c>
      <c r="K40" s="9">
        <f t="shared" si="21"/>
        <v>44381747.16501724</v>
      </c>
      <c r="L40" s="9">
        <f t="shared" si="21"/>
        <v>43000621.574031867</v>
      </c>
      <c r="M40" s="9">
        <f t="shared" si="21"/>
        <v>41591873.471226789</v>
      </c>
      <c r="N40" s="9">
        <f t="shared" si="21"/>
        <v>40154950.406365611</v>
      </c>
      <c r="O40" s="9">
        <f t="shared" si="21"/>
        <v>38689288.880207211</v>
      </c>
      <c r="P40" s="9">
        <f t="shared" si="21"/>
        <v>37194314.123525642</v>
      </c>
      <c r="Q40" s="9">
        <f t="shared" si="21"/>
        <v>35669439.871710442</v>
      </c>
      <c r="R40" s="9">
        <f t="shared" si="21"/>
        <v>34114068.134858936</v>
      </c>
      <c r="S40" s="9">
        <f>S33+S34+S36+S39</f>
        <v>419346596.3886286</v>
      </c>
      <c r="U40" s="10"/>
    </row>
    <row r="42" spans="2:21" x14ac:dyDescent="0.25">
      <c r="C42" s="8" t="s">
        <v>73</v>
      </c>
      <c r="D42" s="10">
        <f>IRR(D40:S40)</f>
        <v>0.14227559890857155</v>
      </c>
    </row>
    <row r="43" spans="2:21" x14ac:dyDescent="0.25">
      <c r="C43" s="8" t="s">
        <v>74</v>
      </c>
      <c r="D43" s="12">
        <f>NPV(D49,E40:S40)+D40</f>
        <v>44336341.424821526</v>
      </c>
      <c r="E43" s="1" t="s">
        <v>56</v>
      </c>
    </row>
    <row r="45" spans="2:21" x14ac:dyDescent="0.25">
      <c r="C45" s="8" t="s">
        <v>49</v>
      </c>
    </row>
    <row r="46" spans="2:21" x14ac:dyDescent="0.25">
      <c r="C46" s="11" t="s">
        <v>39</v>
      </c>
      <c r="D46" s="3">
        <f>S29</f>
        <v>38844055.331290178</v>
      </c>
    </row>
    <row r="47" spans="2:21" x14ac:dyDescent="0.25">
      <c r="C47" s="11" t="s">
        <v>40</v>
      </c>
      <c r="D47" s="3">
        <f>-S28</f>
        <v>4171428.5714285714</v>
      </c>
    </row>
    <row r="48" spans="2:21" x14ac:dyDescent="0.25">
      <c r="C48" s="11" t="s">
        <v>41</v>
      </c>
      <c r="D48" s="10">
        <v>0.02</v>
      </c>
    </row>
    <row r="49" spans="3:5" x14ac:dyDescent="0.25">
      <c r="C49" s="11" t="s">
        <v>42</v>
      </c>
      <c r="D49" s="10">
        <v>0.12</v>
      </c>
    </row>
    <row r="52" spans="3:5" x14ac:dyDescent="0.25">
      <c r="C52" s="8" t="s">
        <v>6</v>
      </c>
    </row>
    <row r="53" spans="3:5" x14ac:dyDescent="0.25">
      <c r="C53" s="11" t="s">
        <v>45</v>
      </c>
      <c r="D53" s="3">
        <f>(D46+D47)*(1+D48) / (D49-D48)</f>
        <v>438757935.80773133</v>
      </c>
      <c r="E53" s="1" t="s">
        <v>50</v>
      </c>
    </row>
    <row r="54" spans="3:5" x14ac:dyDescent="0.25">
      <c r="C54" s="11" t="s">
        <v>43</v>
      </c>
      <c r="D54" s="3">
        <f>-D37+SUM(E28:S28)</f>
        <v>83428571.428571403</v>
      </c>
      <c r="E54" s="1" t="s">
        <v>53</v>
      </c>
    </row>
    <row r="55" spans="3:5" x14ac:dyDescent="0.25">
      <c r="C55" s="11" t="s">
        <v>44</v>
      </c>
      <c r="D55" s="3">
        <f>D53-D54</f>
        <v>355329364.37915993</v>
      </c>
      <c r="E55" s="1" t="s">
        <v>46</v>
      </c>
    </row>
    <row r="56" spans="3:5" x14ac:dyDescent="0.25">
      <c r="C56" s="11" t="s">
        <v>37</v>
      </c>
      <c r="D56" s="3">
        <f>D55*27%</f>
        <v>95938928.382373184</v>
      </c>
    </row>
    <row r="57" spans="3:5" x14ac:dyDescent="0.25">
      <c r="C57" s="11" t="s">
        <v>47</v>
      </c>
      <c r="D57" s="3">
        <f>D55-D56</f>
        <v>259390435.99678674</v>
      </c>
    </row>
    <row r="58" spans="3:5" x14ac:dyDescent="0.25">
      <c r="C58" s="11" t="s">
        <v>43</v>
      </c>
      <c r="D58" s="3">
        <f>D54</f>
        <v>83428571.428571403</v>
      </c>
      <c r="E58" s="1" t="s">
        <v>54</v>
      </c>
    </row>
    <row r="59" spans="3:5" x14ac:dyDescent="0.25">
      <c r="C59" s="11" t="s">
        <v>6</v>
      </c>
      <c r="D59" s="3">
        <f>D57+D58</f>
        <v>342819007.42535818</v>
      </c>
    </row>
  </sheetData>
  <mergeCells count="3">
    <mergeCell ref="C2:D2"/>
    <mergeCell ref="B21:S21"/>
    <mergeCell ref="F2:I2"/>
  </mergeCells>
  <conditionalFormatting sqref="D24:S34 D35:N39 D40:S40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ignoredErrors>
    <ignoredError sqref="E32:S3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D6F0-53DE-4DD9-BB60-E4D276103393}">
  <dimension ref="B1:U64"/>
  <sheetViews>
    <sheetView tabSelected="1" topLeftCell="A21" workbookViewId="0">
      <selection activeCell="D64" sqref="D64"/>
    </sheetView>
  </sheetViews>
  <sheetFormatPr baseColWidth="10" defaultColWidth="11.42578125" defaultRowHeight="15" x14ac:dyDescent="0.25"/>
  <cols>
    <col min="1" max="1" width="6.5703125" style="1" customWidth="1"/>
    <col min="2" max="2" width="5.5703125" style="1" customWidth="1"/>
    <col min="3" max="3" width="33.140625" style="1" bestFit="1" customWidth="1"/>
    <col min="4" max="4" width="12.7109375" style="1" bestFit="1" customWidth="1"/>
    <col min="5" max="6" width="11.85546875" style="1" bestFit="1" customWidth="1"/>
    <col min="7" max="13" width="12.140625" style="1" bestFit="1" customWidth="1"/>
    <col min="14" max="19" width="12.85546875" style="1" bestFit="1" customWidth="1"/>
    <col min="20" max="16384" width="11.42578125" style="1"/>
  </cols>
  <sheetData>
    <row r="1" spans="3:9" ht="15.75" thickBot="1" x14ac:dyDescent="0.3"/>
    <row r="2" spans="3:9" ht="15.75" thickBot="1" x14ac:dyDescent="0.3">
      <c r="C2" s="50" t="s">
        <v>20</v>
      </c>
      <c r="D2" s="51"/>
      <c r="F2" s="50" t="s">
        <v>48</v>
      </c>
      <c r="G2" s="52"/>
      <c r="H2" s="52"/>
      <c r="I2" s="51"/>
    </row>
    <row r="3" spans="3:9" x14ac:dyDescent="0.25">
      <c r="C3" s="14" t="s">
        <v>28</v>
      </c>
      <c r="D3" s="16">
        <v>5000</v>
      </c>
      <c r="F3" s="14" t="s">
        <v>26</v>
      </c>
      <c r="I3" s="20">
        <v>5130</v>
      </c>
    </row>
    <row r="4" spans="3:9" ht="15.75" thickBot="1" x14ac:dyDescent="0.3">
      <c r="C4" s="14" t="s">
        <v>21</v>
      </c>
      <c r="D4" s="17">
        <v>32000</v>
      </c>
      <c r="F4" s="15" t="s">
        <v>27</v>
      </c>
      <c r="G4" s="6"/>
      <c r="H4" s="6"/>
      <c r="I4" s="24">
        <v>31722</v>
      </c>
    </row>
    <row r="5" spans="3:9" x14ac:dyDescent="0.25">
      <c r="C5" s="14" t="s">
        <v>22</v>
      </c>
      <c r="D5" s="18">
        <v>0.35</v>
      </c>
    </row>
    <row r="6" spans="3:9" x14ac:dyDescent="0.25">
      <c r="C6" s="14" t="s">
        <v>23</v>
      </c>
      <c r="D6" s="18">
        <v>0.5</v>
      </c>
    </row>
    <row r="7" spans="3:9" x14ac:dyDescent="0.25">
      <c r="C7" s="14" t="s">
        <v>24</v>
      </c>
      <c r="D7" s="18">
        <v>0.75</v>
      </c>
    </row>
    <row r="8" spans="3:9" x14ac:dyDescent="0.25">
      <c r="C8" s="14" t="s">
        <v>25</v>
      </c>
      <c r="D8" s="18">
        <v>1</v>
      </c>
    </row>
    <row r="9" spans="3:9" x14ac:dyDescent="0.25">
      <c r="C9" s="14" t="s">
        <v>38</v>
      </c>
      <c r="D9" s="19">
        <v>84000000</v>
      </c>
    </row>
    <row r="10" spans="3:9" x14ac:dyDescent="0.25">
      <c r="C10" s="14" t="s">
        <v>29</v>
      </c>
      <c r="D10" s="18">
        <v>0.02</v>
      </c>
    </row>
    <row r="11" spans="3:9" x14ac:dyDescent="0.25">
      <c r="C11" s="14" t="s">
        <v>31</v>
      </c>
      <c r="D11" s="17">
        <v>180</v>
      </c>
    </row>
    <row r="12" spans="3:9" x14ac:dyDescent="0.25">
      <c r="C12" s="14" t="s">
        <v>32</v>
      </c>
      <c r="D12" s="17">
        <v>100</v>
      </c>
    </row>
    <row r="13" spans="3:9" x14ac:dyDescent="0.25">
      <c r="C13" s="14" t="s">
        <v>33</v>
      </c>
      <c r="D13" s="20">
        <v>16000000</v>
      </c>
    </row>
    <row r="14" spans="3:9" x14ac:dyDescent="0.25">
      <c r="C14" s="14" t="s">
        <v>30</v>
      </c>
      <c r="D14" s="20">
        <f>D13*6</f>
        <v>96000000</v>
      </c>
    </row>
    <row r="15" spans="3:9" x14ac:dyDescent="0.25">
      <c r="C15" s="14" t="s">
        <v>35</v>
      </c>
      <c r="D15" s="21">
        <v>50000000</v>
      </c>
    </row>
    <row r="16" spans="3:9" x14ac:dyDescent="0.25">
      <c r="C16" s="14" t="s">
        <v>34</v>
      </c>
      <c r="D16" s="22">
        <v>35</v>
      </c>
    </row>
    <row r="17" spans="2:19" x14ac:dyDescent="0.25">
      <c r="C17" s="14" t="s">
        <v>36</v>
      </c>
      <c r="D17" s="19">
        <f>(D14+D15)/D16</f>
        <v>4171428.5714285714</v>
      </c>
    </row>
    <row r="18" spans="2:19" ht="15.75" thickBot="1" x14ac:dyDescent="0.3">
      <c r="C18" s="15" t="s">
        <v>37</v>
      </c>
      <c r="D18" s="23">
        <v>0.27</v>
      </c>
    </row>
    <row r="20" spans="2:19" ht="15.75" thickBot="1" x14ac:dyDescent="0.3"/>
    <row r="21" spans="2:19" ht="15.75" thickBot="1" x14ac:dyDescent="0.3">
      <c r="B21" s="50" t="s">
        <v>52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1"/>
    </row>
    <row r="23" spans="2:19" x14ac:dyDescent="0.25">
      <c r="B23" s="13"/>
      <c r="C23" s="13" t="s">
        <v>51</v>
      </c>
      <c r="D23" s="13">
        <v>0</v>
      </c>
      <c r="E23" s="13">
        <v>1</v>
      </c>
      <c r="F23" s="13">
        <v>2</v>
      </c>
      <c r="G23" s="13">
        <v>3</v>
      </c>
      <c r="H23" s="13">
        <v>4</v>
      </c>
      <c r="I23" s="13">
        <v>5</v>
      </c>
      <c r="J23" s="13">
        <v>6</v>
      </c>
      <c r="K23" s="13">
        <v>7</v>
      </c>
      <c r="L23" s="13">
        <v>8</v>
      </c>
      <c r="M23" s="13">
        <v>9</v>
      </c>
      <c r="N23" s="13">
        <v>10</v>
      </c>
      <c r="O23" s="13">
        <v>11</v>
      </c>
      <c r="P23" s="13">
        <v>12</v>
      </c>
      <c r="Q23" s="13">
        <v>13</v>
      </c>
      <c r="R23" s="13">
        <v>14</v>
      </c>
      <c r="S23" s="13">
        <v>15</v>
      </c>
    </row>
    <row r="24" spans="2:19" x14ac:dyDescent="0.25">
      <c r="B24" s="2" t="s">
        <v>8</v>
      </c>
      <c r="C24" s="1" t="s">
        <v>9</v>
      </c>
      <c r="D24" s="3"/>
      <c r="E24" s="3">
        <f>D3*D4*D5</f>
        <v>56000000</v>
      </c>
      <c r="F24" s="3">
        <f>D3*D4*D6</f>
        <v>80000000</v>
      </c>
      <c r="G24" s="3">
        <f>D3*D4*D7</f>
        <v>120000000</v>
      </c>
      <c r="H24" s="3">
        <f>D3*D4*D8</f>
        <v>160000000</v>
      </c>
      <c r="I24" s="3">
        <f>H24</f>
        <v>160000000</v>
      </c>
      <c r="J24" s="3">
        <f t="shared" ref="J24:S24" si="0">$I$3*$I$4</f>
        <v>162733860</v>
      </c>
      <c r="K24" s="3">
        <f t="shared" si="0"/>
        <v>162733860</v>
      </c>
      <c r="L24" s="3">
        <f t="shared" si="0"/>
        <v>162733860</v>
      </c>
      <c r="M24" s="3">
        <f t="shared" si="0"/>
        <v>162733860</v>
      </c>
      <c r="N24" s="3">
        <f t="shared" si="0"/>
        <v>162733860</v>
      </c>
      <c r="O24" s="3">
        <f t="shared" si="0"/>
        <v>162733860</v>
      </c>
      <c r="P24" s="3">
        <f t="shared" si="0"/>
        <v>162733860</v>
      </c>
      <c r="Q24" s="3">
        <f t="shared" si="0"/>
        <v>162733860</v>
      </c>
      <c r="R24" s="3">
        <f t="shared" si="0"/>
        <v>162733860</v>
      </c>
      <c r="S24" s="3">
        <f t="shared" si="0"/>
        <v>162733860</v>
      </c>
    </row>
    <row r="25" spans="2:19" x14ac:dyDescent="0.25">
      <c r="B25" s="2" t="s">
        <v>10</v>
      </c>
      <c r="C25" s="1" t="s">
        <v>11</v>
      </c>
      <c r="D25" s="3"/>
      <c r="E25" s="3">
        <f>-D4*D5*(D11+D12)</f>
        <v>-3136000</v>
      </c>
      <c r="F25" s="3">
        <f>-D4*D6*(D11+D12)</f>
        <v>-4480000</v>
      </c>
      <c r="G25" s="3">
        <f>-D4*D7*(D11+D12)</f>
        <v>-6720000</v>
      </c>
      <c r="H25" s="3">
        <f>-D4*D8*(D11+D12)</f>
        <v>-8960000</v>
      </c>
      <c r="I25" s="3">
        <f>-I4*D8*(D11+D12)</f>
        <v>-8882160</v>
      </c>
      <c r="J25" s="3">
        <f>-I4*D8*(D11+D12)</f>
        <v>-8882160</v>
      </c>
      <c r="K25" s="3">
        <f>-I4*D8*(D11+D12)</f>
        <v>-8882160</v>
      </c>
      <c r="L25" s="3">
        <f>-I4*D8*(D11+D12)</f>
        <v>-8882160</v>
      </c>
      <c r="M25" s="3">
        <f>-I4*D8*(D11+D12)</f>
        <v>-8882160</v>
      </c>
      <c r="N25" s="3">
        <f>-I4*D8*(D11+D12)</f>
        <v>-8882160</v>
      </c>
      <c r="O25" s="3">
        <f>-I4*D8*(D11+D12)</f>
        <v>-8882160</v>
      </c>
      <c r="P25" s="3">
        <f>-I4*D8*(D11+D12)</f>
        <v>-8882160</v>
      </c>
      <c r="Q25" s="3">
        <f>-I4*D8*(D11+D12)</f>
        <v>-8882160</v>
      </c>
      <c r="R25" s="3">
        <f>-I4*D8*(D11+D12)</f>
        <v>-8882160</v>
      </c>
      <c r="S25" s="3">
        <f>-I4*D8*(D11+D12)</f>
        <v>-8882160</v>
      </c>
    </row>
    <row r="26" spans="2:19" x14ac:dyDescent="0.25">
      <c r="B26" s="2" t="s">
        <v>12</v>
      </c>
      <c r="C26" s="1" t="s">
        <v>0</v>
      </c>
      <c r="D26" s="3"/>
      <c r="E26" s="3">
        <f>E24+E25</f>
        <v>52864000</v>
      </c>
      <c r="F26" s="3">
        <f t="shared" ref="F26:N26" si="1">F24+F25</f>
        <v>75520000</v>
      </c>
      <c r="G26" s="3">
        <f t="shared" si="1"/>
        <v>113280000</v>
      </c>
      <c r="H26" s="3">
        <f t="shared" si="1"/>
        <v>151040000</v>
      </c>
      <c r="I26" s="3">
        <f t="shared" si="1"/>
        <v>151117840</v>
      </c>
      <c r="J26" s="3">
        <f t="shared" si="1"/>
        <v>153851700</v>
      </c>
      <c r="K26" s="3">
        <f t="shared" si="1"/>
        <v>153851700</v>
      </c>
      <c r="L26" s="3">
        <f t="shared" si="1"/>
        <v>153851700</v>
      </c>
      <c r="M26" s="3">
        <f t="shared" si="1"/>
        <v>153851700</v>
      </c>
      <c r="N26" s="3">
        <f t="shared" si="1"/>
        <v>153851700</v>
      </c>
      <c r="O26" s="3">
        <f>O24+O25</f>
        <v>153851700</v>
      </c>
      <c r="P26" s="3">
        <f t="shared" ref="P26:S26" si="2">P24+P25</f>
        <v>153851700</v>
      </c>
      <c r="Q26" s="3">
        <f t="shared" si="2"/>
        <v>153851700</v>
      </c>
      <c r="R26" s="3">
        <f t="shared" si="2"/>
        <v>153851700</v>
      </c>
      <c r="S26" s="3">
        <f t="shared" si="2"/>
        <v>153851700</v>
      </c>
    </row>
    <row r="27" spans="2:19" x14ac:dyDescent="0.25">
      <c r="B27" s="2" t="s">
        <v>10</v>
      </c>
      <c r="C27" s="1" t="s">
        <v>1</v>
      </c>
      <c r="D27" s="3"/>
      <c r="E27" s="3">
        <f>-D9</f>
        <v>-84000000</v>
      </c>
      <c r="F27" s="3">
        <f t="shared" ref="F27:S27" si="3">E27*(1+$D$10)</f>
        <v>-85680000</v>
      </c>
      <c r="G27" s="3">
        <f t="shared" si="3"/>
        <v>-87393600</v>
      </c>
      <c r="H27" s="3">
        <f t="shared" si="3"/>
        <v>-89141472</v>
      </c>
      <c r="I27" s="3">
        <f t="shared" si="3"/>
        <v>-90924301.439999998</v>
      </c>
      <c r="J27" s="3">
        <f t="shared" si="3"/>
        <v>-92742787.468799993</v>
      </c>
      <c r="K27" s="3">
        <f t="shared" si="3"/>
        <v>-94597643.218175992</v>
      </c>
      <c r="L27" s="3">
        <f t="shared" si="3"/>
        <v>-96489596.082539514</v>
      </c>
      <c r="M27" s="3">
        <f t="shared" si="3"/>
        <v>-98419388.004190311</v>
      </c>
      <c r="N27" s="3">
        <f t="shared" si="3"/>
        <v>-100387775.76427412</v>
      </c>
      <c r="O27" s="3">
        <f t="shared" si="3"/>
        <v>-102395531.2795596</v>
      </c>
      <c r="P27" s="3">
        <f t="shared" si="3"/>
        <v>-104443441.90515079</v>
      </c>
      <c r="Q27" s="3">
        <f t="shared" si="3"/>
        <v>-106532310.7432538</v>
      </c>
      <c r="R27" s="3">
        <f t="shared" si="3"/>
        <v>-108662956.95811887</v>
      </c>
      <c r="S27" s="3">
        <f t="shared" si="3"/>
        <v>-110836216.09728125</v>
      </c>
    </row>
    <row r="28" spans="2:19" x14ac:dyDescent="0.25">
      <c r="B28" s="2" t="s">
        <v>10</v>
      </c>
      <c r="C28" s="1" t="s">
        <v>4</v>
      </c>
      <c r="D28" s="3"/>
      <c r="E28" s="3">
        <f t="shared" ref="E28:S28" si="4">-$D$17</f>
        <v>-4171428.5714285714</v>
      </c>
      <c r="F28" s="3">
        <f t="shared" si="4"/>
        <v>-4171428.5714285714</v>
      </c>
      <c r="G28" s="3">
        <f t="shared" si="4"/>
        <v>-4171428.5714285714</v>
      </c>
      <c r="H28" s="3">
        <f t="shared" si="4"/>
        <v>-4171428.5714285714</v>
      </c>
      <c r="I28" s="3">
        <f t="shared" si="4"/>
        <v>-4171428.5714285714</v>
      </c>
      <c r="J28" s="3">
        <f t="shared" si="4"/>
        <v>-4171428.5714285714</v>
      </c>
      <c r="K28" s="3">
        <f t="shared" si="4"/>
        <v>-4171428.5714285714</v>
      </c>
      <c r="L28" s="3">
        <f t="shared" si="4"/>
        <v>-4171428.5714285714</v>
      </c>
      <c r="M28" s="3">
        <f t="shared" si="4"/>
        <v>-4171428.5714285714</v>
      </c>
      <c r="N28" s="3">
        <f t="shared" si="4"/>
        <v>-4171428.5714285714</v>
      </c>
      <c r="O28" s="3">
        <f t="shared" si="4"/>
        <v>-4171428.5714285714</v>
      </c>
      <c r="P28" s="3">
        <f t="shared" si="4"/>
        <v>-4171428.5714285714</v>
      </c>
      <c r="Q28" s="3">
        <f t="shared" si="4"/>
        <v>-4171428.5714285714</v>
      </c>
      <c r="R28" s="3">
        <f t="shared" si="4"/>
        <v>-4171428.5714285714</v>
      </c>
      <c r="S28" s="3">
        <f t="shared" si="4"/>
        <v>-4171428.5714285714</v>
      </c>
    </row>
    <row r="29" spans="2:19" x14ac:dyDescent="0.25">
      <c r="B29" s="2" t="s">
        <v>12</v>
      </c>
      <c r="C29" s="1" t="s">
        <v>2</v>
      </c>
      <c r="D29" s="3"/>
      <c r="E29" s="3">
        <f>E26+E27+E28</f>
        <v>-35307428.571428575</v>
      </c>
      <c r="F29" s="3">
        <f t="shared" ref="F29:N29" si="5">F26+F27+F28</f>
        <v>-14331428.571428571</v>
      </c>
      <c r="G29" s="3">
        <f t="shared" si="5"/>
        <v>21714971.428571429</v>
      </c>
      <c r="H29" s="3">
        <f t="shared" si="5"/>
        <v>57727099.428571425</v>
      </c>
      <c r="I29" s="3">
        <f t="shared" si="5"/>
        <v>56022109.988571428</v>
      </c>
      <c r="J29" s="3">
        <f t="shared" si="5"/>
        <v>56937483.959771432</v>
      </c>
      <c r="K29" s="3">
        <f t="shared" si="5"/>
        <v>55082628.210395433</v>
      </c>
      <c r="L29" s="3">
        <f t="shared" si="5"/>
        <v>53190675.346031912</v>
      </c>
      <c r="M29" s="3">
        <f t="shared" si="5"/>
        <v>51260883.424381115</v>
      </c>
      <c r="N29" s="3">
        <f t="shared" si="5"/>
        <v>49292495.664297305</v>
      </c>
      <c r="O29" s="3">
        <f>O26+O27+O28</f>
        <v>47284740.149011828</v>
      </c>
      <c r="P29" s="3">
        <f t="shared" ref="P29:S29" si="6">P26+P27+P28</f>
        <v>45236829.523420639</v>
      </c>
      <c r="Q29" s="3">
        <f t="shared" si="6"/>
        <v>43147960.685317628</v>
      </c>
      <c r="R29" s="3">
        <f t="shared" si="6"/>
        <v>41017314.470452555</v>
      </c>
      <c r="S29" s="3">
        <f t="shared" si="6"/>
        <v>38844055.331290178</v>
      </c>
    </row>
    <row r="30" spans="2:19" x14ac:dyDescent="0.25">
      <c r="B30" s="2" t="s">
        <v>10</v>
      </c>
      <c r="C30" s="1" t="s">
        <v>14</v>
      </c>
      <c r="D30" s="3"/>
      <c r="E30" s="4">
        <f>'Parte 1'!O16</f>
        <v>-6000000</v>
      </c>
      <c r="F30" s="4">
        <f>'Parte 1'!P16</f>
        <v>-5544792.2506776964</v>
      </c>
      <c r="G30" s="4">
        <f>'Parte 1'!Q16</f>
        <v>-5062272.0363960555</v>
      </c>
      <c r="H30" s="4">
        <f>'Parte 1'!R16</f>
        <v>-4550800.6092575155</v>
      </c>
      <c r="I30" s="4">
        <f>'Parte 1'!S16</f>
        <v>-4008640.8964906638</v>
      </c>
      <c r="J30" s="4">
        <f>'Parte 1'!T16</f>
        <v>-3433951.6009578006</v>
      </c>
      <c r="K30" s="4">
        <f>'Parte 1'!U16</f>
        <v>-2824780.9476929656</v>
      </c>
      <c r="L30" s="4">
        <f>'Parte 1'!V16</f>
        <v>-2179060.0552322404</v>
      </c>
      <c r="M30" s="4">
        <f>'Parte 1'!W16</f>
        <v>-1494595.9092238718</v>
      </c>
      <c r="N30" s="4">
        <f>'Parte 1'!X16</f>
        <v>-769063.91445500113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2:19" x14ac:dyDescent="0.25">
      <c r="B31" s="2" t="s">
        <v>12</v>
      </c>
      <c r="C31" s="1" t="s">
        <v>13</v>
      </c>
      <c r="D31" s="3"/>
      <c r="E31" s="3">
        <f>E29+E30</f>
        <v>-41307428.571428575</v>
      </c>
      <c r="F31" s="3">
        <f t="shared" ref="F31:N31" si="7">F29+F30</f>
        <v>-19876220.822106268</v>
      </c>
      <c r="G31" s="3">
        <f t="shared" si="7"/>
        <v>16652699.392175373</v>
      </c>
      <c r="H31" s="3">
        <f t="shared" si="7"/>
        <v>53176298.819313914</v>
      </c>
      <c r="I31" s="3">
        <f t="shared" si="7"/>
        <v>52013469.092080764</v>
      </c>
      <c r="J31" s="3">
        <f t="shared" si="7"/>
        <v>53503532.358813629</v>
      </c>
      <c r="K31" s="3">
        <f t="shared" si="7"/>
        <v>52257847.262702465</v>
      </c>
      <c r="L31" s="3">
        <f t="shared" si="7"/>
        <v>51011615.29079967</v>
      </c>
      <c r="M31" s="3">
        <f t="shared" si="7"/>
        <v>49766287.515157245</v>
      </c>
      <c r="N31" s="3">
        <f t="shared" si="7"/>
        <v>48523431.749842301</v>
      </c>
      <c r="O31" s="3">
        <f>O29+O30</f>
        <v>47284740.149011828</v>
      </c>
      <c r="P31" s="3">
        <f t="shared" ref="P31:S31" si="8">P29+P30</f>
        <v>45236829.523420639</v>
      </c>
      <c r="Q31" s="3">
        <f t="shared" si="8"/>
        <v>43147960.685317628</v>
      </c>
      <c r="R31" s="3">
        <f t="shared" si="8"/>
        <v>41017314.470452555</v>
      </c>
      <c r="S31" s="3">
        <f t="shared" si="8"/>
        <v>38844055.331290178</v>
      </c>
    </row>
    <row r="32" spans="2:19" x14ac:dyDescent="0.25">
      <c r="B32" s="2" t="s">
        <v>10</v>
      </c>
      <c r="C32" s="1" t="s">
        <v>3</v>
      </c>
      <c r="D32" s="3"/>
      <c r="E32" s="3">
        <f t="shared" ref="E32:S32" si="9">IF(E31&gt;0,-E31*$D$18,0)</f>
        <v>0</v>
      </c>
      <c r="F32" s="3">
        <f t="shared" si="9"/>
        <v>0</v>
      </c>
      <c r="G32" s="3">
        <f t="shared" si="9"/>
        <v>-4496228.8358873511</v>
      </c>
      <c r="H32" s="3">
        <f t="shared" si="9"/>
        <v>-14357600.681214757</v>
      </c>
      <c r="I32" s="3">
        <f t="shared" si="9"/>
        <v>-14043636.654861808</v>
      </c>
      <c r="J32" s="3">
        <f t="shared" si="9"/>
        <v>-14445953.73687968</v>
      </c>
      <c r="K32" s="3">
        <f t="shared" si="9"/>
        <v>-14109618.760929666</v>
      </c>
      <c r="L32" s="3">
        <f t="shared" si="9"/>
        <v>-13773136.128515912</v>
      </c>
      <c r="M32" s="3">
        <f t="shared" si="9"/>
        <v>-13436897.629092457</v>
      </c>
      <c r="N32" s="3">
        <f t="shared" si="9"/>
        <v>-13101326.572457422</v>
      </c>
      <c r="O32" s="3">
        <f t="shared" si="9"/>
        <v>-12766879.840233194</v>
      </c>
      <c r="P32" s="3">
        <f t="shared" si="9"/>
        <v>-12213943.971323574</v>
      </c>
      <c r="Q32" s="3">
        <f t="shared" si="9"/>
        <v>-11649949.385035761</v>
      </c>
      <c r="R32" s="3">
        <f t="shared" si="9"/>
        <v>-11074674.907022191</v>
      </c>
      <c r="S32" s="3">
        <f t="shared" si="9"/>
        <v>-10487894.939448349</v>
      </c>
    </row>
    <row r="33" spans="2:21" x14ac:dyDescent="0.25">
      <c r="B33" s="2" t="s">
        <v>12</v>
      </c>
      <c r="C33" s="1" t="s">
        <v>15</v>
      </c>
      <c r="D33" s="3"/>
      <c r="E33" s="3">
        <f>E31+E32</f>
        <v>-41307428.571428575</v>
      </c>
      <c r="F33" s="3">
        <f t="shared" ref="F33:S33" si="10">F31+F32</f>
        <v>-19876220.822106268</v>
      </c>
      <c r="G33" s="3">
        <f t="shared" si="10"/>
        <v>12156470.556288023</v>
      </c>
      <c r="H33" s="3">
        <f t="shared" si="10"/>
        <v>38818698.138099156</v>
      </c>
      <c r="I33" s="3">
        <f t="shared" si="10"/>
        <v>37969832.437218957</v>
      </c>
      <c r="J33" s="3">
        <f t="shared" si="10"/>
        <v>39057578.621933952</v>
      </c>
      <c r="K33" s="3">
        <f t="shared" si="10"/>
        <v>38148228.501772799</v>
      </c>
      <c r="L33" s="3">
        <f t="shared" si="10"/>
        <v>37238479.162283756</v>
      </c>
      <c r="M33" s="3">
        <f t="shared" si="10"/>
        <v>36329389.88606479</v>
      </c>
      <c r="N33" s="3">
        <f t="shared" si="10"/>
        <v>35422105.177384883</v>
      </c>
      <c r="O33" s="3">
        <f t="shared" si="10"/>
        <v>34517860.308778636</v>
      </c>
      <c r="P33" s="3">
        <f t="shared" si="10"/>
        <v>33022885.552097067</v>
      </c>
      <c r="Q33" s="3">
        <f t="shared" si="10"/>
        <v>31498011.300281867</v>
      </c>
      <c r="R33" s="3">
        <f t="shared" si="10"/>
        <v>29942639.563430361</v>
      </c>
      <c r="S33" s="3">
        <f t="shared" si="10"/>
        <v>28356160.391841829</v>
      </c>
    </row>
    <row r="34" spans="2:21" x14ac:dyDescent="0.25">
      <c r="B34" s="2" t="s">
        <v>8</v>
      </c>
      <c r="C34" s="1" t="s">
        <v>16</v>
      </c>
      <c r="D34" s="3"/>
      <c r="E34" s="3">
        <f>-E28</f>
        <v>4171428.5714285714</v>
      </c>
      <c r="F34" s="3">
        <f t="shared" ref="F34:S34" si="11">-F28</f>
        <v>4171428.5714285714</v>
      </c>
      <c r="G34" s="3">
        <f t="shared" si="11"/>
        <v>4171428.5714285714</v>
      </c>
      <c r="H34" s="3">
        <f t="shared" si="11"/>
        <v>4171428.5714285714</v>
      </c>
      <c r="I34" s="3">
        <f t="shared" si="11"/>
        <v>4171428.5714285714</v>
      </c>
      <c r="J34" s="3">
        <f t="shared" si="11"/>
        <v>4171428.5714285714</v>
      </c>
      <c r="K34" s="3">
        <f t="shared" si="11"/>
        <v>4171428.5714285714</v>
      </c>
      <c r="L34" s="3">
        <f t="shared" si="11"/>
        <v>4171428.5714285714</v>
      </c>
      <c r="M34" s="3">
        <f t="shared" si="11"/>
        <v>4171428.5714285714</v>
      </c>
      <c r="N34" s="3">
        <f t="shared" si="11"/>
        <v>4171428.5714285714</v>
      </c>
      <c r="O34" s="3">
        <f t="shared" si="11"/>
        <v>4171428.5714285714</v>
      </c>
      <c r="P34" s="3">
        <f t="shared" si="11"/>
        <v>4171428.5714285714</v>
      </c>
      <c r="Q34" s="3">
        <f t="shared" si="11"/>
        <v>4171428.5714285714</v>
      </c>
      <c r="R34" s="3">
        <f t="shared" si="11"/>
        <v>4171428.5714285714</v>
      </c>
      <c r="S34" s="3">
        <f t="shared" si="11"/>
        <v>4171428.5714285714</v>
      </c>
    </row>
    <row r="35" spans="2:21" x14ac:dyDescent="0.25">
      <c r="B35" s="2" t="s">
        <v>10</v>
      </c>
      <c r="C35" s="1" t="s">
        <v>17</v>
      </c>
      <c r="D35" s="3">
        <v>-44000000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21" x14ac:dyDescent="0.25">
      <c r="B36" s="2" t="s">
        <v>8</v>
      </c>
      <c r="C36" s="1" t="s">
        <v>18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S36" s="3">
        <f>-D35</f>
        <v>44000000</v>
      </c>
    </row>
    <row r="37" spans="2:21" x14ac:dyDescent="0.25">
      <c r="B37" s="2" t="s">
        <v>10</v>
      </c>
      <c r="C37" s="1" t="s">
        <v>5</v>
      </c>
      <c r="D37" s="3">
        <v>-146000000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21" x14ac:dyDescent="0.25">
      <c r="B38" s="2" t="s">
        <v>10</v>
      </c>
      <c r="C38" s="1" t="s">
        <v>75</v>
      </c>
      <c r="D38" s="3"/>
      <c r="E38" s="3">
        <f>'Parte 1'!O18</f>
        <v>-7586795.8220383842</v>
      </c>
      <c r="F38" s="3">
        <f>'Parte 1'!P18</f>
        <v>-8042003.5713606877</v>
      </c>
      <c r="G38" s="3">
        <f>'Parte 1'!Q18</f>
        <v>-8524523.7856423296</v>
      </c>
      <c r="H38" s="3">
        <f>'Parte 1'!R18</f>
        <v>-9035995.2127808686</v>
      </c>
      <c r="I38" s="3">
        <f>'Parte 1'!S18</f>
        <v>-9578154.9255477209</v>
      </c>
      <c r="J38" s="3">
        <f>'Parte 1'!T18</f>
        <v>-10152844.221080583</v>
      </c>
      <c r="K38" s="3">
        <f>'Parte 1'!U18</f>
        <v>-10762014.874345418</v>
      </c>
      <c r="L38" s="3">
        <f>'Parte 1'!V18</f>
        <v>-11407735.766806144</v>
      </c>
      <c r="M38" s="3">
        <f>'Parte 1'!W18</f>
        <v>-12092199.912814513</v>
      </c>
      <c r="N38" s="3">
        <f>'Parte 1'!X18</f>
        <v>-12817731.907583384</v>
      </c>
      <c r="O38" s="3">
        <f>'Parte 1'!Y18</f>
        <v>0</v>
      </c>
      <c r="P38" s="3">
        <f>'Parte 1'!Z18</f>
        <v>0</v>
      </c>
      <c r="Q38" s="3">
        <f>'Parte 1'!AA18</f>
        <v>0</v>
      </c>
      <c r="R38" s="3">
        <f>'Parte 1'!AB18</f>
        <v>0</v>
      </c>
      <c r="S38" s="3">
        <f>'Parte 1'!AC18</f>
        <v>0</v>
      </c>
    </row>
    <row r="39" spans="2:21" x14ac:dyDescent="0.25">
      <c r="B39" s="2" t="s">
        <v>8</v>
      </c>
      <c r="C39" s="1" t="s">
        <v>19</v>
      </c>
      <c r="D39" s="3">
        <v>100000000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21" ht="15.75" thickBot="1" x14ac:dyDescent="0.3">
      <c r="B40" s="5" t="s">
        <v>8</v>
      </c>
      <c r="C40" s="6" t="s">
        <v>6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6"/>
      <c r="P40" s="6"/>
      <c r="Q40" s="6"/>
      <c r="R40" s="6"/>
      <c r="S40" s="7">
        <f>D60</f>
        <v>342819007.42535818</v>
      </c>
    </row>
    <row r="41" spans="2:21" x14ac:dyDescent="0.25">
      <c r="B41" s="2" t="s">
        <v>12</v>
      </c>
      <c r="C41" s="8" t="s">
        <v>7</v>
      </c>
      <c r="D41" s="9">
        <f>SUM(D33:D40)</f>
        <v>-90000000</v>
      </c>
      <c r="E41" s="9">
        <f t="shared" ref="E41:S41" si="12">SUM(E33:E40)</f>
        <v>-44722795.822038382</v>
      </c>
      <c r="F41" s="9">
        <f t="shared" si="12"/>
        <v>-23746795.822038386</v>
      </c>
      <c r="G41" s="9">
        <f t="shared" si="12"/>
        <v>7803375.3420742638</v>
      </c>
      <c r="H41" s="9">
        <f t="shared" si="12"/>
        <v>33954131.49674686</v>
      </c>
      <c r="I41" s="9">
        <f t="shared" si="12"/>
        <v>32563106.083099812</v>
      </c>
      <c r="J41" s="9">
        <f t="shared" si="12"/>
        <v>33076162.972281944</v>
      </c>
      <c r="K41" s="9">
        <f t="shared" si="12"/>
        <v>31557642.198855955</v>
      </c>
      <c r="L41" s="9">
        <f t="shared" si="12"/>
        <v>30002171.966906186</v>
      </c>
      <c r="M41" s="9">
        <f t="shared" si="12"/>
        <v>28408618.544678852</v>
      </c>
      <c r="N41" s="9">
        <f t="shared" si="12"/>
        <v>26775801.841230072</v>
      </c>
      <c r="O41" s="9">
        <f t="shared" si="12"/>
        <v>38689288.880207211</v>
      </c>
      <c r="P41" s="9">
        <f t="shared" si="12"/>
        <v>37194314.123525642</v>
      </c>
      <c r="Q41" s="9">
        <f t="shared" si="12"/>
        <v>35669439.871710442</v>
      </c>
      <c r="R41" s="9">
        <f t="shared" si="12"/>
        <v>34114068.134858936</v>
      </c>
      <c r="S41" s="9">
        <f t="shared" si="12"/>
        <v>419346596.3886286</v>
      </c>
      <c r="U41" s="10"/>
    </row>
    <row r="43" spans="2:21" x14ac:dyDescent="0.25">
      <c r="C43" s="8" t="s">
        <v>72</v>
      </c>
      <c r="D43" s="10">
        <f>IRR(D41:S41)</f>
        <v>0.16770135245278528</v>
      </c>
    </row>
    <row r="44" spans="2:21" x14ac:dyDescent="0.25">
      <c r="C44" s="8" t="s">
        <v>55</v>
      </c>
      <c r="D44" s="12">
        <f>NPV(D50,E41:S41)+D41</f>
        <v>71200536.928351998</v>
      </c>
      <c r="E44" s="1" t="s">
        <v>56</v>
      </c>
    </row>
    <row r="46" spans="2:21" x14ac:dyDescent="0.25">
      <c r="C46" s="8" t="s">
        <v>49</v>
      </c>
    </row>
    <row r="47" spans="2:21" x14ac:dyDescent="0.25">
      <c r="C47" s="11" t="s">
        <v>39</v>
      </c>
      <c r="D47" s="3">
        <f>S29</f>
        <v>38844055.331290178</v>
      </c>
    </row>
    <row r="48" spans="2:21" x14ac:dyDescent="0.25">
      <c r="C48" s="11" t="s">
        <v>40</v>
      </c>
      <c r="D48" s="3">
        <f>-S28</f>
        <v>4171428.5714285714</v>
      </c>
    </row>
    <row r="49" spans="3:5" x14ac:dyDescent="0.25">
      <c r="C49" s="11" t="s">
        <v>41</v>
      </c>
      <c r="D49" s="10">
        <v>0.02</v>
      </c>
    </row>
    <row r="50" spans="3:5" x14ac:dyDescent="0.25">
      <c r="C50" s="11" t="s">
        <v>42</v>
      </c>
      <c r="D50" s="10">
        <v>0.12</v>
      </c>
    </row>
    <row r="53" spans="3:5" x14ac:dyDescent="0.25">
      <c r="C53" s="8" t="s">
        <v>6</v>
      </c>
    </row>
    <row r="54" spans="3:5" x14ac:dyDescent="0.25">
      <c r="C54" s="11" t="s">
        <v>45</v>
      </c>
      <c r="D54" s="3">
        <f>(D47+D48)*(1+D49) / (D50-D49)</f>
        <v>438757935.80773133</v>
      </c>
      <c r="E54" s="1" t="s">
        <v>50</v>
      </c>
    </row>
    <row r="55" spans="3:5" x14ac:dyDescent="0.25">
      <c r="C55" s="11" t="s">
        <v>43</v>
      </c>
      <c r="D55" s="3">
        <f>-D37+SUM(E28:S28)</f>
        <v>83428571.428571403</v>
      </c>
      <c r="E55" s="1" t="s">
        <v>53</v>
      </c>
    </row>
    <row r="56" spans="3:5" x14ac:dyDescent="0.25">
      <c r="C56" s="11" t="s">
        <v>44</v>
      </c>
      <c r="D56" s="3">
        <f>D54-D55</f>
        <v>355329364.37915993</v>
      </c>
      <c r="E56" s="1" t="s">
        <v>46</v>
      </c>
    </row>
    <row r="57" spans="3:5" x14ac:dyDescent="0.25">
      <c r="C57" s="11" t="s">
        <v>37</v>
      </c>
      <c r="D57" s="3">
        <f>D56*27%</f>
        <v>95938928.382373184</v>
      </c>
    </row>
    <row r="58" spans="3:5" x14ac:dyDescent="0.25">
      <c r="C58" s="11" t="s">
        <v>47</v>
      </c>
      <c r="D58" s="3">
        <f>D56-D57</f>
        <v>259390435.99678674</v>
      </c>
    </row>
    <row r="59" spans="3:5" x14ac:dyDescent="0.25">
      <c r="C59" s="11" t="s">
        <v>43</v>
      </c>
      <c r="D59" s="3">
        <f>D55</f>
        <v>83428571.428571403</v>
      </c>
      <c r="E59" s="1" t="s">
        <v>54</v>
      </c>
    </row>
    <row r="60" spans="3:5" x14ac:dyDescent="0.25">
      <c r="C60" s="11" t="s">
        <v>6</v>
      </c>
      <c r="D60" s="3">
        <f>D58+D59</f>
        <v>342819007.42535818</v>
      </c>
    </row>
    <row r="63" spans="3:5" x14ac:dyDescent="0.25">
      <c r="C63" s="8" t="s">
        <v>98</v>
      </c>
      <c r="D63" s="4">
        <v>2000000</v>
      </c>
    </row>
    <row r="64" spans="3:5" x14ac:dyDescent="0.25">
      <c r="C64" s="1" t="s">
        <v>99</v>
      </c>
    </row>
  </sheetData>
  <mergeCells count="3">
    <mergeCell ref="C2:D2"/>
    <mergeCell ref="F2:I2"/>
    <mergeCell ref="B21:S21"/>
  </mergeCells>
  <conditionalFormatting sqref="D24:S34 D35:N37 D38:S38 D39:N40 D41:S4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3C8C-E39B-458C-97F8-0CBB02F5A0B8}">
  <dimension ref="C2:X24"/>
  <sheetViews>
    <sheetView workbookViewId="0">
      <selection activeCell="H2" sqref="H2"/>
    </sheetView>
  </sheetViews>
  <sheetFormatPr baseColWidth="10" defaultRowHeight="15" x14ac:dyDescent="0.25"/>
  <cols>
    <col min="3" max="3" width="14" bestFit="1" customWidth="1"/>
    <col min="4" max="4" width="11.85546875" bestFit="1" customWidth="1"/>
    <col min="5" max="5" width="16" customWidth="1"/>
    <col min="6" max="6" width="11.85546875" bestFit="1" customWidth="1"/>
    <col min="7" max="7" width="14" bestFit="1" customWidth="1"/>
    <col min="11" max="11" width="15.5703125" bestFit="1" customWidth="1"/>
    <col min="12" max="13" width="11.85546875" bestFit="1" customWidth="1"/>
  </cols>
  <sheetData>
    <row r="2" spans="3:24" x14ac:dyDescent="0.25">
      <c r="C2" t="s">
        <v>57</v>
      </c>
      <c r="D2" s="25">
        <v>100000000</v>
      </c>
      <c r="E2" s="25">
        <v>120000000</v>
      </c>
    </row>
    <row r="3" spans="3:24" x14ac:dyDescent="0.25">
      <c r="C3" t="s">
        <v>58</v>
      </c>
      <c r="D3" s="26">
        <v>0.06</v>
      </c>
      <c r="E3" s="26">
        <v>0.05</v>
      </c>
    </row>
    <row r="4" spans="3:24" x14ac:dyDescent="0.25">
      <c r="C4" t="s">
        <v>59</v>
      </c>
      <c r="D4">
        <v>10</v>
      </c>
      <c r="E4">
        <v>8</v>
      </c>
      <c r="F4" t="s">
        <v>60</v>
      </c>
    </row>
    <row r="5" spans="3:24" x14ac:dyDescent="0.25">
      <c r="C5" t="s">
        <v>61</v>
      </c>
      <c r="D5" t="s">
        <v>62</v>
      </c>
      <c r="E5" t="s">
        <v>63</v>
      </c>
    </row>
    <row r="9" spans="3:24" x14ac:dyDescent="0.25">
      <c r="C9" t="s">
        <v>64</v>
      </c>
      <c r="I9" t="s">
        <v>66</v>
      </c>
    </row>
    <row r="11" spans="3:24" x14ac:dyDescent="0.25">
      <c r="C11" t="s">
        <v>65</v>
      </c>
      <c r="I11" t="s">
        <v>63</v>
      </c>
    </row>
    <row r="12" spans="3:24" ht="15.75" thickBot="1" x14ac:dyDescent="0.3"/>
    <row r="13" spans="3:24" ht="15.75" thickBot="1" x14ac:dyDescent="0.3">
      <c r="C13" s="38" t="s">
        <v>67</v>
      </c>
      <c r="D13" s="39" t="s">
        <v>70</v>
      </c>
      <c r="E13" s="40" t="s">
        <v>71</v>
      </c>
      <c r="F13" s="39" t="s">
        <v>68</v>
      </c>
      <c r="G13" s="41" t="s">
        <v>69</v>
      </c>
      <c r="I13" s="38" t="s">
        <v>67</v>
      </c>
      <c r="J13" s="39" t="s">
        <v>70</v>
      </c>
      <c r="K13" s="40" t="s">
        <v>71</v>
      </c>
      <c r="L13" s="39" t="s">
        <v>68</v>
      </c>
      <c r="M13" s="41" t="s">
        <v>69</v>
      </c>
    </row>
    <row r="14" spans="3:24" x14ac:dyDescent="0.25">
      <c r="C14" s="28">
        <v>0</v>
      </c>
      <c r="D14" s="35"/>
      <c r="E14" s="27"/>
      <c r="F14" s="36">
        <f>D2</f>
        <v>100000000</v>
      </c>
      <c r="G14" s="29"/>
      <c r="I14" s="28">
        <v>0</v>
      </c>
      <c r="J14" s="35"/>
      <c r="K14" s="27"/>
      <c r="L14" s="36">
        <f>$E$2</f>
        <v>120000000</v>
      </c>
      <c r="M14" s="29"/>
    </row>
    <row r="15" spans="3:24" x14ac:dyDescent="0.25">
      <c r="C15" s="28">
        <v>1</v>
      </c>
      <c r="D15" s="36">
        <f>F14*$D$3</f>
        <v>6000000</v>
      </c>
      <c r="E15" s="30">
        <f>G15-D15</f>
        <v>7586795.8220383842</v>
      </c>
      <c r="F15" s="36">
        <f>F14-E15</f>
        <v>92413204.177961618</v>
      </c>
      <c r="G15" s="31">
        <f>PMT($D$3,$D$4,-$D$2,0)</f>
        <v>13586795.822038384</v>
      </c>
      <c r="I15" s="28">
        <v>1</v>
      </c>
      <c r="J15" s="36">
        <f>$E$2*$E$3</f>
        <v>6000000</v>
      </c>
      <c r="K15" s="30">
        <v>0</v>
      </c>
      <c r="L15" s="36">
        <f>$E$2</f>
        <v>120000000</v>
      </c>
      <c r="M15" s="31">
        <f>J15+K15</f>
        <v>6000000</v>
      </c>
      <c r="O15" cm="1">
        <f t="array" ref="O15:X15">TRANSPOSE(D15:D24)</f>
        <v>6000000</v>
      </c>
      <c r="P15">
        <v>5544792.2506776964</v>
      </c>
      <c r="Q15">
        <v>5062272.0363960555</v>
      </c>
      <c r="R15">
        <v>4550800.6092575155</v>
      </c>
      <c r="S15">
        <v>4008640.8964906638</v>
      </c>
      <c r="T15">
        <v>3433951.6009578006</v>
      </c>
      <c r="U15">
        <v>2824780.9476929656</v>
      </c>
      <c r="V15">
        <v>2179060.0552322404</v>
      </c>
      <c r="W15">
        <v>1494595.9092238718</v>
      </c>
      <c r="X15">
        <v>769063.91445500113</v>
      </c>
    </row>
    <row r="16" spans="3:24" x14ac:dyDescent="0.25">
      <c r="C16" s="28">
        <v>2</v>
      </c>
      <c r="D16" s="36">
        <f>F15*$D$3</f>
        <v>5544792.2506776964</v>
      </c>
      <c r="E16" s="30">
        <f t="shared" ref="E16:E22" si="0">G16-D16</f>
        <v>8042003.5713606877</v>
      </c>
      <c r="F16" s="36">
        <f t="shared" ref="F16:F22" si="1">F15-E16</f>
        <v>84371200.606600925</v>
      </c>
      <c r="G16" s="31">
        <f>PMT($D$3,$D$4,-$D$2,0)</f>
        <v>13586795.822038384</v>
      </c>
      <c r="I16" s="28">
        <v>2</v>
      </c>
      <c r="J16" s="36">
        <f>$E$2*$E$3</f>
        <v>6000000</v>
      </c>
      <c r="K16" s="30">
        <v>0</v>
      </c>
      <c r="L16" s="36">
        <f>$E$2</f>
        <v>120000000</v>
      </c>
      <c r="M16" s="31">
        <f t="shared" ref="M16:M22" si="2">J16+K16</f>
        <v>6000000</v>
      </c>
      <c r="O16">
        <f>-O15</f>
        <v>-6000000</v>
      </c>
      <c r="P16">
        <f t="shared" ref="P16:X16" si="3">-P15</f>
        <v>-5544792.2506776964</v>
      </c>
      <c r="Q16">
        <f t="shared" si="3"/>
        <v>-5062272.0363960555</v>
      </c>
      <c r="R16">
        <f t="shared" si="3"/>
        <v>-4550800.6092575155</v>
      </c>
      <c r="S16">
        <f t="shared" si="3"/>
        <v>-4008640.8964906638</v>
      </c>
      <c r="T16">
        <f t="shared" si="3"/>
        <v>-3433951.6009578006</v>
      </c>
      <c r="U16">
        <f t="shared" si="3"/>
        <v>-2824780.9476929656</v>
      </c>
      <c r="V16">
        <f t="shared" si="3"/>
        <v>-2179060.0552322404</v>
      </c>
      <c r="W16">
        <f t="shared" si="3"/>
        <v>-1494595.9092238718</v>
      </c>
      <c r="X16">
        <f t="shared" si="3"/>
        <v>-769063.91445500113</v>
      </c>
    </row>
    <row r="17" spans="3:24" x14ac:dyDescent="0.25">
      <c r="C17" s="28">
        <v>3</v>
      </c>
      <c r="D17" s="36">
        <f>F16*$D$3</f>
        <v>5062272.0363960555</v>
      </c>
      <c r="E17" s="30">
        <f t="shared" si="0"/>
        <v>8524523.7856423296</v>
      </c>
      <c r="F17" s="36">
        <f t="shared" si="1"/>
        <v>75846676.820958599</v>
      </c>
      <c r="G17" s="31">
        <f>PMT($D$3,$D$4,-$D$2,0)</f>
        <v>13586795.822038384</v>
      </c>
      <c r="I17" s="28">
        <v>3</v>
      </c>
      <c r="J17" s="36">
        <f>$E$2*$E$3</f>
        <v>6000000</v>
      </c>
      <c r="K17" s="30">
        <v>0</v>
      </c>
      <c r="L17" s="36">
        <f>$E$2</f>
        <v>120000000</v>
      </c>
      <c r="M17" s="31">
        <f t="shared" si="2"/>
        <v>6000000</v>
      </c>
    </row>
    <row r="18" spans="3:24" x14ac:dyDescent="0.25">
      <c r="C18" s="28">
        <v>4</v>
      </c>
      <c r="D18" s="36">
        <f>F17*$D$3</f>
        <v>4550800.6092575155</v>
      </c>
      <c r="E18" s="30">
        <f t="shared" si="0"/>
        <v>9035995.2127808686</v>
      </c>
      <c r="F18" s="36">
        <f t="shared" si="1"/>
        <v>66810681.608177729</v>
      </c>
      <c r="G18" s="31">
        <f>PMT($D$3,$D$4,-$D$2,0)</f>
        <v>13586795.822038384</v>
      </c>
      <c r="I18" s="28">
        <v>4</v>
      </c>
      <c r="J18" s="36">
        <f>$E$2*$E$3</f>
        <v>6000000</v>
      </c>
      <c r="K18" s="30">
        <v>0</v>
      </c>
      <c r="L18" s="36">
        <f>$E$2</f>
        <v>120000000</v>
      </c>
      <c r="M18" s="31">
        <f t="shared" si="2"/>
        <v>6000000</v>
      </c>
      <c r="O18" cm="1">
        <f t="array" ref="O18:X18">-TRANSPOSE(E15:E24)</f>
        <v>-7586795.8220383842</v>
      </c>
      <c r="P18">
        <v>-8042003.5713606877</v>
      </c>
      <c r="Q18">
        <v>-8524523.7856423296</v>
      </c>
      <c r="R18">
        <v>-9035995.2127808686</v>
      </c>
      <c r="S18">
        <v>-9578154.9255477209</v>
      </c>
      <c r="T18">
        <v>-10152844.221080583</v>
      </c>
      <c r="U18">
        <v>-10762014.874345418</v>
      </c>
      <c r="V18">
        <v>-11407735.766806144</v>
      </c>
      <c r="W18">
        <v>-12092199.912814513</v>
      </c>
      <c r="X18">
        <v>-12817731.907583384</v>
      </c>
    </row>
    <row r="19" spans="3:24" x14ac:dyDescent="0.25">
      <c r="C19" s="28">
        <v>5</v>
      </c>
      <c r="D19" s="36">
        <f>F18*$D$3</f>
        <v>4008640.8964906638</v>
      </c>
      <c r="E19" s="30">
        <f t="shared" si="0"/>
        <v>9578154.9255477209</v>
      </c>
      <c r="F19" s="36">
        <f t="shared" si="1"/>
        <v>57232526.68263001</v>
      </c>
      <c r="G19" s="31">
        <f>PMT($D$3,$D$4,-$D$2,0)</f>
        <v>13586795.822038384</v>
      </c>
      <c r="I19" s="28">
        <v>5</v>
      </c>
      <c r="J19" s="36">
        <f>$E$2*$E$3</f>
        <v>6000000</v>
      </c>
      <c r="K19" s="30">
        <v>0</v>
      </c>
      <c r="L19" s="36">
        <f>$E$2</f>
        <v>120000000</v>
      </c>
      <c r="M19" s="31">
        <f t="shared" si="2"/>
        <v>6000000</v>
      </c>
    </row>
    <row r="20" spans="3:24" x14ac:dyDescent="0.25">
      <c r="C20" s="28">
        <v>6</v>
      </c>
      <c r="D20" s="36">
        <f>F19*$D$3</f>
        <v>3433951.6009578006</v>
      </c>
      <c r="E20" s="30">
        <f t="shared" si="0"/>
        <v>10152844.221080583</v>
      </c>
      <c r="F20" s="36">
        <f t="shared" si="1"/>
        <v>47079682.461549431</v>
      </c>
      <c r="G20" s="31">
        <f>PMT($D$3,$D$4,-$D$2,0)</f>
        <v>13586795.822038384</v>
      </c>
      <c r="I20" s="28">
        <v>6</v>
      </c>
      <c r="J20" s="36">
        <f>$E$2*$E$3</f>
        <v>6000000</v>
      </c>
      <c r="K20" s="30">
        <v>0</v>
      </c>
      <c r="L20" s="36">
        <f>$E$2</f>
        <v>120000000</v>
      </c>
      <c r="M20" s="31">
        <f t="shared" si="2"/>
        <v>6000000</v>
      </c>
    </row>
    <row r="21" spans="3:24" x14ac:dyDescent="0.25">
      <c r="C21" s="28">
        <v>7</v>
      </c>
      <c r="D21" s="36">
        <f>F20*$D$3</f>
        <v>2824780.9476929656</v>
      </c>
      <c r="E21" s="30">
        <f t="shared" si="0"/>
        <v>10762014.874345418</v>
      </c>
      <c r="F21" s="36">
        <f t="shared" si="1"/>
        <v>36317667.587204009</v>
      </c>
      <c r="G21" s="31">
        <f>PMT($D$3,$D$4,-$D$2,0)</f>
        <v>13586795.822038384</v>
      </c>
      <c r="I21" s="28">
        <v>7</v>
      </c>
      <c r="J21" s="36">
        <f>$E$2*$E$3</f>
        <v>6000000</v>
      </c>
      <c r="K21" s="30">
        <v>0</v>
      </c>
      <c r="L21" s="36">
        <f>$E$2</f>
        <v>120000000</v>
      </c>
      <c r="M21" s="31">
        <f t="shared" si="2"/>
        <v>6000000</v>
      </c>
    </row>
    <row r="22" spans="3:24" ht="15.75" thickBot="1" x14ac:dyDescent="0.3">
      <c r="C22" s="28">
        <v>8</v>
      </c>
      <c r="D22" s="36">
        <f>F21*$D$3</f>
        <v>2179060.0552322404</v>
      </c>
      <c r="E22" s="30">
        <f t="shared" si="0"/>
        <v>11407735.766806144</v>
      </c>
      <c r="F22" s="36">
        <f t="shared" si="1"/>
        <v>24909931.820397865</v>
      </c>
      <c r="G22" s="31">
        <f>PMT($D$3,$D$4,-$D$2,0)</f>
        <v>13586795.822038384</v>
      </c>
      <c r="I22" s="32">
        <v>8</v>
      </c>
      <c r="J22" s="37">
        <f>$E$2*$E$3</f>
        <v>6000000</v>
      </c>
      <c r="K22" s="33">
        <f>E2</f>
        <v>120000000</v>
      </c>
      <c r="L22" s="37">
        <v>0</v>
      </c>
      <c r="M22" s="34">
        <f t="shared" si="2"/>
        <v>126000000</v>
      </c>
    </row>
    <row r="23" spans="3:24" x14ac:dyDescent="0.25">
      <c r="C23" s="28">
        <v>9</v>
      </c>
      <c r="D23" s="36">
        <f>F22*$D$3</f>
        <v>1494595.9092238718</v>
      </c>
      <c r="E23" s="30">
        <f>G23-D23</f>
        <v>12092199.912814513</v>
      </c>
      <c r="F23" s="36">
        <f>F22-E23</f>
        <v>12817731.907583352</v>
      </c>
      <c r="G23" s="31">
        <f>PMT($D$3,$D$4,-$D$2,0)</f>
        <v>13586795.822038384</v>
      </c>
    </row>
    <row r="24" spans="3:24" ht="15.75" thickBot="1" x14ac:dyDescent="0.3">
      <c r="C24" s="32">
        <v>10</v>
      </c>
      <c r="D24" s="37">
        <f>F23*$D$3</f>
        <v>769063.91445500113</v>
      </c>
      <c r="E24" s="33">
        <f t="shared" ref="E24" si="4">G24-D24</f>
        <v>12817731.907583384</v>
      </c>
      <c r="F24" s="37">
        <f t="shared" ref="F24" si="5">F23-E24</f>
        <v>-3.166496753692627E-8</v>
      </c>
      <c r="G24" s="34">
        <f>PMT($D$3,$D$4,-$D$2,0)</f>
        <v>13586795.822038384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1706-10BD-492B-8369-D29039A8A518}">
  <dimension ref="A1:N105"/>
  <sheetViews>
    <sheetView workbookViewId="0">
      <selection activeCell="M25" sqref="M25"/>
    </sheetView>
  </sheetViews>
  <sheetFormatPr baseColWidth="10" defaultRowHeight="15" x14ac:dyDescent="0.25"/>
  <cols>
    <col min="7" max="7" width="3.140625" bestFit="1" customWidth="1"/>
    <col min="8" max="8" width="16.140625" customWidth="1"/>
    <col min="9" max="9" width="10.140625" customWidth="1"/>
  </cols>
  <sheetData>
    <row r="1" spans="1:13" x14ac:dyDescent="0.25">
      <c r="A1" t="s">
        <v>82</v>
      </c>
      <c r="B1" t="s">
        <v>83</v>
      </c>
      <c r="C1" t="s">
        <v>84</v>
      </c>
      <c r="D1" s="53" t="s">
        <v>85</v>
      </c>
      <c r="E1" s="53"/>
      <c r="F1" s="27"/>
    </row>
    <row r="2" spans="1:13" x14ac:dyDescent="0.25">
      <c r="A2" s="43">
        <v>44311</v>
      </c>
      <c r="B2" s="44">
        <v>4472.84</v>
      </c>
      <c r="C2">
        <v>202</v>
      </c>
      <c r="D2" t="s">
        <v>83</v>
      </c>
      <c r="E2" t="s">
        <v>84</v>
      </c>
      <c r="H2" s="42" t="s">
        <v>76</v>
      </c>
    </row>
    <row r="3" spans="1:13" x14ac:dyDescent="0.25">
      <c r="A3" s="43">
        <v>44318</v>
      </c>
      <c r="B3" s="44">
        <v>4618.8</v>
      </c>
      <c r="C3">
        <v>206</v>
      </c>
      <c r="D3" s="45">
        <f>LN(B3/B2)</f>
        <v>3.2111377461235997E-2</v>
      </c>
      <c r="E3" s="45">
        <f>LN(C3/C2)</f>
        <v>1.9608471388376337E-2</v>
      </c>
      <c r="F3" s="45"/>
      <c r="H3" t="s">
        <v>87</v>
      </c>
      <c r="I3" s="46">
        <f>SLOPE(E3:E105,D3:D105)</f>
        <v>0.93114736031532197</v>
      </c>
      <c r="J3" t="s">
        <v>86</v>
      </c>
    </row>
    <row r="4" spans="1:13" x14ac:dyDescent="0.25">
      <c r="A4" s="43">
        <v>44325</v>
      </c>
      <c r="B4" s="44">
        <v>4574.6899999999996</v>
      </c>
      <c r="C4">
        <v>198</v>
      </c>
      <c r="D4" s="45">
        <f t="shared" ref="D4:D67" si="0">LN(B4/B3)</f>
        <v>-9.5959942267036455E-3</v>
      </c>
      <c r="E4" s="45">
        <f t="shared" ref="E4:E67" si="1">LN(C4/C3)</f>
        <v>-3.9609138095045827E-2</v>
      </c>
      <c r="F4" s="45"/>
    </row>
    <row r="5" spans="1:13" x14ac:dyDescent="0.25">
      <c r="A5" s="43">
        <v>44332</v>
      </c>
      <c r="B5" s="44">
        <v>4079.99</v>
      </c>
      <c r="C5">
        <v>150</v>
      </c>
      <c r="D5" s="45">
        <f t="shared" si="0"/>
        <v>-0.11444439943618565</v>
      </c>
      <c r="E5" s="45">
        <f t="shared" si="1"/>
        <v>-0.2776317365982795</v>
      </c>
      <c r="F5" s="45"/>
      <c r="H5" s="42" t="s">
        <v>88</v>
      </c>
    </row>
    <row r="6" spans="1:13" x14ac:dyDescent="0.25">
      <c r="A6" s="43">
        <v>44339</v>
      </c>
      <c r="B6" s="44">
        <v>4258.75</v>
      </c>
      <c r="C6">
        <v>138</v>
      </c>
      <c r="D6" s="45">
        <f t="shared" si="0"/>
        <v>4.2881152560364823E-2</v>
      </c>
      <c r="E6" s="45">
        <f t="shared" si="1"/>
        <v>-8.3381608939051013E-2</v>
      </c>
      <c r="F6" s="45"/>
    </row>
    <row r="7" spans="1:13" x14ac:dyDescent="0.25">
      <c r="A7" s="43">
        <v>44346</v>
      </c>
      <c r="B7" s="44">
        <v>4225.88</v>
      </c>
      <c r="C7">
        <v>156</v>
      </c>
      <c r="D7" s="45">
        <f t="shared" si="0"/>
        <v>-7.7481668483392659E-3</v>
      </c>
      <c r="E7" s="45">
        <f t="shared" si="1"/>
        <v>0.12260232209233228</v>
      </c>
      <c r="F7" s="45"/>
      <c r="G7" t="s">
        <v>8</v>
      </c>
      <c r="H7" t="s">
        <v>78</v>
      </c>
      <c r="K7" s="54" t="s">
        <v>89</v>
      </c>
      <c r="M7">
        <v>74</v>
      </c>
    </row>
    <row r="8" spans="1:13" x14ac:dyDescent="0.25">
      <c r="A8" s="43">
        <v>44353</v>
      </c>
      <c r="B8" s="44">
        <v>4310.6400000000003</v>
      </c>
      <c r="C8">
        <v>162</v>
      </c>
      <c r="D8" s="45">
        <f t="shared" si="0"/>
        <v>1.985886182647886E-2</v>
      </c>
      <c r="E8" s="45">
        <f t="shared" si="1"/>
        <v>3.7740327982847113E-2</v>
      </c>
      <c r="F8" s="45"/>
      <c r="G8" t="s">
        <v>8</v>
      </c>
      <c r="H8" t="s">
        <v>79</v>
      </c>
      <c r="K8" s="54"/>
      <c r="M8">
        <v>1222</v>
      </c>
    </row>
    <row r="9" spans="1:13" x14ac:dyDescent="0.25">
      <c r="A9" s="43">
        <v>44360</v>
      </c>
      <c r="B9" s="44">
        <v>4294.3900000000003</v>
      </c>
      <c r="C9">
        <v>153</v>
      </c>
      <c r="D9" s="45">
        <f t="shared" si="0"/>
        <v>-3.7768652327281596E-3</v>
      </c>
      <c r="E9" s="45">
        <f t="shared" si="1"/>
        <v>-5.7158413839948637E-2</v>
      </c>
      <c r="F9" s="45"/>
      <c r="G9" t="s">
        <v>10</v>
      </c>
      <c r="H9" t="s">
        <v>80</v>
      </c>
      <c r="K9" s="54" t="s">
        <v>90</v>
      </c>
      <c r="M9">
        <v>179</v>
      </c>
    </row>
    <row r="10" spans="1:13" x14ac:dyDescent="0.25">
      <c r="A10" s="43">
        <v>44367</v>
      </c>
      <c r="B10" s="44">
        <v>4349.51</v>
      </c>
      <c r="C10">
        <v>153</v>
      </c>
      <c r="D10" s="45">
        <f t="shared" si="0"/>
        <v>1.2753675339205557E-2</v>
      </c>
      <c r="E10" s="45">
        <f t="shared" si="1"/>
        <v>0</v>
      </c>
      <c r="F10" s="45"/>
      <c r="G10" t="s">
        <v>10</v>
      </c>
      <c r="H10" t="s">
        <v>81</v>
      </c>
      <c r="K10" s="54"/>
      <c r="M10">
        <v>8</v>
      </c>
    </row>
    <row r="11" spans="1:13" x14ac:dyDescent="0.25">
      <c r="A11" s="43">
        <v>44374</v>
      </c>
      <c r="B11" s="44">
        <v>4314.8100000000004</v>
      </c>
      <c r="C11">
        <v>151</v>
      </c>
      <c r="D11" s="45">
        <f t="shared" si="0"/>
        <v>-8.0099039566808722E-3</v>
      </c>
      <c r="E11" s="45">
        <f t="shared" si="1"/>
        <v>-1.3158084577511088E-2</v>
      </c>
      <c r="F11" s="45"/>
      <c r="G11" t="s">
        <v>12</v>
      </c>
      <c r="H11" t="s">
        <v>77</v>
      </c>
      <c r="M11">
        <f>M7+M8-M9-M10</f>
        <v>1109</v>
      </c>
    </row>
    <row r="12" spans="1:13" x14ac:dyDescent="0.25">
      <c r="A12" s="43">
        <v>44381</v>
      </c>
      <c r="B12" s="44">
        <v>4247.83</v>
      </c>
      <c r="C12">
        <v>141</v>
      </c>
      <c r="D12" s="45">
        <f t="shared" si="0"/>
        <v>-1.5645026814504269E-2</v>
      </c>
      <c r="E12" s="45">
        <f t="shared" si="1"/>
        <v>-6.851994643675606E-2</v>
      </c>
      <c r="F12" s="45"/>
    </row>
    <row r="13" spans="1:13" x14ac:dyDescent="0.25">
      <c r="A13" s="43">
        <v>44388</v>
      </c>
      <c r="B13" s="44">
        <v>4153.03</v>
      </c>
      <c r="C13">
        <v>137</v>
      </c>
      <c r="D13" s="45">
        <f t="shared" si="0"/>
        <v>-2.2570075990230049E-2</v>
      </c>
      <c r="E13" s="45">
        <f t="shared" si="1"/>
        <v>-2.8778964550043404E-2</v>
      </c>
      <c r="F13" s="45"/>
      <c r="H13" t="s">
        <v>91</v>
      </c>
      <c r="M13">
        <v>838</v>
      </c>
    </row>
    <row r="14" spans="1:13" x14ac:dyDescent="0.25">
      <c r="A14" s="43">
        <v>44395</v>
      </c>
      <c r="B14" s="44">
        <v>4187.49</v>
      </c>
      <c r="C14">
        <v>143</v>
      </c>
      <c r="D14" s="45">
        <f t="shared" si="0"/>
        <v>8.2633207723908138E-3</v>
      </c>
      <c r="E14" s="45">
        <f t="shared" si="1"/>
        <v>4.2863704431782314E-2</v>
      </c>
      <c r="F14" s="45"/>
    </row>
    <row r="15" spans="1:13" x14ac:dyDescent="0.25">
      <c r="A15" s="43">
        <v>44402</v>
      </c>
      <c r="B15" s="44">
        <v>4252.04</v>
      </c>
      <c r="C15">
        <v>154</v>
      </c>
      <c r="D15" s="45">
        <f t="shared" si="0"/>
        <v>1.5297358684544356E-2</v>
      </c>
      <c r="E15" s="45">
        <f t="shared" si="1"/>
        <v>7.4107972153721835E-2</v>
      </c>
      <c r="F15" s="45"/>
      <c r="H15" t="s">
        <v>92</v>
      </c>
      <c r="M15" s="46">
        <f>M11/M13</f>
        <v>1.3233890214797137</v>
      </c>
    </row>
    <row r="16" spans="1:13" x14ac:dyDescent="0.25">
      <c r="A16" s="43">
        <v>44409</v>
      </c>
      <c r="B16" s="44">
        <v>4282.4799999999996</v>
      </c>
      <c r="C16">
        <v>153</v>
      </c>
      <c r="D16" s="45">
        <f t="shared" si="0"/>
        <v>7.1334132627626709E-3</v>
      </c>
      <c r="E16" s="45">
        <f t="shared" si="1"/>
        <v>-6.5146810211936419E-3</v>
      </c>
      <c r="F16" s="45"/>
    </row>
    <row r="17" spans="1:14" x14ac:dyDescent="0.25">
      <c r="A17" s="43">
        <v>44416</v>
      </c>
      <c r="B17" s="44">
        <v>4401.9399999999996</v>
      </c>
      <c r="C17">
        <v>152</v>
      </c>
      <c r="D17" s="45">
        <f t="shared" si="0"/>
        <v>2.7513071807334033E-2</v>
      </c>
      <c r="E17" s="45">
        <f t="shared" si="1"/>
        <v>-6.5574005461590517E-3</v>
      </c>
      <c r="F17" s="45"/>
      <c r="H17" s="48" t="s">
        <v>93</v>
      </c>
      <c r="I17" s="48"/>
      <c r="J17" s="48"/>
      <c r="K17" s="48"/>
      <c r="L17" s="48"/>
      <c r="M17" s="49">
        <f>I3/(1+M15*(1-27%))</f>
        <v>0.47360748735667668</v>
      </c>
      <c r="N17" s="48" t="s">
        <v>94</v>
      </c>
    </row>
    <row r="18" spans="1:14" x14ac:dyDescent="0.25">
      <c r="A18" s="43">
        <v>44423</v>
      </c>
      <c r="B18" s="44">
        <v>4347.49</v>
      </c>
      <c r="C18">
        <v>159</v>
      </c>
      <c r="D18" s="45">
        <f t="shared" si="0"/>
        <v>-1.2446685772130144E-2</v>
      </c>
      <c r="E18" s="45">
        <f t="shared" si="1"/>
        <v>4.5023681373955113E-2</v>
      </c>
      <c r="F18" s="45"/>
    </row>
    <row r="19" spans="1:14" x14ac:dyDescent="0.25">
      <c r="A19" s="43">
        <v>44430</v>
      </c>
      <c r="B19" s="44">
        <v>4459.22</v>
      </c>
      <c r="C19">
        <v>172</v>
      </c>
      <c r="D19" s="45">
        <f t="shared" si="0"/>
        <v>2.537519577378267E-2</v>
      </c>
      <c r="E19" s="45">
        <f t="shared" si="1"/>
        <v>7.8590274593221501E-2</v>
      </c>
      <c r="F19" s="45"/>
      <c r="H19" s="42" t="s">
        <v>95</v>
      </c>
      <c r="I19" s="42"/>
    </row>
    <row r="20" spans="1:14" x14ac:dyDescent="0.25">
      <c r="A20" s="43">
        <v>44437</v>
      </c>
      <c r="B20" s="44">
        <v>4463.55</v>
      </c>
      <c r="C20">
        <v>174</v>
      </c>
      <c r="D20" s="45">
        <f t="shared" si="0"/>
        <v>9.7055070115985764E-4</v>
      </c>
      <c r="E20" s="45">
        <f t="shared" si="1"/>
        <v>1.1560822401076006E-2</v>
      </c>
      <c r="F20" s="45"/>
    </row>
    <row r="21" spans="1:14" x14ac:dyDescent="0.25">
      <c r="A21" s="43">
        <v>44444</v>
      </c>
      <c r="B21" s="44">
        <v>4464</v>
      </c>
      <c r="C21">
        <v>166</v>
      </c>
      <c r="D21" s="45">
        <f t="shared" si="0"/>
        <v>1.008115329246007E-4</v>
      </c>
      <c r="E21" s="45">
        <f t="shared" si="1"/>
        <v>-4.7067510857985856E-2</v>
      </c>
      <c r="F21" s="45"/>
      <c r="H21" t="s">
        <v>96</v>
      </c>
      <c r="M21">
        <v>100</v>
      </c>
    </row>
    <row r="22" spans="1:14" x14ac:dyDescent="0.25">
      <c r="A22" s="43">
        <v>44451</v>
      </c>
      <c r="B22" s="44">
        <v>4465.47</v>
      </c>
      <c r="C22">
        <v>160</v>
      </c>
      <c r="D22" s="45">
        <f t="shared" si="0"/>
        <v>3.2924686756998433E-4</v>
      </c>
      <c r="E22" s="45">
        <f t="shared" si="1"/>
        <v>-3.6813973122716316E-2</v>
      </c>
      <c r="F22" s="45"/>
      <c r="H22" t="s">
        <v>91</v>
      </c>
      <c r="M22">
        <v>90</v>
      </c>
    </row>
    <row r="23" spans="1:14" x14ac:dyDescent="0.25">
      <c r="A23" s="43">
        <v>44458</v>
      </c>
      <c r="B23" s="44">
        <v>4377.1899999999996</v>
      </c>
      <c r="C23">
        <v>170</v>
      </c>
      <c r="D23" s="45">
        <f t="shared" si="0"/>
        <v>-1.996750595251413E-2</v>
      </c>
      <c r="E23" s="45">
        <f t="shared" si="1"/>
        <v>6.062462181643484E-2</v>
      </c>
      <c r="F23" s="45"/>
      <c r="H23" t="s">
        <v>92</v>
      </c>
      <c r="M23" s="47">
        <f>M21/M22</f>
        <v>1.1111111111111112</v>
      </c>
    </row>
    <row r="24" spans="1:14" x14ac:dyDescent="0.25">
      <c r="A24" s="43">
        <v>44465</v>
      </c>
      <c r="B24" s="44">
        <v>4326.72</v>
      </c>
      <c r="C24">
        <v>160</v>
      </c>
      <c r="D24" s="45">
        <f t="shared" si="0"/>
        <v>-1.1597216805809439E-2</v>
      </c>
      <c r="E24" s="45">
        <f t="shared" si="1"/>
        <v>-6.0624621816434854E-2</v>
      </c>
      <c r="F24" s="45"/>
    </row>
    <row r="25" spans="1:14" x14ac:dyDescent="0.25">
      <c r="A25" s="43">
        <v>44472</v>
      </c>
      <c r="B25" s="44">
        <v>4145.62</v>
      </c>
      <c r="C25">
        <v>159</v>
      </c>
      <c r="D25" s="45">
        <f t="shared" si="0"/>
        <v>-4.2757393982058495E-2</v>
      </c>
      <c r="E25" s="45">
        <f t="shared" si="1"/>
        <v>-6.2696130135953742E-3</v>
      </c>
      <c r="F25" s="45"/>
      <c r="H25" s="48" t="s">
        <v>97</v>
      </c>
      <c r="I25" s="48"/>
      <c r="J25" s="48"/>
      <c r="K25" s="48"/>
      <c r="L25" s="48"/>
      <c r="M25" s="49">
        <f>M17*(1+M23*(1-27%))</f>
        <v>0.85775578265709218</v>
      </c>
    </row>
    <row r="26" spans="1:14" x14ac:dyDescent="0.25">
      <c r="A26" s="43">
        <v>44479</v>
      </c>
      <c r="B26" s="44">
        <v>3982.18</v>
      </c>
      <c r="C26">
        <v>148</v>
      </c>
      <c r="D26" s="45">
        <f t="shared" si="0"/>
        <v>-4.0222947170467635E-2</v>
      </c>
      <c r="E26" s="45">
        <f t="shared" si="1"/>
        <v>-7.1691928456116452E-2</v>
      </c>
      <c r="F26" s="45"/>
    </row>
    <row r="27" spans="1:14" x14ac:dyDescent="0.25">
      <c r="A27" s="43">
        <v>44486</v>
      </c>
      <c r="B27" s="44">
        <v>4084.35</v>
      </c>
      <c r="C27">
        <v>154</v>
      </c>
      <c r="D27" s="45">
        <f t="shared" si="0"/>
        <v>2.5333188888458327E-2</v>
      </c>
      <c r="E27" s="45">
        <f t="shared" si="1"/>
        <v>3.9740328649514121E-2</v>
      </c>
      <c r="F27" s="45"/>
    </row>
    <row r="28" spans="1:14" x14ac:dyDescent="0.25">
      <c r="A28" s="43">
        <v>44493</v>
      </c>
      <c r="B28" s="44">
        <v>4092.2</v>
      </c>
      <c r="C28">
        <v>155</v>
      </c>
      <c r="D28" s="45">
        <f t="shared" si="0"/>
        <v>1.9201258261334767E-3</v>
      </c>
      <c r="E28" s="45">
        <f t="shared" si="1"/>
        <v>6.4725145056175196E-3</v>
      </c>
      <c r="F28" s="45"/>
    </row>
    <row r="29" spans="1:14" x14ac:dyDescent="0.25">
      <c r="A29" s="43">
        <v>44500</v>
      </c>
      <c r="B29" s="44">
        <v>4388.1899999999996</v>
      </c>
      <c r="C29">
        <v>156</v>
      </c>
      <c r="D29" s="45">
        <f t="shared" si="0"/>
        <v>6.9834118634090239E-2</v>
      </c>
      <c r="E29" s="45">
        <f t="shared" si="1"/>
        <v>6.4308903302903314E-3</v>
      </c>
      <c r="F29" s="45"/>
    </row>
    <row r="30" spans="1:14" x14ac:dyDescent="0.25">
      <c r="A30" s="43">
        <v>44507</v>
      </c>
      <c r="B30" s="44">
        <v>4485.97</v>
      </c>
      <c r="C30">
        <v>149</v>
      </c>
      <c r="D30" s="45">
        <f t="shared" si="0"/>
        <v>2.2037907219107731E-2</v>
      </c>
      <c r="E30" s="45">
        <f t="shared" si="1"/>
        <v>-4.5909701304077857E-2</v>
      </c>
      <c r="F30" s="45"/>
    </row>
    <row r="31" spans="1:14" x14ac:dyDescent="0.25">
      <c r="A31" s="43">
        <v>44514</v>
      </c>
      <c r="B31" s="44">
        <v>4358.4799999999996</v>
      </c>
      <c r="C31">
        <v>152</v>
      </c>
      <c r="D31" s="45">
        <f t="shared" si="0"/>
        <v>-2.8831375879210974E-2</v>
      </c>
      <c r="E31" s="45">
        <f t="shared" si="1"/>
        <v>1.9934214900817329E-2</v>
      </c>
      <c r="F31" s="45"/>
    </row>
    <row r="32" spans="1:14" x14ac:dyDescent="0.25">
      <c r="A32" s="43">
        <v>44521</v>
      </c>
      <c r="B32" s="44">
        <v>4579.3</v>
      </c>
      <c r="C32">
        <v>174</v>
      </c>
      <c r="D32" s="45">
        <f t="shared" si="0"/>
        <v>4.94227752928545E-2</v>
      </c>
      <c r="E32" s="45">
        <f t="shared" si="1"/>
        <v>0.13517477836825254</v>
      </c>
      <c r="F32" s="45"/>
    </row>
    <row r="33" spans="1:6" x14ac:dyDescent="0.25">
      <c r="A33" s="43">
        <v>44528</v>
      </c>
      <c r="B33" s="44">
        <v>4369.3999999999996</v>
      </c>
      <c r="C33">
        <v>178</v>
      </c>
      <c r="D33" s="45">
        <f t="shared" si="0"/>
        <v>-4.6920448107308096E-2</v>
      </c>
      <c r="E33" s="45">
        <f t="shared" si="1"/>
        <v>2.2728251077556091E-2</v>
      </c>
      <c r="F33" s="45"/>
    </row>
    <row r="34" spans="1:6" x14ac:dyDescent="0.25">
      <c r="A34" s="43">
        <v>44535</v>
      </c>
      <c r="B34" s="44">
        <v>4405.72</v>
      </c>
      <c r="C34">
        <v>180</v>
      </c>
      <c r="D34" s="45">
        <f t="shared" si="0"/>
        <v>8.2779967459804017E-3</v>
      </c>
      <c r="E34" s="45">
        <f t="shared" si="1"/>
        <v>1.1173300598125255E-2</v>
      </c>
      <c r="F34" s="45"/>
    </row>
    <row r="35" spans="1:6" x14ac:dyDescent="0.25">
      <c r="A35" s="43">
        <v>44542</v>
      </c>
      <c r="B35" s="44">
        <v>4357.78</v>
      </c>
      <c r="C35">
        <v>175</v>
      </c>
      <c r="D35" s="45">
        <f t="shared" si="0"/>
        <v>-1.0940943280078693E-2</v>
      </c>
      <c r="E35" s="45">
        <f t="shared" si="1"/>
        <v>-2.8170876966696335E-2</v>
      </c>
      <c r="F35" s="45"/>
    </row>
    <row r="36" spans="1:6" x14ac:dyDescent="0.25">
      <c r="A36" s="43">
        <v>44549</v>
      </c>
      <c r="B36" s="44">
        <v>4297.8599999999997</v>
      </c>
      <c r="C36">
        <v>159</v>
      </c>
      <c r="D36" s="45">
        <f t="shared" si="0"/>
        <v>-1.3845528975861726E-2</v>
      </c>
      <c r="E36" s="45">
        <f t="shared" si="1"/>
        <v>-9.588177170328252E-2</v>
      </c>
      <c r="F36" s="45"/>
    </row>
    <row r="37" spans="1:6" x14ac:dyDescent="0.25">
      <c r="A37" s="43">
        <v>44556</v>
      </c>
      <c r="B37" s="44">
        <v>4300.12</v>
      </c>
      <c r="C37">
        <v>155</v>
      </c>
      <c r="D37" s="45">
        <f t="shared" si="0"/>
        <v>5.2570488697320408E-4</v>
      </c>
      <c r="E37" s="45">
        <f t="shared" si="1"/>
        <v>-2.5479085300984899E-2</v>
      </c>
      <c r="F37" s="45"/>
    </row>
    <row r="38" spans="1:6" x14ac:dyDescent="0.25">
      <c r="A38" s="43">
        <v>44563</v>
      </c>
      <c r="B38" s="44">
        <v>4296.3500000000004</v>
      </c>
      <c r="C38">
        <v>164</v>
      </c>
      <c r="D38" s="45">
        <f t="shared" si="0"/>
        <v>-8.7710426295716307E-4</v>
      </c>
      <c r="E38" s="45">
        <f t="shared" si="1"/>
        <v>5.6441310904951837E-2</v>
      </c>
      <c r="F38" s="45"/>
    </row>
    <row r="39" spans="1:6" x14ac:dyDescent="0.25">
      <c r="A39" s="43">
        <v>44570</v>
      </c>
      <c r="B39" s="44">
        <v>4486.57</v>
      </c>
      <c r="C39">
        <v>182</v>
      </c>
      <c r="D39" s="45">
        <f t="shared" si="0"/>
        <v>4.3322664972991969E-2</v>
      </c>
      <c r="E39" s="45">
        <f t="shared" si="1"/>
        <v>0.10414025925259701</v>
      </c>
      <c r="F39" s="45"/>
    </row>
    <row r="40" spans="1:6" x14ac:dyDescent="0.25">
      <c r="A40" s="43">
        <v>44577</v>
      </c>
      <c r="B40" s="44">
        <v>4644.8599999999997</v>
      </c>
      <c r="C40">
        <v>199</v>
      </c>
      <c r="D40" s="45">
        <f t="shared" si="0"/>
        <v>3.4672741879267194E-2</v>
      </c>
      <c r="E40" s="45">
        <f t="shared" si="1"/>
        <v>8.9298137647696951E-2</v>
      </c>
      <c r="F40" s="45"/>
    </row>
    <row r="41" spans="1:6" x14ac:dyDescent="0.25">
      <c r="A41" s="43">
        <v>44584</v>
      </c>
      <c r="B41" s="44">
        <v>4542.8599999999997</v>
      </c>
      <c r="C41">
        <v>198</v>
      </c>
      <c r="D41" s="45">
        <f t="shared" si="0"/>
        <v>-2.2204462214732747E-2</v>
      </c>
      <c r="E41" s="45">
        <f t="shared" si="1"/>
        <v>-5.0377940299571808E-3</v>
      </c>
      <c r="F41" s="45"/>
    </row>
    <row r="42" spans="1:6" x14ac:dyDescent="0.25">
      <c r="A42" s="43">
        <v>44591</v>
      </c>
      <c r="B42" s="44">
        <v>4425.5200000000004</v>
      </c>
      <c r="C42">
        <v>178</v>
      </c>
      <c r="D42" s="45">
        <f t="shared" si="0"/>
        <v>-2.6168983981494687E-2</v>
      </c>
      <c r="E42" s="45">
        <f t="shared" si="1"/>
        <v>-0.10648348040245006</v>
      </c>
      <c r="F42" s="45"/>
    </row>
    <row r="43" spans="1:6" x14ac:dyDescent="0.25">
      <c r="A43" s="43">
        <v>44598</v>
      </c>
      <c r="B43" s="44">
        <v>4652.21</v>
      </c>
      <c r="C43">
        <v>176</v>
      </c>
      <c r="D43" s="45">
        <f t="shared" si="0"/>
        <v>4.9954589832073903E-2</v>
      </c>
      <c r="E43" s="45">
        <f t="shared" si="1"/>
        <v>-1.1299555253933394E-2</v>
      </c>
      <c r="F43" s="45"/>
    </row>
    <row r="44" spans="1:6" x14ac:dyDescent="0.25">
      <c r="A44" s="43">
        <v>44605</v>
      </c>
      <c r="B44" s="44">
        <v>4549.07</v>
      </c>
      <c r="C44">
        <v>170</v>
      </c>
      <c r="D44" s="45">
        <f t="shared" si="0"/>
        <v>-2.2419559045181857E-2</v>
      </c>
      <c r="E44" s="45">
        <f t="shared" si="1"/>
        <v>-3.4685557987889984E-2</v>
      </c>
      <c r="F44" s="45"/>
    </row>
    <row r="45" spans="1:6" x14ac:dyDescent="0.25">
      <c r="A45" s="43">
        <v>44612</v>
      </c>
      <c r="B45" s="44">
        <v>4465.51</v>
      </c>
      <c r="C45">
        <v>165</v>
      </c>
      <c r="D45" s="45">
        <f t="shared" si="0"/>
        <v>-1.8539386936653052E-2</v>
      </c>
      <c r="E45" s="45">
        <f t="shared" si="1"/>
        <v>-2.985296314968116E-2</v>
      </c>
      <c r="F45" s="45"/>
    </row>
    <row r="46" spans="1:6" x14ac:dyDescent="0.25">
      <c r="A46" s="43">
        <v>44619</v>
      </c>
      <c r="B46" s="44">
        <v>4641.45</v>
      </c>
      <c r="C46">
        <v>161</v>
      </c>
      <c r="D46" s="45">
        <f t="shared" si="0"/>
        <v>3.8643387890026887E-2</v>
      </c>
      <c r="E46" s="45">
        <f t="shared" si="1"/>
        <v>-2.454110891611766E-2</v>
      </c>
      <c r="F46" s="45"/>
    </row>
    <row r="47" spans="1:6" x14ac:dyDescent="0.25">
      <c r="A47" s="43">
        <v>44626</v>
      </c>
      <c r="B47" s="44">
        <v>4633.3500000000004</v>
      </c>
      <c r="C47">
        <v>163</v>
      </c>
      <c r="D47" s="45">
        <f t="shared" si="0"/>
        <v>-1.7466688358400342E-3</v>
      </c>
      <c r="E47" s="45">
        <f t="shared" si="1"/>
        <v>1.2345835822299362E-2</v>
      </c>
      <c r="F47" s="45"/>
    </row>
    <row r="48" spans="1:6" x14ac:dyDescent="0.25">
      <c r="A48" s="43">
        <v>44633</v>
      </c>
      <c r="B48" s="44">
        <v>4854.4399999999996</v>
      </c>
      <c r="C48">
        <v>176</v>
      </c>
      <c r="D48" s="45">
        <f t="shared" si="0"/>
        <v>4.6613601501023068E-2</v>
      </c>
      <c r="E48" s="45">
        <f t="shared" si="1"/>
        <v>7.6733794231389429E-2</v>
      </c>
      <c r="F48" s="45"/>
    </row>
    <row r="49" spans="1:6" x14ac:dyDescent="0.25">
      <c r="A49" s="43">
        <v>44640</v>
      </c>
      <c r="B49" s="44">
        <v>4965.1099999999997</v>
      </c>
      <c r="C49">
        <v>171</v>
      </c>
      <c r="D49" s="45">
        <f t="shared" si="0"/>
        <v>2.2541702251922691E-2</v>
      </c>
      <c r="E49" s="45">
        <f t="shared" si="1"/>
        <v>-2.8820438535491971E-2</v>
      </c>
      <c r="F49" s="45"/>
    </row>
    <row r="50" spans="1:6" x14ac:dyDescent="0.25">
      <c r="A50" s="43">
        <v>44647</v>
      </c>
      <c r="B50" s="44">
        <v>4978.49</v>
      </c>
      <c r="C50">
        <v>167</v>
      </c>
      <c r="D50" s="45">
        <f t="shared" si="0"/>
        <v>2.6911798695301355E-3</v>
      </c>
      <c r="E50" s="45">
        <f t="shared" si="1"/>
        <v>-2.3669744085904734E-2</v>
      </c>
      <c r="F50" s="45"/>
    </row>
    <row r="51" spans="1:6" x14ac:dyDescent="0.25">
      <c r="A51" s="43">
        <v>44654</v>
      </c>
      <c r="B51" s="44">
        <v>4969.25</v>
      </c>
      <c r="C51">
        <v>170</v>
      </c>
      <c r="D51" s="45">
        <f t="shared" si="0"/>
        <v>-1.8577089182735401E-3</v>
      </c>
      <c r="E51" s="45">
        <f t="shared" si="1"/>
        <v>1.7804624633506686E-2</v>
      </c>
      <c r="F51" s="45"/>
    </row>
    <row r="52" spans="1:6" x14ac:dyDescent="0.25">
      <c r="A52" s="43">
        <v>44661</v>
      </c>
      <c r="B52" s="44">
        <v>4917.3</v>
      </c>
      <c r="C52">
        <v>160</v>
      </c>
      <c r="D52" s="45">
        <f t="shared" si="0"/>
        <v>-1.0509323907284287E-2</v>
      </c>
      <c r="E52" s="45">
        <f t="shared" si="1"/>
        <v>-6.0624621816434854E-2</v>
      </c>
      <c r="F52" s="45"/>
    </row>
    <row r="53" spans="1:6" x14ac:dyDescent="0.25">
      <c r="A53" s="43">
        <v>44668</v>
      </c>
      <c r="B53" s="44">
        <v>4867.88</v>
      </c>
      <c r="C53">
        <v>156</v>
      </c>
      <c r="D53" s="45">
        <f t="shared" si="0"/>
        <v>-1.010107534044982E-2</v>
      </c>
      <c r="E53" s="45">
        <f t="shared" si="1"/>
        <v>-2.5317807984289897E-2</v>
      </c>
      <c r="F53" s="45"/>
    </row>
    <row r="54" spans="1:6" x14ac:dyDescent="0.25">
      <c r="A54" s="43">
        <v>44675</v>
      </c>
      <c r="B54" s="44">
        <v>4778.43</v>
      </c>
      <c r="C54">
        <v>150</v>
      </c>
      <c r="D54" s="45">
        <f t="shared" si="0"/>
        <v>-1.8546483372451558E-2</v>
      </c>
      <c r="E54" s="45">
        <f t="shared" si="1"/>
        <v>-3.9220713153281267E-2</v>
      </c>
      <c r="F54" s="45"/>
    </row>
    <row r="55" spans="1:6" x14ac:dyDescent="0.25">
      <c r="A55" s="43">
        <v>44682</v>
      </c>
      <c r="B55" s="44">
        <v>4838.54</v>
      </c>
      <c r="C55">
        <v>147</v>
      </c>
      <c r="D55" s="45">
        <f t="shared" si="0"/>
        <v>1.2500981661207181E-2</v>
      </c>
      <c r="E55" s="45">
        <f t="shared" si="1"/>
        <v>-2.0202707317519466E-2</v>
      </c>
      <c r="F55" s="45"/>
    </row>
    <row r="56" spans="1:6" x14ac:dyDescent="0.25">
      <c r="A56" s="43">
        <v>44689</v>
      </c>
      <c r="B56" s="44">
        <v>4850.4399999999996</v>
      </c>
      <c r="C56">
        <v>141</v>
      </c>
      <c r="D56" s="45">
        <f t="shared" si="0"/>
        <v>2.4564001543234725E-3</v>
      </c>
      <c r="E56" s="45">
        <f t="shared" si="1"/>
        <v>-4.1672696400568074E-2</v>
      </c>
      <c r="F56" s="45"/>
    </row>
    <row r="57" spans="1:6" x14ac:dyDescent="0.25">
      <c r="A57" s="43">
        <v>44696</v>
      </c>
      <c r="B57" s="44">
        <v>4982.95</v>
      </c>
      <c r="C57">
        <v>153</v>
      </c>
      <c r="D57" s="45">
        <f t="shared" si="0"/>
        <v>2.695266264901465E-2</v>
      </c>
      <c r="E57" s="45">
        <f t="shared" si="1"/>
        <v>8.16780310142671E-2</v>
      </c>
      <c r="F57" s="45"/>
    </row>
    <row r="58" spans="1:6" x14ac:dyDescent="0.25">
      <c r="A58" s="43">
        <v>44703</v>
      </c>
      <c r="B58" s="44">
        <v>5387.06</v>
      </c>
      <c r="C58">
        <v>164</v>
      </c>
      <c r="D58" s="45">
        <f t="shared" si="0"/>
        <v>7.7977696428072854E-2</v>
      </c>
      <c r="E58" s="45">
        <f t="shared" si="1"/>
        <v>6.9428506431762932E-2</v>
      </c>
      <c r="F58" s="45"/>
    </row>
    <row r="59" spans="1:6" x14ac:dyDescent="0.25">
      <c r="A59" s="43">
        <v>44710</v>
      </c>
      <c r="B59" s="44">
        <v>5352.44</v>
      </c>
      <c r="C59">
        <v>167</v>
      </c>
      <c r="D59" s="45">
        <f t="shared" si="0"/>
        <v>-6.4472498572188917E-3</v>
      </c>
      <c r="E59" s="45">
        <f t="shared" si="1"/>
        <v>1.8127384592556701E-2</v>
      </c>
      <c r="F59" s="45"/>
    </row>
    <row r="60" spans="1:6" x14ac:dyDescent="0.25">
      <c r="A60" s="43">
        <v>44717</v>
      </c>
      <c r="B60" s="44">
        <v>5237.8500000000004</v>
      </c>
      <c r="C60">
        <v>160</v>
      </c>
      <c r="D60" s="45">
        <f t="shared" si="0"/>
        <v>-2.1641422912615175E-2</v>
      </c>
      <c r="E60" s="45">
        <f t="shared" si="1"/>
        <v>-4.2819997182928185E-2</v>
      </c>
      <c r="F60" s="45"/>
    </row>
    <row r="61" spans="1:6" x14ac:dyDescent="0.25">
      <c r="A61" s="43">
        <v>44724</v>
      </c>
      <c r="B61" s="44">
        <v>5067.0600000000004</v>
      </c>
      <c r="C61">
        <v>152</v>
      </c>
      <c r="D61" s="45">
        <f t="shared" si="0"/>
        <v>-3.3150341041276503E-2</v>
      </c>
      <c r="E61" s="45">
        <f t="shared" si="1"/>
        <v>-5.1293294387550578E-2</v>
      </c>
      <c r="F61" s="45"/>
    </row>
    <row r="62" spans="1:6" x14ac:dyDescent="0.25">
      <c r="A62" s="43">
        <v>44731</v>
      </c>
      <c r="B62" s="44">
        <v>4983.66</v>
      </c>
      <c r="C62">
        <v>150</v>
      </c>
      <c r="D62" s="45">
        <f t="shared" si="0"/>
        <v>-1.6596206890270707E-2</v>
      </c>
      <c r="E62" s="45">
        <f t="shared" si="1"/>
        <v>-1.324522675002068E-2</v>
      </c>
      <c r="F62" s="45"/>
    </row>
    <row r="63" spans="1:6" x14ac:dyDescent="0.25">
      <c r="A63" s="43">
        <v>44738</v>
      </c>
      <c r="B63" s="44">
        <v>4993.37</v>
      </c>
      <c r="C63">
        <v>148</v>
      </c>
      <c r="D63" s="45">
        <f t="shared" si="0"/>
        <v>1.9464716585460655E-3</v>
      </c>
      <c r="E63" s="45">
        <f t="shared" si="1"/>
        <v>-1.3423020332140661E-2</v>
      </c>
      <c r="F63" s="45"/>
    </row>
    <row r="64" spans="1:6" x14ac:dyDescent="0.25">
      <c r="A64" s="43">
        <v>44745</v>
      </c>
      <c r="B64" s="44">
        <v>5112.78</v>
      </c>
      <c r="C64">
        <v>158</v>
      </c>
      <c r="D64" s="45">
        <f t="shared" si="0"/>
        <v>2.3632255077215534E-2</v>
      </c>
      <c r="E64" s="45">
        <f t="shared" si="1"/>
        <v>6.5382759262851711E-2</v>
      </c>
      <c r="F64" s="45"/>
    </row>
    <row r="65" spans="1:6" x14ac:dyDescent="0.25">
      <c r="A65" s="43">
        <v>44752</v>
      </c>
      <c r="B65" s="44">
        <v>5091.7299999999996</v>
      </c>
      <c r="C65">
        <v>182</v>
      </c>
      <c r="D65" s="45">
        <f t="shared" si="0"/>
        <v>-4.1256326579895749E-3</v>
      </c>
      <c r="E65" s="45">
        <f t="shared" si="1"/>
        <v>0.14141165404982847</v>
      </c>
      <c r="F65" s="45"/>
    </row>
    <row r="66" spans="1:6" x14ac:dyDescent="0.25">
      <c r="A66" s="43">
        <v>44759</v>
      </c>
      <c r="B66" s="44">
        <v>5220.33</v>
      </c>
      <c r="C66">
        <v>170</v>
      </c>
      <c r="D66" s="45">
        <f t="shared" si="0"/>
        <v>2.4942963349758925E-2</v>
      </c>
      <c r="E66" s="45">
        <f t="shared" si="1"/>
        <v>-6.8208250026533579E-2</v>
      </c>
      <c r="F66" s="45"/>
    </row>
    <row r="67" spans="1:6" x14ac:dyDescent="0.25">
      <c r="A67" s="43">
        <v>44766</v>
      </c>
      <c r="B67" s="44">
        <v>5259.05</v>
      </c>
      <c r="C67">
        <v>181</v>
      </c>
      <c r="D67" s="45">
        <f t="shared" si="0"/>
        <v>7.3897837857909631E-3</v>
      </c>
      <c r="E67" s="45">
        <f t="shared" si="1"/>
        <v>6.269859421556398E-2</v>
      </c>
      <c r="F67" s="45"/>
    </row>
    <row r="68" spans="1:6" x14ac:dyDescent="0.25">
      <c r="A68" s="43">
        <v>44773</v>
      </c>
      <c r="B68" s="44">
        <v>5212.3999999999996</v>
      </c>
      <c r="C68">
        <v>175</v>
      </c>
      <c r="D68" s="45">
        <f t="shared" ref="D68:D105" si="2">LN(B68/B67)</f>
        <v>-8.9099997843309579E-3</v>
      </c>
      <c r="E68" s="45">
        <f t="shared" ref="E68:E105" si="3">LN(C68/C67)</f>
        <v>-3.3711057342311723E-2</v>
      </c>
      <c r="F68" s="45"/>
    </row>
    <row r="69" spans="1:6" x14ac:dyDescent="0.25">
      <c r="A69" s="43">
        <v>44780</v>
      </c>
      <c r="B69" s="44">
        <v>5394.91</v>
      </c>
      <c r="C69">
        <v>185</v>
      </c>
      <c r="D69" s="45">
        <f t="shared" si="2"/>
        <v>3.44155141692686E-2</v>
      </c>
      <c r="E69" s="45">
        <f t="shared" si="3"/>
        <v>5.5569851154810786E-2</v>
      </c>
      <c r="F69" s="45"/>
    </row>
    <row r="70" spans="1:6" x14ac:dyDescent="0.25">
      <c r="A70" s="43">
        <v>44787</v>
      </c>
      <c r="B70" s="44">
        <v>5292.84</v>
      </c>
      <c r="C70">
        <v>192</v>
      </c>
      <c r="D70" s="45">
        <f t="shared" si="2"/>
        <v>-1.9100952642741625E-2</v>
      </c>
      <c r="E70" s="45">
        <f t="shared" si="3"/>
        <v>3.7139546949456786E-2</v>
      </c>
      <c r="F70" s="45"/>
    </row>
    <row r="71" spans="1:6" x14ac:dyDescent="0.25">
      <c r="A71" s="43">
        <v>44794</v>
      </c>
      <c r="B71" s="44">
        <v>5461.8</v>
      </c>
      <c r="C71">
        <v>205</v>
      </c>
      <c r="D71" s="45">
        <f t="shared" si="2"/>
        <v>3.1423441942020423E-2</v>
      </c>
      <c r="E71" s="45">
        <f t="shared" si="3"/>
        <v>6.5514607110626566E-2</v>
      </c>
      <c r="F71" s="45"/>
    </row>
    <row r="72" spans="1:6" x14ac:dyDescent="0.25">
      <c r="A72" s="43">
        <v>44801</v>
      </c>
      <c r="B72" s="44">
        <v>5653.2</v>
      </c>
      <c r="C72">
        <v>207</v>
      </c>
      <c r="D72" s="45">
        <f t="shared" si="2"/>
        <v>3.4443350754697497E-2</v>
      </c>
      <c r="E72" s="45">
        <f t="shared" si="3"/>
        <v>9.7088141269609032E-3</v>
      </c>
      <c r="F72" s="45"/>
    </row>
    <row r="73" spans="1:6" x14ac:dyDescent="0.25">
      <c r="A73" s="43">
        <v>44808</v>
      </c>
      <c r="B73" s="44">
        <v>5612.03</v>
      </c>
      <c r="C73">
        <v>188</v>
      </c>
      <c r="D73" s="45">
        <f t="shared" si="2"/>
        <v>-7.3092485981204576E-3</v>
      </c>
      <c r="E73" s="45">
        <f t="shared" si="3"/>
        <v>-9.6276830435419833E-2</v>
      </c>
      <c r="F73" s="45"/>
    </row>
    <row r="74" spans="1:6" x14ac:dyDescent="0.25">
      <c r="A74" s="43">
        <v>44815</v>
      </c>
      <c r="B74" s="44">
        <v>5522.92</v>
      </c>
      <c r="C74">
        <v>192</v>
      </c>
      <c r="D74" s="45">
        <f t="shared" si="2"/>
        <v>-1.6005801980999608E-2</v>
      </c>
      <c r="E74" s="45">
        <f t="shared" si="3"/>
        <v>2.1053409197832263E-2</v>
      </c>
      <c r="F74" s="45"/>
    </row>
    <row r="75" spans="1:6" x14ac:dyDescent="0.25">
      <c r="A75" s="43">
        <v>44822</v>
      </c>
      <c r="B75" s="44">
        <v>5207.22</v>
      </c>
      <c r="C75">
        <v>187</v>
      </c>
      <c r="D75" s="45">
        <f t="shared" si="2"/>
        <v>-5.8860581828308133E-2</v>
      </c>
      <c r="E75" s="45">
        <f t="shared" si="3"/>
        <v>-2.6386755173194887E-2</v>
      </c>
      <c r="F75" s="45"/>
    </row>
    <row r="76" spans="1:6" x14ac:dyDescent="0.25">
      <c r="A76" s="43">
        <v>44829</v>
      </c>
      <c r="B76" s="44">
        <v>5114.1899999999996</v>
      </c>
      <c r="C76">
        <v>187</v>
      </c>
      <c r="D76" s="45">
        <f t="shared" si="2"/>
        <v>-1.8027095012017488E-2</v>
      </c>
      <c r="E76" s="45">
        <f t="shared" si="3"/>
        <v>0</v>
      </c>
      <c r="F76" s="45"/>
    </row>
    <row r="77" spans="1:6" x14ac:dyDescent="0.25">
      <c r="A77" s="43">
        <v>44836</v>
      </c>
      <c r="B77" s="44">
        <v>5079.68</v>
      </c>
      <c r="C77">
        <v>193</v>
      </c>
      <c r="D77" s="45">
        <f t="shared" si="2"/>
        <v>-6.7707616120939486E-3</v>
      </c>
      <c r="E77" s="45">
        <f t="shared" si="3"/>
        <v>3.1581572050298837E-2</v>
      </c>
      <c r="F77" s="45"/>
    </row>
    <row r="78" spans="1:6" x14ac:dyDescent="0.25">
      <c r="A78" s="43">
        <v>44843</v>
      </c>
      <c r="B78" s="44">
        <v>4972.3900000000003</v>
      </c>
      <c r="C78">
        <v>190</v>
      </c>
      <c r="D78" s="45">
        <f t="shared" si="2"/>
        <v>-2.1347657648196971E-2</v>
      </c>
      <c r="E78" s="45">
        <f t="shared" si="3"/>
        <v>-1.5666116744399463E-2</v>
      </c>
      <c r="F78" s="45"/>
    </row>
    <row r="79" spans="1:6" x14ac:dyDescent="0.25">
      <c r="A79" s="43">
        <v>44850</v>
      </c>
      <c r="B79" s="44">
        <v>5147.37</v>
      </c>
      <c r="C79">
        <v>192</v>
      </c>
      <c r="D79" s="45">
        <f t="shared" si="2"/>
        <v>3.4585294790628392E-2</v>
      </c>
      <c r="E79" s="45">
        <f t="shared" si="3"/>
        <v>1.0471299867295437E-2</v>
      </c>
      <c r="F79" s="45"/>
    </row>
    <row r="80" spans="1:6" x14ac:dyDescent="0.25">
      <c r="A80" s="43">
        <v>44857</v>
      </c>
      <c r="B80" s="44">
        <v>5193.8100000000004</v>
      </c>
      <c r="C80">
        <v>199</v>
      </c>
      <c r="D80" s="45">
        <f t="shared" si="2"/>
        <v>8.9816272787134627E-3</v>
      </c>
      <c r="E80" s="45">
        <f t="shared" si="3"/>
        <v>3.5809452696710778E-2</v>
      </c>
      <c r="F80" s="45"/>
    </row>
    <row r="81" spans="1:6" x14ac:dyDescent="0.25">
      <c r="A81" s="43">
        <v>44864</v>
      </c>
      <c r="B81" s="44">
        <v>5220.04</v>
      </c>
      <c r="C81">
        <v>196</v>
      </c>
      <c r="D81" s="45">
        <f t="shared" si="2"/>
        <v>5.0375327989730231E-3</v>
      </c>
      <c r="E81" s="45">
        <f t="shared" si="3"/>
        <v>-1.519016549397512E-2</v>
      </c>
      <c r="F81" s="45"/>
    </row>
    <row r="82" spans="1:6" x14ac:dyDescent="0.25">
      <c r="A82" s="43">
        <v>44871</v>
      </c>
      <c r="B82" s="44">
        <v>5350.79</v>
      </c>
      <c r="C82">
        <v>198</v>
      </c>
      <c r="D82" s="45">
        <f t="shared" si="2"/>
        <v>2.4739148857690969E-2</v>
      </c>
      <c r="E82" s="45">
        <f t="shared" si="3"/>
        <v>1.0152371464017908E-2</v>
      </c>
      <c r="F82" s="45"/>
    </row>
    <row r="83" spans="1:6" x14ac:dyDescent="0.25">
      <c r="A83" s="43">
        <v>44878</v>
      </c>
      <c r="B83" s="44">
        <v>5196.92</v>
      </c>
      <c r="C83">
        <v>199</v>
      </c>
      <c r="D83" s="45">
        <f t="shared" si="2"/>
        <v>-2.9178071146552076E-2</v>
      </c>
      <c r="E83" s="45">
        <f t="shared" si="3"/>
        <v>5.037794029957081E-3</v>
      </c>
      <c r="F83" s="45"/>
    </row>
    <row r="84" spans="1:6" x14ac:dyDescent="0.25">
      <c r="A84" s="43">
        <v>44885</v>
      </c>
      <c r="B84" s="44">
        <v>5249.57</v>
      </c>
      <c r="C84">
        <v>206</v>
      </c>
      <c r="D84" s="45">
        <f t="shared" si="2"/>
        <v>1.0080026075673513E-2</v>
      </c>
      <c r="E84" s="45">
        <f t="shared" si="3"/>
        <v>3.4571344065088723E-2</v>
      </c>
      <c r="F84" s="45"/>
    </row>
    <row r="85" spans="1:6" x14ac:dyDescent="0.25">
      <c r="A85" s="43">
        <v>44892</v>
      </c>
      <c r="B85" s="44">
        <v>5290.76</v>
      </c>
      <c r="C85">
        <v>207</v>
      </c>
      <c r="D85" s="45">
        <f t="shared" si="2"/>
        <v>7.8157343605873252E-3</v>
      </c>
      <c r="E85" s="45">
        <f t="shared" si="3"/>
        <v>4.8426244757879908E-3</v>
      </c>
      <c r="F85" s="45"/>
    </row>
    <row r="86" spans="1:6" x14ac:dyDescent="0.25">
      <c r="A86" s="43">
        <v>44899</v>
      </c>
      <c r="B86" s="44">
        <v>5192.68</v>
      </c>
      <c r="C86">
        <v>208</v>
      </c>
      <c r="D86" s="45">
        <f t="shared" si="2"/>
        <v>-1.871196129777317E-2</v>
      </c>
      <c r="E86" s="45">
        <f t="shared" si="3"/>
        <v>4.8192864359489218E-3</v>
      </c>
      <c r="F86" s="45"/>
    </row>
    <row r="87" spans="1:6" x14ac:dyDescent="0.25">
      <c r="A87" s="43">
        <v>44906</v>
      </c>
      <c r="B87" s="44">
        <v>5161.25</v>
      </c>
      <c r="C87">
        <v>204</v>
      </c>
      <c r="D87" s="45">
        <f t="shared" si="2"/>
        <v>-6.0711433319005047E-3</v>
      </c>
      <c r="E87" s="45">
        <f t="shared" si="3"/>
        <v>-1.9418085857101627E-2</v>
      </c>
      <c r="F87" s="45"/>
    </row>
    <row r="88" spans="1:6" x14ac:dyDescent="0.25">
      <c r="A88" s="43">
        <v>44913</v>
      </c>
      <c r="B88" s="44">
        <v>5255.38</v>
      </c>
      <c r="C88">
        <v>198</v>
      </c>
      <c r="D88" s="45">
        <f t="shared" si="2"/>
        <v>1.8073515580088649E-2</v>
      </c>
      <c r="E88" s="45">
        <f t="shared" si="3"/>
        <v>-2.985296314968116E-2</v>
      </c>
      <c r="F88" s="45"/>
    </row>
    <row r="89" spans="1:6" x14ac:dyDescent="0.25">
      <c r="A89" s="43">
        <v>44920</v>
      </c>
      <c r="B89" s="44">
        <v>5262.43</v>
      </c>
      <c r="C89">
        <v>195</v>
      </c>
      <c r="D89" s="45">
        <f t="shared" si="2"/>
        <v>1.3405834590726334E-3</v>
      </c>
      <c r="E89" s="45">
        <f t="shared" si="3"/>
        <v>-1.5267472130788421E-2</v>
      </c>
      <c r="F89" s="45"/>
    </row>
    <row r="90" spans="1:6" x14ac:dyDescent="0.25">
      <c r="A90" s="43">
        <v>44927</v>
      </c>
      <c r="B90" s="44">
        <v>5136.6899999999996</v>
      </c>
      <c r="C90">
        <v>191</v>
      </c>
      <c r="D90" s="45">
        <f t="shared" si="2"/>
        <v>-2.4183994098859716E-2</v>
      </c>
      <c r="E90" s="45">
        <f t="shared" si="3"/>
        <v>-2.072613051711697E-2</v>
      </c>
      <c r="F90" s="45"/>
    </row>
    <row r="91" spans="1:6" x14ac:dyDescent="0.25">
      <c r="A91" s="43">
        <v>44934</v>
      </c>
      <c r="B91" s="44">
        <v>5156.6499999999996</v>
      </c>
      <c r="C91">
        <v>192</v>
      </c>
      <c r="D91" s="45">
        <f t="shared" si="2"/>
        <v>3.8782406911218302E-3</v>
      </c>
      <c r="E91" s="45">
        <f t="shared" si="3"/>
        <v>5.2219439811516249E-3</v>
      </c>
      <c r="F91" s="45"/>
    </row>
    <row r="92" spans="1:6" x14ac:dyDescent="0.25">
      <c r="A92" s="43">
        <v>44941</v>
      </c>
      <c r="B92" s="44">
        <v>5235.97</v>
      </c>
      <c r="C92">
        <v>189</v>
      </c>
      <c r="D92" s="45">
        <f t="shared" si="2"/>
        <v>1.5264974617100181E-2</v>
      </c>
      <c r="E92" s="45">
        <f t="shared" si="3"/>
        <v>-1.5748356968139168E-2</v>
      </c>
      <c r="F92" s="45"/>
    </row>
    <row r="93" spans="1:6" x14ac:dyDescent="0.25">
      <c r="A93" s="43">
        <v>44948</v>
      </c>
      <c r="B93" s="44">
        <v>5351.34</v>
      </c>
      <c r="C93">
        <v>195</v>
      </c>
      <c r="D93" s="45">
        <f t="shared" si="2"/>
        <v>2.179487836925344E-2</v>
      </c>
      <c r="E93" s="45">
        <f t="shared" si="3"/>
        <v>3.125254350410453E-2</v>
      </c>
      <c r="F93" s="45"/>
    </row>
    <row r="94" spans="1:6" x14ac:dyDescent="0.25">
      <c r="A94" s="43">
        <v>44955</v>
      </c>
      <c r="B94" s="44">
        <v>5314.29</v>
      </c>
      <c r="C94">
        <v>194</v>
      </c>
      <c r="D94" s="45">
        <f t="shared" si="2"/>
        <v>-6.9475781608646005E-3</v>
      </c>
      <c r="E94" s="45">
        <f t="shared" si="3"/>
        <v>-5.1413995004186523E-3</v>
      </c>
      <c r="F94" s="45"/>
    </row>
    <row r="95" spans="1:6" x14ac:dyDescent="0.25">
      <c r="A95" s="43">
        <v>44962</v>
      </c>
      <c r="B95" s="44">
        <v>5392.45</v>
      </c>
      <c r="C95">
        <v>198</v>
      </c>
      <c r="D95" s="45">
        <f t="shared" si="2"/>
        <v>1.4600408425884852E-2</v>
      </c>
      <c r="E95" s="45">
        <f t="shared" si="3"/>
        <v>2.0408871631207033E-2</v>
      </c>
      <c r="F95" s="45"/>
    </row>
    <row r="96" spans="1:6" x14ac:dyDescent="0.25">
      <c r="A96" s="43">
        <v>44969</v>
      </c>
      <c r="B96" s="44">
        <v>5328.96</v>
      </c>
      <c r="C96">
        <v>200</v>
      </c>
      <c r="D96" s="45">
        <f t="shared" si="2"/>
        <v>-1.1843729913191037E-2</v>
      </c>
      <c r="E96" s="45">
        <f t="shared" si="3"/>
        <v>1.0050335853501506E-2</v>
      </c>
      <c r="F96" s="45"/>
    </row>
    <row r="97" spans="1:6" x14ac:dyDescent="0.25">
      <c r="A97" s="43">
        <v>44976</v>
      </c>
      <c r="B97" s="44">
        <v>5331.57</v>
      </c>
      <c r="C97">
        <v>198</v>
      </c>
      <c r="D97" s="45">
        <f t="shared" si="2"/>
        <v>4.8965671540684768E-4</v>
      </c>
      <c r="E97" s="45">
        <f t="shared" si="3"/>
        <v>-1.0050335853501451E-2</v>
      </c>
      <c r="F97" s="45"/>
    </row>
    <row r="98" spans="1:6" x14ac:dyDescent="0.25">
      <c r="A98" s="43">
        <v>44983</v>
      </c>
      <c r="B98" s="44">
        <v>5439.46</v>
      </c>
      <c r="C98">
        <v>203</v>
      </c>
      <c r="D98" s="45">
        <f t="shared" si="2"/>
        <v>2.0034037331725915E-2</v>
      </c>
      <c r="E98" s="45">
        <f t="shared" si="3"/>
        <v>2.4938948347252146E-2</v>
      </c>
      <c r="F98" s="45"/>
    </row>
    <row r="99" spans="1:6" x14ac:dyDescent="0.25">
      <c r="A99" s="43">
        <v>44990</v>
      </c>
      <c r="B99" s="44">
        <v>5393.72</v>
      </c>
      <c r="C99">
        <v>225</v>
      </c>
      <c r="D99" s="45">
        <f t="shared" si="2"/>
        <v>-8.4444773938163326E-3</v>
      </c>
      <c r="E99" s="45">
        <f t="shared" si="3"/>
        <v>0.10289442316263288</v>
      </c>
      <c r="F99" s="45"/>
    </row>
    <row r="100" spans="1:6" x14ac:dyDescent="0.25">
      <c r="A100" s="43">
        <v>44997</v>
      </c>
      <c r="B100" s="44">
        <v>5112.03</v>
      </c>
      <c r="C100">
        <v>231</v>
      </c>
      <c r="D100" s="45">
        <f t="shared" si="2"/>
        <v>-5.3638728238470948E-2</v>
      </c>
      <c r="E100" s="45">
        <f t="shared" si="3"/>
        <v>2.6317308317373358E-2</v>
      </c>
      <c r="F100" s="45"/>
    </row>
    <row r="101" spans="1:6" x14ac:dyDescent="0.25">
      <c r="A101" s="43">
        <v>45004</v>
      </c>
      <c r="B101" s="44">
        <v>5248.86</v>
      </c>
      <c r="C101">
        <v>235</v>
      </c>
      <c r="D101" s="45">
        <f t="shared" si="2"/>
        <v>2.6414324564851099E-2</v>
      </c>
      <c r="E101" s="45">
        <f t="shared" si="3"/>
        <v>1.7167803622365498E-2</v>
      </c>
      <c r="F101" s="45"/>
    </row>
    <row r="102" spans="1:6" x14ac:dyDescent="0.25">
      <c r="A102" s="43">
        <v>45011</v>
      </c>
      <c r="B102" s="44">
        <v>5324.62</v>
      </c>
      <c r="C102">
        <v>225</v>
      </c>
      <c r="D102" s="45">
        <f t="shared" si="2"/>
        <v>1.4330437379322283E-2</v>
      </c>
      <c r="E102" s="45">
        <f t="shared" si="3"/>
        <v>-4.348511193973878E-2</v>
      </c>
      <c r="F102" s="45"/>
    </row>
    <row r="103" spans="1:6" x14ac:dyDescent="0.25">
      <c r="A103" s="43">
        <v>45018</v>
      </c>
      <c r="B103" s="44">
        <v>5274.2</v>
      </c>
      <c r="C103">
        <v>234</v>
      </c>
      <c r="D103" s="45">
        <f t="shared" si="2"/>
        <v>-9.5143384537843875E-3</v>
      </c>
      <c r="E103" s="45">
        <f t="shared" si="3"/>
        <v>3.9220713153281329E-2</v>
      </c>
      <c r="F103" s="45"/>
    </row>
    <row r="104" spans="1:6" x14ac:dyDescent="0.25">
      <c r="A104" s="43">
        <v>45025</v>
      </c>
      <c r="B104" s="44">
        <v>5417.18</v>
      </c>
      <c r="C104">
        <v>240</v>
      </c>
      <c r="D104" s="45">
        <f t="shared" si="2"/>
        <v>2.6748375755082369E-2</v>
      </c>
      <c r="E104" s="45">
        <f t="shared" si="3"/>
        <v>2.5317807984289786E-2</v>
      </c>
      <c r="F104" s="45"/>
    </row>
    <row r="105" spans="1:6" x14ac:dyDescent="0.25">
      <c r="A105" s="43">
        <v>45032</v>
      </c>
      <c r="B105" s="44">
        <v>5226.93</v>
      </c>
      <c r="C105">
        <v>250</v>
      </c>
      <c r="D105" s="45">
        <f t="shared" si="2"/>
        <v>-3.5751277210036139E-2</v>
      </c>
      <c r="E105" s="45">
        <f t="shared" si="3"/>
        <v>4.08219945202552E-2</v>
      </c>
      <c r="F105" s="45"/>
    </row>
  </sheetData>
  <mergeCells count="3">
    <mergeCell ref="D1:E1"/>
    <mergeCell ref="K7:K8"/>
    <mergeCell ref="K9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Desarrollo</vt:lpstr>
      <vt:lpstr>Desarrollo Deuda 1</vt:lpstr>
      <vt:lpstr>Parte 1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Ponce Arellano</dc:creator>
  <cp:lastModifiedBy>Denis Ponce Arellano</cp:lastModifiedBy>
  <dcterms:created xsi:type="dcterms:W3CDTF">2022-03-30T14:30:00Z</dcterms:created>
  <dcterms:modified xsi:type="dcterms:W3CDTF">2024-07-02T04:01:45Z</dcterms:modified>
</cp:coreProperties>
</file>