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Mateo Cerdas\Downloads\things_to save\things_to save\tfg acv\Escritos\Keep working on here\Academic_documents\"/>
    </mc:Choice>
  </mc:AlternateContent>
  <xr:revisionPtr revIDLastSave="0" documentId="13_ncr:1_{65CA088B-D0ED-4E92-AC1F-EB1255A05321}" xr6:coauthVersionLast="47" xr6:coauthVersionMax="47" xr10:uidLastSave="{00000000-0000-0000-0000-000000000000}"/>
  <bookViews>
    <workbookView xWindow="28680" yWindow="-120" windowWidth="24240" windowHeight="13020" firstSheet="6" activeTab="10" xr2:uid="{00000000-000D-0000-FFFF-FFFF00000000}"/>
  </bookViews>
  <sheets>
    <sheet name="Hoja1" sheetId="1" r:id="rId1"/>
    <sheet name="Hoja2" sheetId="2" r:id="rId2"/>
    <sheet name="CH4 manure manag" sheetId="3" r:id="rId3"/>
    <sheet name="CH4 Tier 2" sheetId="8" r:id="rId4"/>
    <sheet name="direct N2O manure manag" sheetId="4" r:id="rId5"/>
    <sheet name="N volatilization " sheetId="6" r:id="rId6"/>
    <sheet name="N lixiviado" sheetId="5" r:id="rId7"/>
    <sheet name="N20 inidrecto" sheetId="7" r:id="rId8"/>
    <sheet name="Molecular mass calc" sheetId="19" r:id="rId9"/>
    <sheet name="suelo_N20directo" sheetId="14" r:id="rId10"/>
    <sheet name="suelo_N20indirecto" sheetId="15" r:id="rId11"/>
    <sheet name="Summary (3)" sheetId="18" r:id="rId12"/>
    <sheet name="GWP and EPP" sheetId="10" r:id="rId13"/>
    <sheet name="TS avg" sheetId="11" r:id="rId14"/>
    <sheet name="Summary" sheetId="9" r:id="rId15"/>
    <sheet name="Summary (2)" sheetId="17" r:id="rId16"/>
    <sheet name="Hoja4" sheetId="13" r:id="rId17"/>
    <sheet name="Hoja5" sheetId="16" r:id="rId18"/>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5" i="19" l="1"/>
  <c r="B13" i="19"/>
  <c r="B5" i="19"/>
  <c r="A13" i="19"/>
  <c r="A8" i="19"/>
  <c r="B8" i="19"/>
  <c r="G21" i="18"/>
  <c r="G22" i="18"/>
  <c r="G11" i="18"/>
  <c r="G9" i="18"/>
  <c r="G7" i="18"/>
  <c r="G6" i="18"/>
  <c r="G38" i="17"/>
  <c r="G27" i="17"/>
  <c r="G22" i="17"/>
  <c r="G11" i="17"/>
  <c r="G9" i="17"/>
  <c r="G7" i="17"/>
  <c r="G6" i="17"/>
  <c r="G38" i="9"/>
  <c r="B20" i="14"/>
  <c r="B19" i="14"/>
  <c r="B34" i="7"/>
  <c r="B7" i="7"/>
  <c r="C14" i="5"/>
  <c r="C34" i="7" s="1"/>
  <c r="B40" i="7" s="1"/>
  <c r="B12" i="8"/>
  <c r="G14" i="17" s="1"/>
  <c r="B13" i="8"/>
  <c r="G23" i="17" s="1"/>
  <c r="B14" i="8"/>
  <c r="G30" i="17" s="1"/>
  <c r="B15" i="8"/>
  <c r="B18" i="14"/>
  <c r="B14" i="14"/>
  <c r="G11" i="9"/>
  <c r="G9" i="9"/>
  <c r="D4" i="11"/>
  <c r="D5" i="11"/>
  <c r="D6" i="11"/>
  <c r="D7" i="11"/>
  <c r="D3" i="11"/>
  <c r="D9" i="11" s="1"/>
  <c r="G7" i="9"/>
  <c r="G6" i="9"/>
  <c r="G27" i="9"/>
  <c r="A30" i="7"/>
  <c r="B30" i="7"/>
  <c r="C30" i="7"/>
  <c r="A31" i="7"/>
  <c r="B31" i="7"/>
  <c r="A32" i="7"/>
  <c r="B32" i="7"/>
  <c r="A33" i="7"/>
  <c r="B33" i="7"/>
  <c r="C12" i="5"/>
  <c r="C32" i="7" s="1"/>
  <c r="B38" i="7" s="1"/>
  <c r="G26" i="9" s="1"/>
  <c r="C13" i="5"/>
  <c r="G32" i="9" s="1"/>
  <c r="A3" i="7"/>
  <c r="B3" i="7"/>
  <c r="C3" i="7"/>
  <c r="A4" i="7"/>
  <c r="B4" i="7"/>
  <c r="A5" i="7"/>
  <c r="B5" i="7"/>
  <c r="A6" i="7"/>
  <c r="B6" i="7"/>
  <c r="C11" i="5"/>
  <c r="G16" i="9" s="1"/>
  <c r="G8" i="9" s="1"/>
  <c r="C15" i="4"/>
  <c r="G31" i="9" s="1"/>
  <c r="D4" i="3"/>
  <c r="B7" i="3" s="1"/>
  <c r="B13" i="3"/>
  <c r="P15" i="1"/>
  <c r="A24" i="1"/>
  <c r="A20" i="1"/>
  <c r="A30" i="1"/>
  <c r="B7" i="1"/>
  <c r="C7" i="1"/>
  <c r="A7" i="1"/>
  <c r="D6" i="1"/>
  <c r="A5" i="1"/>
  <c r="D5" i="1" s="1"/>
  <c r="D7" i="1" s="1"/>
  <c r="A3" i="1"/>
  <c r="D3" i="1" s="1"/>
  <c r="B13" i="14" l="1"/>
  <c r="B9" i="14" s="1"/>
  <c r="G26" i="18"/>
  <c r="G42" i="17"/>
  <c r="G42" i="9"/>
  <c r="G32" i="17"/>
  <c r="G16" i="17"/>
  <c r="G8" i="17" s="1"/>
  <c r="G16" i="18"/>
  <c r="G8" i="18" s="1"/>
  <c r="G40" i="9"/>
  <c r="G40" i="17"/>
  <c r="C31" i="7"/>
  <c r="B37" i="7" s="1"/>
  <c r="G24" i="17"/>
  <c r="G24" i="18"/>
  <c r="G26" i="17"/>
  <c r="B10" i="15"/>
  <c r="B4" i="14"/>
  <c r="C4" i="14" s="1"/>
  <c r="C13" i="4"/>
  <c r="C14" i="4"/>
  <c r="B6" i="6"/>
  <c r="C12" i="6" s="1"/>
  <c r="G25" i="17" s="1"/>
  <c r="C16" i="4"/>
  <c r="G31" i="17"/>
  <c r="G14" i="18"/>
  <c r="B12" i="14"/>
  <c r="B8" i="14" s="1"/>
  <c r="B11" i="14"/>
  <c r="B7" i="14" s="1"/>
  <c r="G14" i="9"/>
  <c r="G23" i="9"/>
  <c r="G30" i="9"/>
  <c r="C33" i="7"/>
  <c r="B39" i="7" s="1"/>
  <c r="G24" i="9"/>
  <c r="D8" i="11"/>
  <c r="C13" i="3"/>
  <c r="C12" i="3"/>
  <c r="G22" i="9" s="1"/>
  <c r="C11" i="3"/>
  <c r="G34" i="9" l="1"/>
  <c r="G34" i="17"/>
  <c r="G18" i="9"/>
  <c r="G10" i="9" s="1"/>
  <c r="G12" i="9" s="1"/>
  <c r="G18" i="18"/>
  <c r="G10" i="18" s="1"/>
  <c r="G13" i="18" s="1"/>
  <c r="G18" i="17"/>
  <c r="G10" i="17" s="1"/>
  <c r="C11" i="6"/>
  <c r="C4" i="7" s="1"/>
  <c r="G28" i="17"/>
  <c r="G29" i="17"/>
  <c r="G15" i="9"/>
  <c r="G15" i="18"/>
  <c r="G15" i="17"/>
  <c r="C13" i="6"/>
  <c r="C14" i="6"/>
  <c r="G39" i="9"/>
  <c r="G39" i="17"/>
  <c r="G23" i="18"/>
  <c r="G30" i="18"/>
  <c r="G46" i="9"/>
  <c r="G46" i="17"/>
  <c r="B23" i="15"/>
  <c r="B18" i="15" s="1"/>
  <c r="B5" i="15"/>
  <c r="C5" i="15" s="1"/>
  <c r="G13" i="9"/>
  <c r="B2" i="14"/>
  <c r="C2" i="14" s="1"/>
  <c r="B8" i="15"/>
  <c r="B3" i="14"/>
  <c r="C3" i="14" s="1"/>
  <c r="B9" i="15"/>
  <c r="B4" i="15" s="1"/>
  <c r="C4" i="15" s="1"/>
  <c r="C5" i="7"/>
  <c r="B11" i="7" s="1"/>
  <c r="G25" i="9"/>
  <c r="G29" i="9" s="1"/>
  <c r="G12" i="18" l="1"/>
  <c r="G13" i="17"/>
  <c r="G12" i="17"/>
  <c r="G17" i="17"/>
  <c r="G17" i="18"/>
  <c r="G17" i="9"/>
  <c r="G34" i="18"/>
  <c r="G32" i="18"/>
  <c r="G50" i="17"/>
  <c r="G48" i="9"/>
  <c r="G50" i="9"/>
  <c r="G48" i="17"/>
  <c r="G28" i="9"/>
  <c r="G41" i="17"/>
  <c r="C7" i="7"/>
  <c r="B13" i="7" s="1"/>
  <c r="G25" i="18"/>
  <c r="G41" i="9"/>
  <c r="C6" i="7"/>
  <c r="B12" i="7" s="1"/>
  <c r="G33" i="17"/>
  <c r="G33" i="9"/>
  <c r="G47" i="9"/>
  <c r="G33" i="18"/>
  <c r="G31" i="18"/>
  <c r="G47" i="17"/>
  <c r="G49" i="17"/>
  <c r="G49" i="9"/>
  <c r="B21" i="15"/>
  <c r="B16" i="15" s="1"/>
  <c r="B3" i="15"/>
  <c r="C3" i="15" s="1"/>
  <c r="B22" i="15"/>
  <c r="B17" i="15" s="1"/>
  <c r="B10" i="7"/>
  <c r="G27" i="18" l="1"/>
  <c r="G28" i="18" s="1"/>
  <c r="G43" i="9"/>
  <c r="G45" i="9" s="1"/>
  <c r="G43" i="17"/>
  <c r="G35" i="17"/>
  <c r="G36" i="17" s="1"/>
  <c r="G35" i="9"/>
  <c r="G37" i="9" s="1"/>
  <c r="G52" i="17"/>
  <c r="G51" i="17"/>
  <c r="G35" i="18"/>
  <c r="G36" i="18"/>
  <c r="G19" i="9"/>
  <c r="G20" i="9" s="1"/>
  <c r="G19" i="18"/>
  <c r="G19" i="17"/>
  <c r="G44" i="17"/>
  <c r="G45" i="17"/>
  <c r="G52" i="9"/>
  <c r="G51" i="9"/>
  <c r="G36" i="9" l="1"/>
  <c r="G37" i="17"/>
  <c r="G20" i="18"/>
  <c r="G21" i="17"/>
  <c r="G20" i="17"/>
  <c r="G21" i="9"/>
  <c r="G29" i="18"/>
  <c r="G44" i="9"/>
</calcChain>
</file>

<file path=xl/sharedStrings.xml><?xml version="1.0" encoding="utf-8"?>
<sst xmlns="http://schemas.openxmlformats.org/spreadsheetml/2006/main" count="815" uniqueCount="195">
  <si>
    <t>precompostaje</t>
  </si>
  <si>
    <t xml:space="preserve">largo </t>
  </si>
  <si>
    <t>ancho</t>
  </si>
  <si>
    <t>alto</t>
  </si>
  <si>
    <t>vol</t>
  </si>
  <si>
    <t>camas</t>
  </si>
  <si>
    <t>Worm density</t>
  </si>
  <si>
    <t>https://www.researchgate.net/figure/Average-weight-of-E-eugeniae-in-the-different-substrates-over-the-experiment_fig1_281209563</t>
  </si>
  <si>
    <t>4kg/m3</t>
  </si>
  <si>
    <t>Peso de cada unidad promedio inicial</t>
  </si>
  <si>
    <t>1.2g</t>
  </si>
  <si>
    <t>Densidad usada en turrailba estudio sarmiento</t>
  </si>
  <si>
    <t>Densidad en lombriz x m3</t>
  </si>
  <si>
    <t>15000 lombrices  / m3</t>
  </si>
  <si>
    <t>1g</t>
  </si>
  <si>
    <t xml:space="preserve">Peso de la escenia foetida </t>
  </si>
  <si>
    <t>https://camjol.info/index.php/RCI/article/download/573/398/1821#:~:text=2.4%20Caracter%C3%ADsticas%20de%20la%20especie,su%20nombre%20(INTA%202005).</t>
  </si>
  <si>
    <t>Densidad kg*m3</t>
  </si>
  <si>
    <t>kg lomb/estiercol</t>
  </si>
  <si>
    <t>Densidad usada en estudio short term</t>
  </si>
  <si>
    <t>Densidad usada en estudio long term</t>
  </si>
  <si>
    <t>1kg de lombriz por 10 kg de estiercol</t>
  </si>
  <si>
    <t>Comparison between esenia y eudrilus</t>
  </si>
  <si>
    <t>https://onlinelibrary.wiley.com/doi/abs/10.1002/tqem.21852</t>
  </si>
  <si>
    <t>Eisenia foetida demonstrated a higher Corg mineralization (67.59%) compared to Eudrilus eugeniae, which attained 67.22%.</t>
  </si>
  <si>
    <t>Duracion de compostaje</t>
  </si>
  <si>
    <t>semans</t>
  </si>
  <si>
    <t xml:space="preserve">turrialba </t>
  </si>
  <si>
    <t>turrialba recoleccion</t>
  </si>
  <si>
    <t>Solucion</t>
  </si>
  <si>
    <t>Se podria cuantificar esta ultima semana adinal que da sarmiento y las 2 posteriores de recoleccion utilizando la emision de GEI rportada por komakech nen la ultima semana y justificar que biologicamente el  proceso ya llego a una etapa de mduracion</t>
  </si>
  <si>
    <t>Se podria suponer que ya se obtiene el producto final, colocando la frontera del sistema antes de la fase separacion y recoleccion de las lomb? No creo pror que es parte del sistema esta etapa</t>
  </si>
  <si>
    <t xml:space="preserve">Considerando que segun Sarm 'Por consiguiente, para cosecharlo todo se colocó a cada lado del producto terminado  20 kg de estiércol precompostado, con intermedio de dos capas de sarán para que  las lombrices se desplazaran hacia la boñiga precompostada' entonces esta preocompostada ya se cuantifica, puesto que despues de anade a las pilas (no se sabe con cual d worm ensidad exacatemente), por otro lado el producto qu e van dejando atras las lombrices se pdria considerar la contiuacion de del vermicompostaje en su fase de maduracion, en cuanto a GEI se refiere. </t>
  </si>
  <si>
    <t>Estudio long term komakech</t>
  </si>
  <si>
    <t>Nutriente</t>
  </si>
  <si>
    <t>Energía (MJ/kg)</t>
  </si>
  <si>
    <t>Total GEI (g/kg CO2-eq)</t>
  </si>
  <si>
    <t>Otras emisiones (mg/kg)</t>
  </si>
  <si>
    <r>
      <t>NH</t>
    </r>
    <r>
      <rPr>
        <vertAlign val="subscript"/>
        <sz val="12"/>
        <color theme="1"/>
        <rFont val="Times New Roman"/>
        <family val="1"/>
      </rPr>
      <t>1</t>
    </r>
  </si>
  <si>
    <r>
      <t>PO</t>
    </r>
    <r>
      <rPr>
        <vertAlign val="subscript"/>
        <sz val="12"/>
        <color theme="1"/>
        <rFont val="Times New Roman"/>
        <family val="1"/>
      </rPr>
      <t>4</t>
    </r>
    <r>
      <rPr>
        <vertAlign val="superscript"/>
        <sz val="12"/>
        <color theme="1"/>
        <rFont val="Times New Roman"/>
        <family val="1"/>
      </rPr>
      <t>-3</t>
    </r>
  </si>
  <si>
    <r>
      <t>SO</t>
    </r>
    <r>
      <rPr>
        <vertAlign val="subscript"/>
        <sz val="12"/>
        <color theme="1"/>
        <rFont val="Times New Roman"/>
        <family val="1"/>
      </rPr>
      <t>2</t>
    </r>
  </si>
  <si>
    <r>
      <t>No</t>
    </r>
    <r>
      <rPr>
        <vertAlign val="subscript"/>
        <sz val="12"/>
        <color theme="1"/>
        <rFont val="Times New Roman"/>
        <family val="1"/>
      </rPr>
      <t>x</t>
    </r>
  </si>
  <si>
    <t>P</t>
  </si>
  <si>
    <t xml:space="preserve">N  </t>
  </si>
  <si>
    <t>29,8</t>
  </si>
  <si>
    <t>30,5</t>
  </si>
  <si>
    <t>0,06</t>
  </si>
  <si>
    <t>0,56</t>
  </si>
  <si>
    <t>0,36</t>
  </si>
  <si>
    <t>VS_sp</t>
  </si>
  <si>
    <t>VS_sp_rate</t>
  </si>
  <si>
    <t>TAM</t>
  </si>
  <si>
    <t>CH4</t>
  </si>
  <si>
    <t>N_tp</t>
  </si>
  <si>
    <t>AWMS-tsp</t>
  </si>
  <si>
    <t>EF_tsp</t>
  </si>
  <si>
    <t>Calculo metano (se respetaran las unidades dadas en la eqs IPCC 2019)</t>
  </si>
  <si>
    <t>Emisiones directas</t>
  </si>
  <si>
    <t>Emision N20</t>
  </si>
  <si>
    <t>From table 10.18</t>
  </si>
  <si>
    <t>tirar al campo directo(daily spread)</t>
  </si>
  <si>
    <t>tanques (si storage&gt;5 meses, y poca agua) (liquis/slurry)</t>
  </si>
  <si>
    <t>N20-d(mm)</t>
  </si>
  <si>
    <t>N_(t,p)</t>
  </si>
  <si>
    <t>Nex_(t,p)</t>
  </si>
  <si>
    <t>AWMS</t>
  </si>
  <si>
    <t>N_cdg(s)</t>
  </si>
  <si>
    <t>EF_3(s)</t>
  </si>
  <si>
    <t>Escenarios</t>
  </si>
  <si>
    <t>Para Nex</t>
  </si>
  <si>
    <t>TAM (Necesario por que Nex es dado por t de masa animal)</t>
  </si>
  <si>
    <t>Nex_rate_(t,p)</t>
  </si>
  <si>
    <t>Pilas (dry lot)</t>
  </si>
  <si>
    <t>N_volatilization-MMS</t>
  </si>
  <si>
    <t>Nex(t,p)</t>
  </si>
  <si>
    <t>Frac_gasms(t,s)</t>
  </si>
  <si>
    <t>N_leaching_MMS</t>
  </si>
  <si>
    <t>N2O_g(mm)</t>
  </si>
  <si>
    <t>N2O_l(mm)</t>
  </si>
  <si>
    <t>EF4</t>
  </si>
  <si>
    <t>EF_5</t>
  </si>
  <si>
    <t>Escenarios Resultado</t>
  </si>
  <si>
    <t>EF_t</t>
  </si>
  <si>
    <t>VS(t)</t>
  </si>
  <si>
    <t>B_0(t)</t>
  </si>
  <si>
    <t>tanques (si storage&gt;1 meses, y poca agua) (liquis/slurry)</t>
  </si>
  <si>
    <t>Resultados Escenarios</t>
  </si>
  <si>
    <t xml:space="preserve"> MCF% Escenarios</t>
  </si>
  <si>
    <t>tanques (si storage&gt;=1 meses, y poca agua) (liquis/slurry)</t>
  </si>
  <si>
    <t>Referencia</t>
  </si>
  <si>
    <t>(Salazar, 2012)</t>
  </si>
  <si>
    <t>(Jjagwe et al., 2019)</t>
  </si>
  <si>
    <t>Categoria de impacto</t>
  </si>
  <si>
    <t>N/A</t>
  </si>
  <si>
    <t>Directa</t>
  </si>
  <si>
    <t xml:space="preserve">calentamiento global </t>
  </si>
  <si>
    <t>Indirecta</t>
  </si>
  <si>
    <t>(IPCC, 2019)</t>
  </si>
  <si>
    <t>Unidad</t>
  </si>
  <si>
    <t>Cantidad</t>
  </si>
  <si>
    <t>Compuesto</t>
  </si>
  <si>
    <r>
      <t>CH</t>
    </r>
    <r>
      <rPr>
        <vertAlign val="subscript"/>
        <sz val="12"/>
        <color theme="1"/>
        <rFont val="Times New Roman"/>
        <family val="1"/>
      </rPr>
      <t>4</t>
    </r>
  </si>
  <si>
    <r>
      <t>N</t>
    </r>
    <r>
      <rPr>
        <vertAlign val="subscript"/>
        <sz val="12"/>
        <color theme="1"/>
        <rFont val="Times New Roman"/>
        <family val="1"/>
      </rPr>
      <t>2</t>
    </r>
    <r>
      <rPr>
        <sz val="12"/>
        <color theme="1"/>
        <rFont val="Times New Roman"/>
        <family val="1"/>
      </rPr>
      <t>O</t>
    </r>
  </si>
  <si>
    <r>
      <t>NH</t>
    </r>
    <r>
      <rPr>
        <vertAlign val="subscript"/>
        <sz val="12"/>
        <color theme="1"/>
        <rFont val="Times New Roman"/>
        <family val="1"/>
      </rPr>
      <t>3</t>
    </r>
  </si>
  <si>
    <r>
      <t>NO</t>
    </r>
    <r>
      <rPr>
        <vertAlign val="subscript"/>
        <sz val="12"/>
        <color theme="1"/>
        <rFont val="Times New Roman"/>
        <family val="1"/>
      </rPr>
      <t>3</t>
    </r>
    <r>
      <rPr>
        <vertAlign val="superscript"/>
        <sz val="12"/>
        <color theme="1"/>
        <rFont val="Times New Roman"/>
        <family val="1"/>
      </rPr>
      <t>-</t>
    </r>
  </si>
  <si>
    <t xml:space="preserve">0,35 </t>
  </si>
  <si>
    <t xml:space="preserve">0,095 </t>
  </si>
  <si>
    <r>
      <t>Equivalentes de CO</t>
    </r>
    <r>
      <rPr>
        <vertAlign val="subscript"/>
        <sz val="12"/>
        <color theme="1"/>
        <rFont val="Times New Roman"/>
        <family val="1"/>
      </rPr>
      <t>2</t>
    </r>
  </si>
  <si>
    <r>
      <t>Equivalentes de PO</t>
    </r>
    <r>
      <rPr>
        <vertAlign val="subscript"/>
        <sz val="12"/>
        <color theme="1"/>
        <rFont val="Times New Roman"/>
        <family val="1"/>
      </rPr>
      <t>4</t>
    </r>
    <r>
      <rPr>
        <sz val="12"/>
        <color theme="1"/>
        <rFont val="Times New Roman"/>
        <family val="1"/>
      </rPr>
      <t>³⁻-eq</t>
    </r>
  </si>
  <si>
    <t>Fuente</t>
  </si>
  <si>
    <t xml:space="preserve">(IMN, 2021) </t>
  </si>
  <si>
    <t>(Vallejo, 2004)</t>
  </si>
  <si>
    <t>Etapa</t>
  </si>
  <si>
    <t>Ingreso al sistema</t>
  </si>
  <si>
    <t>Durante lombricompostaje</t>
  </si>
  <si>
    <t>eutrofización</t>
  </si>
  <si>
    <t>Escenario</t>
  </si>
  <si>
    <t>(Callejo, 2020)</t>
  </si>
  <si>
    <t>%</t>
  </si>
  <si>
    <t>AB</t>
  </si>
  <si>
    <t>A</t>
  </si>
  <si>
    <t>B</t>
  </si>
  <si>
    <t>Total</t>
  </si>
  <si>
    <t>TS</t>
  </si>
  <si>
    <t>avg</t>
  </si>
  <si>
    <t xml:space="preserve">From </t>
  </si>
  <si>
    <t>https://oa.upm.es/cgi/export/65177/</t>
  </si>
  <si>
    <t>meida</t>
  </si>
  <si>
    <t>Tipo de emisión</t>
  </si>
  <si>
    <t>% promedio de materia seca en el estiércol del  ganado bovino lechero</t>
  </si>
  <si>
    <t xml:space="preserve">Aplicación  manual de estiercol fresco en campos </t>
  </si>
  <si>
    <t>calentamiento global  y  eutrofización</t>
  </si>
  <si>
    <t xml:space="preserve">Items y actividades </t>
  </si>
  <si>
    <t xml:space="preserve">(Jjagwe et al., 2019) </t>
  </si>
  <si>
    <t>Precomposteo en pilas</t>
  </si>
  <si>
    <r>
      <t>Tabla 1:</t>
    </r>
    <r>
      <rPr>
        <sz val="20"/>
        <color theme="1"/>
        <rFont val="Times New Roman"/>
        <family val="1"/>
      </rPr>
      <t xml:space="preserve"> Factores de emision de los principales ítems/actividades incluidos en el inventario en cada etapa del tratamiento por escenario</t>
    </r>
  </si>
  <si>
    <r>
      <t xml:space="preserve">kg estiércol en base humeda  UG </t>
    </r>
    <r>
      <rPr>
        <vertAlign val="superscript"/>
        <sz val="26"/>
        <color theme="1"/>
        <rFont val="Times New Roman"/>
        <family val="1"/>
      </rPr>
      <t>-1</t>
    </r>
    <r>
      <rPr>
        <sz val="26"/>
        <color theme="1"/>
        <rFont val="Times New Roman"/>
        <family val="1"/>
      </rPr>
      <t xml:space="preserve">dia </t>
    </r>
    <r>
      <rPr>
        <vertAlign val="superscript"/>
        <sz val="26"/>
        <color theme="1"/>
        <rFont val="Times New Roman"/>
        <family val="1"/>
      </rPr>
      <t xml:space="preserve">-1 </t>
    </r>
  </si>
  <si>
    <r>
      <t>CH</t>
    </r>
    <r>
      <rPr>
        <vertAlign val="subscript"/>
        <sz val="26"/>
        <color theme="1"/>
        <rFont val="Times New Roman"/>
        <family val="1"/>
      </rPr>
      <t>4</t>
    </r>
  </si>
  <si>
    <r>
      <t>g  kg</t>
    </r>
    <r>
      <rPr>
        <vertAlign val="superscript"/>
        <sz val="26"/>
        <color theme="1"/>
        <rFont val="Times New Roman"/>
        <family val="1"/>
      </rPr>
      <t>-1</t>
    </r>
    <r>
      <rPr>
        <sz val="26"/>
        <color theme="1"/>
        <rFont val="Times New Roman"/>
        <family val="1"/>
      </rPr>
      <t xml:space="preserve"> estiércol en base seca año</t>
    </r>
    <r>
      <rPr>
        <vertAlign val="superscript"/>
        <sz val="26"/>
        <color theme="1"/>
        <rFont val="Times New Roman"/>
        <family val="1"/>
      </rPr>
      <t xml:space="preserve">-1 </t>
    </r>
  </si>
  <si>
    <r>
      <t>N</t>
    </r>
    <r>
      <rPr>
        <vertAlign val="subscript"/>
        <sz val="26"/>
        <color theme="1"/>
        <rFont val="Times New Roman"/>
        <family val="1"/>
      </rPr>
      <t>2</t>
    </r>
    <r>
      <rPr>
        <sz val="26"/>
        <color theme="1"/>
        <rFont val="Times New Roman"/>
        <family val="1"/>
      </rPr>
      <t>O</t>
    </r>
  </si>
  <si>
    <r>
      <t>N</t>
    </r>
    <r>
      <rPr>
        <vertAlign val="subscript"/>
        <sz val="26"/>
        <color theme="1"/>
        <rFont val="Times New Roman"/>
        <family val="1"/>
      </rPr>
      <t xml:space="preserve"> </t>
    </r>
    <r>
      <rPr>
        <sz val="26"/>
        <color theme="1"/>
        <rFont val="Times New Roman"/>
        <family val="1"/>
      </rPr>
      <t xml:space="preserve"> lixiviado</t>
    </r>
  </si>
  <si>
    <r>
      <t xml:space="preserve">kg UG </t>
    </r>
    <r>
      <rPr>
        <vertAlign val="superscript"/>
        <sz val="26"/>
        <color theme="1"/>
        <rFont val="Times New Roman"/>
        <family val="1"/>
      </rPr>
      <t xml:space="preserve">-1 </t>
    </r>
    <r>
      <rPr>
        <sz val="26"/>
        <color theme="1"/>
        <rFont val="Times New Roman"/>
        <family val="1"/>
      </rPr>
      <t xml:space="preserve">año </t>
    </r>
    <r>
      <rPr>
        <vertAlign val="superscript"/>
        <sz val="26"/>
        <color theme="1"/>
        <rFont val="Times New Roman"/>
        <family val="1"/>
      </rPr>
      <t xml:space="preserve">-1 </t>
    </r>
  </si>
  <si>
    <r>
      <t>N</t>
    </r>
    <r>
      <rPr>
        <vertAlign val="subscript"/>
        <sz val="26"/>
        <color theme="1"/>
        <rFont val="Times New Roman"/>
        <family val="1"/>
      </rPr>
      <t xml:space="preserve"> </t>
    </r>
    <r>
      <rPr>
        <sz val="26"/>
        <color theme="1"/>
        <rFont val="Times New Roman"/>
        <family val="1"/>
      </rPr>
      <t>volatilizado</t>
    </r>
  </si>
  <si>
    <r>
      <t>N</t>
    </r>
    <r>
      <rPr>
        <vertAlign val="subscript"/>
        <sz val="26"/>
        <color theme="1"/>
        <rFont val="Times New Roman"/>
        <family val="1"/>
      </rPr>
      <t>2</t>
    </r>
    <r>
      <rPr>
        <sz val="26"/>
        <color theme="1"/>
        <rFont val="Times New Roman"/>
        <family val="1"/>
      </rPr>
      <t>O lixiviado</t>
    </r>
  </si>
  <si>
    <r>
      <t>N</t>
    </r>
    <r>
      <rPr>
        <vertAlign val="subscript"/>
        <sz val="26"/>
        <color theme="1"/>
        <rFont val="Times New Roman"/>
        <family val="1"/>
      </rPr>
      <t>2</t>
    </r>
    <r>
      <rPr>
        <sz val="26"/>
        <color theme="1"/>
        <rFont val="Times New Roman"/>
        <family val="1"/>
      </rPr>
      <t>O volatilizado</t>
    </r>
  </si>
  <si>
    <r>
      <t>NH</t>
    </r>
    <r>
      <rPr>
        <vertAlign val="subscript"/>
        <sz val="26"/>
        <color theme="1"/>
        <rFont val="Times New Roman"/>
        <family val="1"/>
      </rPr>
      <t>3</t>
    </r>
  </si>
  <si>
    <r>
      <t>NO</t>
    </r>
    <r>
      <rPr>
        <vertAlign val="subscript"/>
        <sz val="26"/>
        <color rgb="FF000000"/>
        <rFont val="Times New Roman"/>
        <family val="1"/>
      </rPr>
      <t>3</t>
    </r>
    <r>
      <rPr>
        <vertAlign val="superscript"/>
        <sz val="26"/>
        <color rgb="FF000000"/>
        <rFont val="Times New Roman"/>
        <family val="1"/>
      </rPr>
      <t>-</t>
    </r>
  </si>
  <si>
    <r>
      <t xml:space="preserve">kg UG </t>
    </r>
    <r>
      <rPr>
        <vertAlign val="superscript"/>
        <sz val="26"/>
        <color theme="1"/>
        <rFont val="Times New Roman"/>
        <family val="1"/>
      </rPr>
      <t xml:space="preserve">-1 </t>
    </r>
    <r>
      <rPr>
        <sz val="26"/>
        <color theme="1"/>
        <rFont val="Times New Roman"/>
        <family val="1"/>
      </rPr>
      <t xml:space="preserve">año </t>
    </r>
    <r>
      <rPr>
        <vertAlign val="superscript"/>
        <sz val="26"/>
        <color theme="1"/>
        <rFont val="Times New Roman"/>
        <family val="1"/>
      </rPr>
      <t>-2</t>
    </r>
    <r>
      <rPr>
        <sz val="11"/>
        <color theme="1"/>
        <rFont val="Calibri"/>
        <family val="2"/>
        <scheme val="minor"/>
      </rPr>
      <t/>
    </r>
  </si>
  <si>
    <r>
      <t xml:space="preserve">kg UG </t>
    </r>
    <r>
      <rPr>
        <vertAlign val="superscript"/>
        <sz val="26"/>
        <color theme="1"/>
        <rFont val="Times New Roman"/>
        <family val="1"/>
      </rPr>
      <t xml:space="preserve">-1 </t>
    </r>
    <r>
      <rPr>
        <sz val="26"/>
        <color theme="1"/>
        <rFont val="Times New Roman"/>
        <family val="1"/>
      </rPr>
      <t xml:space="preserve">año </t>
    </r>
    <r>
      <rPr>
        <vertAlign val="superscript"/>
        <sz val="26"/>
        <color theme="1"/>
        <rFont val="Times New Roman"/>
        <family val="1"/>
      </rPr>
      <t>-3</t>
    </r>
    <r>
      <rPr>
        <sz val="11"/>
        <color theme="1"/>
        <rFont val="Calibri"/>
        <family val="2"/>
        <scheme val="minor"/>
      </rPr>
      <t/>
    </r>
  </si>
  <si>
    <t>pag 73</t>
  </si>
  <si>
    <t>N20_N</t>
  </si>
  <si>
    <t>Fon</t>
  </si>
  <si>
    <t>N_MMS_avb</t>
  </si>
  <si>
    <t>Nex</t>
  </si>
  <si>
    <t>AWMS_ts</t>
  </si>
  <si>
    <t>N_cdg</t>
  </si>
  <si>
    <t>Frac_LossMS_TS</t>
  </si>
  <si>
    <t>daily_spread</t>
  </si>
  <si>
    <t>EF1</t>
  </si>
  <si>
    <t>N20</t>
  </si>
  <si>
    <t>N2OL-N</t>
  </si>
  <si>
    <t>EF5</t>
  </si>
  <si>
    <t>Frac_LEACH-H</t>
  </si>
  <si>
    <t>Leaching</t>
  </si>
  <si>
    <t>ATD</t>
  </si>
  <si>
    <t>N2OATD-N</t>
  </si>
  <si>
    <t>Frac_GASM</t>
  </si>
  <si>
    <t>tanques (si storage&gt;1 mes, y poca agua) (liquid/slurry)</t>
  </si>
  <si>
    <t>Tratamiento aerobico</t>
  </si>
  <si>
    <t>Resultado</t>
  </si>
  <si>
    <t>Liquidslurrycovered</t>
  </si>
  <si>
    <t>Sys</t>
  </si>
  <si>
    <t>Simbolico pero mismo valor</t>
  </si>
  <si>
    <t xml:space="preserve">Emisiones del estiércol durante el lombricompostaje </t>
  </si>
  <si>
    <t xml:space="preserve">Emisiones del estiércol tratado mediante ‘propagación diaria’ </t>
  </si>
  <si>
    <t xml:space="preserve">Almacenamiento en tanque </t>
  </si>
  <si>
    <t xml:space="preserve">Estiércol poducido </t>
  </si>
  <si>
    <t xml:space="preserve">Emisiones del estiércol tratado mediante ‘tratamiento aerobico’ </t>
  </si>
  <si>
    <t xml:space="preserve">Emisiones del estiércol tratado mediante ‘estiércol líquido’ </t>
  </si>
  <si>
    <t xml:space="preserve">Emisiones del estiércol tratado mediante ‘lote seco’ </t>
  </si>
  <si>
    <t>Aplicación de  estiércol en campo</t>
  </si>
  <si>
    <t>Emisiones del suelo gestionado cuando se añade el estiércol previamente tratado mediante 'tratamiento aerobico'</t>
  </si>
  <si>
    <t xml:space="preserve">Almacenamiento de estiérco con agua en tanque </t>
  </si>
  <si>
    <t xml:space="preserve">Precomposteo </t>
  </si>
  <si>
    <t>Almacenamiento de estiércol con agua (aguas verdes o purines)</t>
  </si>
  <si>
    <t>Aplicación  en campo de aguas verdes o purines</t>
  </si>
  <si>
    <t>lombricompostaje</t>
  </si>
  <si>
    <t xml:space="preserve">Emisiones del estiércol gestionado mediante ‘lote seco’ </t>
  </si>
  <si>
    <t xml:space="preserve">Emisiones del estiércol gestionado mediante ‘tratamiento aerobico’ </t>
  </si>
  <si>
    <t xml:space="preserve">O </t>
  </si>
  <si>
    <t>N</t>
  </si>
  <si>
    <t>H</t>
  </si>
  <si>
    <t>N2O</t>
  </si>
  <si>
    <t>NO3</t>
  </si>
  <si>
    <t>NH3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</si>
</sst>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0"/>
  </numFmts>
  <fonts count="14" x14ac:knownFonts="1">
    <font>
      <sz val="11"/>
      <color theme="1"/>
      <name val="Calibri"/>
      <family val="2"/>
      <scheme val="minor"/>
    </font>
    <font>
      <sz val="12"/>
      <color theme="1"/>
      <name val="Times New Roman"/>
      <family val="1"/>
    </font>
    <font>
      <vertAlign val="subscript"/>
      <sz val="12"/>
      <color theme="1"/>
      <name val="Times New Roman"/>
      <family val="1"/>
    </font>
    <font>
      <vertAlign val="superscript"/>
      <sz val="12"/>
      <color theme="1"/>
      <name val="Times New Roman"/>
      <family val="1"/>
    </font>
    <font>
      <b/>
      <sz val="11"/>
      <color theme="1"/>
      <name val="Calibri"/>
      <family val="2"/>
      <scheme val="minor"/>
    </font>
    <font>
      <sz val="8"/>
      <name val="Calibri"/>
      <family val="2"/>
      <scheme val="minor"/>
    </font>
    <font>
      <sz val="20"/>
      <color theme="1"/>
      <name val="Times New Roman"/>
      <family val="1"/>
    </font>
    <font>
      <b/>
      <sz val="20"/>
      <color theme="1"/>
      <name val="Times New Roman"/>
      <family val="1"/>
    </font>
    <font>
      <sz val="26"/>
      <color theme="1"/>
      <name val="Times New Roman"/>
      <family val="1"/>
    </font>
    <font>
      <vertAlign val="superscript"/>
      <sz val="26"/>
      <color theme="1"/>
      <name val="Times New Roman"/>
      <family val="1"/>
    </font>
    <font>
      <vertAlign val="subscript"/>
      <sz val="26"/>
      <color theme="1"/>
      <name val="Times New Roman"/>
      <family val="1"/>
    </font>
    <font>
      <sz val="26"/>
      <color rgb="FF000000"/>
      <name val="Times New Roman"/>
      <family val="1"/>
    </font>
    <font>
      <vertAlign val="subscript"/>
      <sz val="26"/>
      <color rgb="FF000000"/>
      <name val="Times New Roman"/>
      <family val="1"/>
    </font>
    <font>
      <vertAlign val="superscript"/>
      <sz val="26"/>
      <color rgb="FF000000"/>
      <name val="Times New Roman"/>
      <family val="1"/>
    </font>
  </fonts>
  <fills count="7">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5"/>
        <bgColor indexed="64"/>
      </patternFill>
    </fill>
    <fill>
      <patternFill patternType="solid">
        <fgColor theme="5" tint="0.39997558519241921"/>
        <bgColor indexed="64"/>
      </patternFill>
    </fill>
    <fill>
      <patternFill patternType="solid">
        <fgColor theme="7" tint="0.79998168889431442"/>
        <bgColor indexed="64"/>
      </patternFill>
    </fill>
  </fills>
  <borders count="4">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s>
  <cellStyleXfs count="1">
    <xf numFmtId="0" fontId="0" fillId="0" borderId="0"/>
  </cellStyleXfs>
  <cellXfs count="42">
    <xf numFmtId="0" fontId="0" fillId="0" borderId="0" xfId="0"/>
    <xf numFmtId="16" fontId="0" fillId="0" borderId="0" xfId="0" applyNumberFormat="1"/>
    <xf numFmtId="0" fontId="0" fillId="2" borderId="0" xfId="0" applyFill="1"/>
    <xf numFmtId="0" fontId="0" fillId="3" borderId="0" xfId="0" applyFill="1"/>
    <xf numFmtId="0" fontId="1" fillId="0" borderId="1" xfId="0" applyFont="1" applyBorder="1" applyAlignment="1">
      <alignment horizontal="center" vertical="center" wrapText="1"/>
    </xf>
    <xf numFmtId="0" fontId="1" fillId="0" borderId="3" xfId="0" applyFont="1" applyBorder="1" applyAlignment="1">
      <alignment vertical="center" wrapText="1"/>
    </xf>
    <xf numFmtId="0" fontId="1" fillId="0" borderId="3" xfId="0" applyFont="1" applyBorder="1" applyAlignment="1">
      <alignment horizontal="center" vertical="center" wrapText="1"/>
    </xf>
    <xf numFmtId="0" fontId="1" fillId="0" borderId="1" xfId="0" applyFont="1" applyBorder="1" applyAlignment="1">
      <alignment horizontal="left" vertical="center" wrapText="1"/>
    </xf>
    <xf numFmtId="0" fontId="1" fillId="0" borderId="3" xfId="0" applyFont="1" applyBorder="1" applyAlignment="1">
      <alignment horizontal="left" vertical="center" wrapText="1"/>
    </xf>
    <xf numFmtId="0" fontId="4" fillId="0" borderId="0" xfId="0" applyFont="1"/>
    <xf numFmtId="0" fontId="4" fillId="2" borderId="0" xfId="0" applyFont="1" applyFill="1"/>
    <xf numFmtId="0" fontId="0" fillId="4" borderId="0" xfId="0" applyFill="1"/>
    <xf numFmtId="0" fontId="0" fillId="5" borderId="0" xfId="0" applyFill="1"/>
    <xf numFmtId="0" fontId="0" fillId="6" borderId="0" xfId="0" applyFill="1"/>
    <xf numFmtId="0" fontId="1" fillId="0" borderId="0" xfId="0" applyFont="1" applyAlignment="1">
      <alignment horizontal="justify" vertical="center" wrapText="1"/>
    </xf>
    <xf numFmtId="164" fontId="0" fillId="0" borderId="0" xfId="0" applyNumberFormat="1"/>
    <xf numFmtId="0" fontId="1" fillId="0" borderId="1" xfId="0" applyFont="1" applyBorder="1" applyAlignment="1">
      <alignment horizontal="center" vertical="center"/>
    </xf>
    <xf numFmtId="0" fontId="1" fillId="0" borderId="0" xfId="0" applyFont="1" applyAlignment="1">
      <alignment horizontal="center" vertical="center"/>
    </xf>
    <xf numFmtId="0" fontId="1" fillId="0" borderId="3" xfId="0" applyFont="1" applyBorder="1" applyAlignment="1">
      <alignment horizontal="center" vertical="center"/>
    </xf>
    <xf numFmtId="165" fontId="0" fillId="0" borderId="0" xfId="0" applyNumberFormat="1"/>
    <xf numFmtId="0" fontId="8" fillId="0" borderId="0" xfId="0" applyFont="1" applyAlignment="1">
      <alignment horizontal="center" vertical="center" wrapText="1"/>
    </xf>
    <xf numFmtId="0" fontId="8" fillId="0" borderId="0" xfId="0" applyFont="1" applyAlignment="1">
      <alignment horizontal="center" vertical="top" wrapText="1"/>
    </xf>
    <xf numFmtId="2" fontId="8" fillId="0" borderId="0" xfId="0" applyNumberFormat="1" applyFont="1" applyAlignment="1">
      <alignment horizontal="center" vertical="top" wrapText="1"/>
    </xf>
    <xf numFmtId="166" fontId="8" fillId="0" borderId="0" xfId="0" applyNumberFormat="1" applyFont="1" applyAlignment="1">
      <alignment horizontal="center" vertical="top" wrapText="1"/>
    </xf>
    <xf numFmtId="0" fontId="11" fillId="0" borderId="0" xfId="0" applyFont="1" applyAlignment="1">
      <alignment horizontal="center" vertical="top" wrapText="1"/>
    </xf>
    <xf numFmtId="0" fontId="8" fillId="0" borderId="3" xfId="0" applyFont="1" applyBorder="1" applyAlignment="1">
      <alignment horizontal="center" vertical="top" wrapText="1"/>
    </xf>
    <xf numFmtId="0" fontId="11" fillId="0" borderId="3" xfId="0" applyFont="1" applyBorder="1" applyAlignment="1">
      <alignment horizontal="center" vertical="top" wrapText="1"/>
    </xf>
    <xf numFmtId="2" fontId="8" fillId="0" borderId="3" xfId="0" applyNumberFormat="1" applyFont="1" applyBorder="1" applyAlignment="1">
      <alignment horizontal="center" vertical="top" wrapText="1"/>
    </xf>
    <xf numFmtId="0" fontId="0" fillId="0" borderId="1" xfId="0" applyBorder="1"/>
    <xf numFmtId="0" fontId="0" fillId="0" borderId="3" xfId="0" applyBorder="1"/>
    <xf numFmtId="0" fontId="8" fillId="0" borderId="0" xfId="0" applyFont="1" applyAlignment="1">
      <alignment vertical="top" wrapText="1"/>
    </xf>
    <xf numFmtId="3" fontId="0" fillId="0" borderId="0" xfId="0" applyNumberFormat="1"/>
    <xf numFmtId="0" fontId="0" fillId="0" borderId="0" xfId="0" applyAlignment="1">
      <alignment horizontal="center" wrapText="1"/>
    </xf>
    <xf numFmtId="0" fontId="1" fillId="0" borderId="2" xfId="0" applyFont="1" applyBorder="1" applyAlignment="1">
      <alignment horizontal="left"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8" fillId="0" borderId="0" xfId="0" applyFont="1" applyAlignment="1">
      <alignment horizontal="center" vertical="top" wrapText="1"/>
    </xf>
    <xf numFmtId="0" fontId="8" fillId="0" borderId="3" xfId="0" applyFont="1" applyBorder="1" applyAlignment="1">
      <alignment horizontal="center" vertical="top" wrapText="1"/>
    </xf>
    <xf numFmtId="0" fontId="7" fillId="0" borderId="3" xfId="0" applyFont="1" applyBorder="1" applyAlignment="1">
      <alignment horizontal="center" vertical="center"/>
    </xf>
    <xf numFmtId="0" fontId="1" fillId="0" borderId="0" xfId="0" applyFont="1" applyAlignment="1">
      <alignment horizontal="center" vertical="center"/>
    </xf>
    <xf numFmtId="0" fontId="1" fillId="0" borderId="3" xfId="0" applyFont="1" applyBorder="1" applyAlignment="1">
      <alignment horizontal="center" vertical="center"/>
    </xf>
    <xf numFmtId="0" fontId="8" fillId="0" borderId="1"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3" Type="http://schemas.openxmlformats.org/officeDocument/2006/relationships/image" Target="../media/image15.png"/><Relationship Id="rId2" Type="http://schemas.openxmlformats.org/officeDocument/2006/relationships/image" Target="../media/image14.png"/><Relationship Id="rId1" Type="http://schemas.openxmlformats.org/officeDocument/2006/relationships/image" Target="../media/image13.png"/><Relationship Id="rId5" Type="http://schemas.openxmlformats.org/officeDocument/2006/relationships/image" Target="../media/image17.png"/><Relationship Id="rId4" Type="http://schemas.openxmlformats.org/officeDocument/2006/relationships/image" Target="../media/image16.png"/></Relationships>
</file>

<file path=xl/drawings/_rels/drawing3.xml.rels><?xml version="1.0" encoding="UTF-8" standalone="yes"?>
<Relationships xmlns="http://schemas.openxmlformats.org/package/2006/relationships"><Relationship Id="rId3" Type="http://schemas.openxmlformats.org/officeDocument/2006/relationships/image" Target="../media/image20.png"/><Relationship Id="rId7" Type="http://schemas.openxmlformats.org/officeDocument/2006/relationships/image" Target="../media/image24.png"/><Relationship Id="rId2" Type="http://schemas.openxmlformats.org/officeDocument/2006/relationships/image" Target="../media/image19.png"/><Relationship Id="rId1" Type="http://schemas.openxmlformats.org/officeDocument/2006/relationships/image" Target="../media/image18.png"/><Relationship Id="rId6" Type="http://schemas.openxmlformats.org/officeDocument/2006/relationships/image" Target="../media/image23.png"/><Relationship Id="rId5" Type="http://schemas.openxmlformats.org/officeDocument/2006/relationships/image" Target="../media/image22.png"/><Relationship Id="rId4" Type="http://schemas.openxmlformats.org/officeDocument/2006/relationships/image" Target="../media/image21.png"/></Relationships>
</file>

<file path=xl/drawings/_rels/drawing4.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6.png"/><Relationship Id="rId1" Type="http://schemas.openxmlformats.org/officeDocument/2006/relationships/image" Target="../media/image25.png"/></Relationships>
</file>

<file path=xl/drawings/_rels/drawing5.xml.rels><?xml version="1.0" encoding="UTF-8" standalone="yes"?>
<Relationships xmlns="http://schemas.openxmlformats.org/package/2006/relationships"><Relationship Id="rId3" Type="http://schemas.openxmlformats.org/officeDocument/2006/relationships/image" Target="../media/image27.png"/><Relationship Id="rId2" Type="http://schemas.openxmlformats.org/officeDocument/2006/relationships/image" Target="../media/image28.png"/><Relationship Id="rId1" Type="http://schemas.openxmlformats.org/officeDocument/2006/relationships/image" Target="../media/image26.png"/></Relationships>
</file>

<file path=xl/drawings/_rels/drawing6.xml.rels><?xml version="1.0" encoding="UTF-8" standalone="yes"?>
<Relationships xmlns="http://schemas.openxmlformats.org/package/2006/relationships"><Relationship Id="rId2" Type="http://schemas.openxmlformats.org/officeDocument/2006/relationships/image" Target="../media/image30.png"/><Relationship Id="rId1" Type="http://schemas.openxmlformats.org/officeDocument/2006/relationships/image" Target="../media/image29.png"/></Relationships>
</file>

<file path=xl/drawings/_rels/drawing7.xml.rels><?xml version="1.0" encoding="UTF-8" standalone="yes"?>
<Relationships xmlns="http://schemas.openxmlformats.org/package/2006/relationships"><Relationship Id="rId8" Type="http://schemas.openxmlformats.org/officeDocument/2006/relationships/image" Target="../media/image38.png"/><Relationship Id="rId3" Type="http://schemas.openxmlformats.org/officeDocument/2006/relationships/image" Target="../media/image33.png"/><Relationship Id="rId7" Type="http://schemas.openxmlformats.org/officeDocument/2006/relationships/image" Target="../media/image37.png"/><Relationship Id="rId2" Type="http://schemas.openxmlformats.org/officeDocument/2006/relationships/image" Target="../media/image32.png"/><Relationship Id="rId1" Type="http://schemas.openxmlformats.org/officeDocument/2006/relationships/image" Target="../media/image31.png"/><Relationship Id="rId6" Type="http://schemas.openxmlformats.org/officeDocument/2006/relationships/image" Target="../media/image36.png"/><Relationship Id="rId5" Type="http://schemas.openxmlformats.org/officeDocument/2006/relationships/image" Target="../media/image35.png"/><Relationship Id="rId4" Type="http://schemas.openxmlformats.org/officeDocument/2006/relationships/image" Target="../media/image34.png"/></Relationships>
</file>

<file path=xl/drawings/_rels/drawing8.xml.rels><?xml version="1.0" encoding="UTF-8" standalone="yes"?>
<Relationships xmlns="http://schemas.openxmlformats.org/package/2006/relationships"><Relationship Id="rId3" Type="http://schemas.openxmlformats.org/officeDocument/2006/relationships/image" Target="../media/image41.png"/><Relationship Id="rId2" Type="http://schemas.openxmlformats.org/officeDocument/2006/relationships/image" Target="../media/image40.png"/><Relationship Id="rId1" Type="http://schemas.openxmlformats.org/officeDocument/2006/relationships/image" Target="../media/image39.png"/></Relationships>
</file>

<file path=xl/drawings/_rels/drawing9.xml.rels><?xml version="1.0" encoding="UTF-8" standalone="yes"?>
<Relationships xmlns="http://schemas.openxmlformats.org/package/2006/relationships"><Relationship Id="rId1" Type="http://schemas.openxmlformats.org/officeDocument/2006/relationships/image" Target="../media/image42.emf"/></Relationships>
</file>

<file path=xl/drawings/_rels/drawing10.xml.rels><?xml version="1.0" encoding="UTF-8" standalone="yes"?>
<Relationships xmlns="http://schemas.openxmlformats.org/package/2006/relationships"><Relationship Id="rId1" Type="http://schemas.openxmlformats.org/officeDocument/2006/relationships/image" Target="../media/image44.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43.emf"/></Relationships>
</file>

<file path=xl/drawings/drawing1.xml><?xml version="1.0" encoding="utf-8"?>
<xdr:wsDr xmlns:xdr="http://schemas.openxmlformats.org/drawingml/2006/spreadsheetDrawing" xmlns:a="http://schemas.openxmlformats.org/drawingml/2006/main">
  <xdr:twoCellAnchor editAs="oneCell">
    <xdr:from>
      <xdr:col>5</xdr:col>
      <xdr:colOff>438150</xdr:colOff>
      <xdr:row>1</xdr:row>
      <xdr:rowOff>180974</xdr:rowOff>
    </xdr:from>
    <xdr:to>
      <xdr:col>15</xdr:col>
      <xdr:colOff>229235</xdr:colOff>
      <xdr:row>32</xdr:row>
      <xdr:rowOff>124475</xdr:rowOff>
    </xdr:to>
    <xdr:pic>
      <xdr:nvPicPr>
        <xdr:cNvPr id="2" name="Imagen 1" descr="Interfaz de usuario gráfica, Texto, Aplicación&#10;&#10;Descripción generada automáticamente">
          <a:extLst>
            <a:ext uri="{FF2B5EF4-FFF2-40B4-BE49-F238E27FC236}">
              <a16:creationId xmlns:a16="http://schemas.microsoft.com/office/drawing/2014/main" id="{0A3725EF-0DA3-7256-98CB-E0863BD8F2E7}"/>
            </a:ext>
          </a:extLst>
        </xdr:cNvPr>
        <xdr:cNvPicPr>
          <a:picLocks noChangeAspect="1"/>
        </xdr:cNvPicPr>
      </xdr:nvPicPr>
      <xdr:blipFill rotWithShape="1">
        <a:blip xmlns:r="http://schemas.openxmlformats.org/officeDocument/2006/relationships" r:embed="rId1"/>
        <a:srcRect l="19077" t="4868" r="11869" b="430"/>
        <a:stretch/>
      </xdr:blipFill>
      <xdr:spPr bwMode="auto">
        <a:xfrm>
          <a:off x="4248150" y="361949"/>
          <a:ext cx="7411085" cy="5556901"/>
        </a:xfrm>
        <a:prstGeom prst="rect">
          <a:avLst/>
        </a:prstGeom>
        <a:ln>
          <a:noFill/>
        </a:ln>
        <a:extLst>
          <a:ext uri="{53640926-AAD7-44D8-BBD7-CCE9431645EC}">
            <a14:shadowObscured xmlns:a14="http://schemas.microsoft.com/office/drawing/2010/main"/>
          </a:ext>
        </a:extLst>
      </xdr:spPr>
    </xdr:pic>
    <xdr:clientData/>
  </xdr:twoCellAnchor>
  <xdr:twoCellAnchor editAs="oneCell">
    <xdr:from>
      <xdr:col>5</xdr:col>
      <xdr:colOff>460374</xdr:colOff>
      <xdr:row>34</xdr:row>
      <xdr:rowOff>152400</xdr:rowOff>
    </xdr:from>
    <xdr:to>
      <xdr:col>15</xdr:col>
      <xdr:colOff>761611</xdr:colOff>
      <xdr:row>60</xdr:row>
      <xdr:rowOff>152400</xdr:rowOff>
    </xdr:to>
    <xdr:pic>
      <xdr:nvPicPr>
        <xdr:cNvPr id="3" name="Imagen 2" descr="Texto&#10;&#10;Descripción generada automáticamente">
          <a:extLst>
            <a:ext uri="{FF2B5EF4-FFF2-40B4-BE49-F238E27FC236}">
              <a16:creationId xmlns:a16="http://schemas.microsoft.com/office/drawing/2014/main" id="{F3C01385-0821-54F9-B2C9-7547F570FE6C}"/>
            </a:ext>
          </a:extLst>
        </xdr:cNvPr>
        <xdr:cNvPicPr>
          <a:picLocks noChangeAspect="1"/>
        </xdr:cNvPicPr>
      </xdr:nvPicPr>
      <xdr:blipFill>
        <a:blip xmlns:r="http://schemas.openxmlformats.org/officeDocument/2006/relationships" r:embed="rId2"/>
        <a:stretch>
          <a:fillRect/>
        </a:stretch>
      </xdr:blipFill>
      <xdr:spPr>
        <a:xfrm>
          <a:off x="4270374" y="6124575"/>
          <a:ext cx="7921237" cy="4705350"/>
        </a:xfrm>
        <a:prstGeom prst="rect">
          <a:avLst/>
        </a:prstGeom>
      </xdr:spPr>
    </xdr:pic>
    <xdr:clientData/>
  </xdr:twoCellAnchor>
  <xdr:twoCellAnchor editAs="oneCell">
    <xdr:from>
      <xdr:col>15</xdr:col>
      <xdr:colOff>408925</xdr:colOff>
      <xdr:row>3</xdr:row>
      <xdr:rowOff>63500</xdr:rowOff>
    </xdr:from>
    <xdr:to>
      <xdr:col>25</xdr:col>
      <xdr:colOff>577850</xdr:colOff>
      <xdr:row>28</xdr:row>
      <xdr:rowOff>161195</xdr:rowOff>
    </xdr:to>
    <xdr:pic>
      <xdr:nvPicPr>
        <xdr:cNvPr id="4" name="Imagen 3" descr="Interfaz de usuario gráfica&#10;&#10;Descripción generada automáticamente con confianza baja">
          <a:extLst>
            <a:ext uri="{FF2B5EF4-FFF2-40B4-BE49-F238E27FC236}">
              <a16:creationId xmlns:a16="http://schemas.microsoft.com/office/drawing/2014/main" id="{50E7D2CE-E4F5-5225-BFD1-0539425973AC}"/>
            </a:ext>
          </a:extLst>
        </xdr:cNvPr>
        <xdr:cNvPicPr>
          <a:picLocks noChangeAspect="1"/>
        </xdr:cNvPicPr>
      </xdr:nvPicPr>
      <xdr:blipFill>
        <a:blip xmlns:r="http://schemas.openxmlformats.org/officeDocument/2006/relationships" r:embed="rId3"/>
        <a:stretch>
          <a:fillRect/>
        </a:stretch>
      </xdr:blipFill>
      <xdr:spPr>
        <a:xfrm>
          <a:off x="11838925" y="244475"/>
          <a:ext cx="7792100" cy="4625245"/>
        </a:xfrm>
        <a:prstGeom prst="rect">
          <a:avLst/>
        </a:prstGeom>
      </xdr:spPr>
    </xdr:pic>
    <xdr:clientData/>
  </xdr:twoCellAnchor>
  <xdr:twoCellAnchor editAs="oneCell">
    <xdr:from>
      <xdr:col>16</xdr:col>
      <xdr:colOff>0</xdr:colOff>
      <xdr:row>30</xdr:row>
      <xdr:rowOff>0</xdr:rowOff>
    </xdr:from>
    <xdr:to>
      <xdr:col>28</xdr:col>
      <xdr:colOff>409525</xdr:colOff>
      <xdr:row>58</xdr:row>
      <xdr:rowOff>158750</xdr:rowOff>
    </xdr:to>
    <xdr:pic>
      <xdr:nvPicPr>
        <xdr:cNvPr id="5" name="Imagen 4" descr="Tabla&#10;&#10;Descripción generada automáticamente">
          <a:extLst>
            <a:ext uri="{FF2B5EF4-FFF2-40B4-BE49-F238E27FC236}">
              <a16:creationId xmlns:a16="http://schemas.microsoft.com/office/drawing/2014/main" id="{E48C6034-9127-887D-0987-2D9B93B601E2}"/>
            </a:ext>
          </a:extLst>
        </xdr:cNvPr>
        <xdr:cNvPicPr>
          <a:picLocks noChangeAspect="1"/>
        </xdr:cNvPicPr>
      </xdr:nvPicPr>
      <xdr:blipFill>
        <a:blip xmlns:r="http://schemas.openxmlformats.org/officeDocument/2006/relationships" r:embed="rId4"/>
        <a:stretch>
          <a:fillRect/>
        </a:stretch>
      </xdr:blipFill>
      <xdr:spPr>
        <a:xfrm>
          <a:off x="12192000" y="4886325"/>
          <a:ext cx="9550350" cy="5229225"/>
        </a:xfrm>
        <a:prstGeom prst="rect">
          <a:avLst/>
        </a:prstGeom>
      </xdr:spPr>
    </xdr:pic>
    <xdr:clientData/>
  </xdr:twoCellAnchor>
  <xdr:twoCellAnchor editAs="oneCell">
    <xdr:from>
      <xdr:col>5</xdr:col>
      <xdr:colOff>514350</xdr:colOff>
      <xdr:row>61</xdr:row>
      <xdr:rowOff>3174</xdr:rowOff>
    </xdr:from>
    <xdr:to>
      <xdr:col>19</xdr:col>
      <xdr:colOff>28142</xdr:colOff>
      <xdr:row>92</xdr:row>
      <xdr:rowOff>133349</xdr:rowOff>
    </xdr:to>
    <xdr:pic>
      <xdr:nvPicPr>
        <xdr:cNvPr id="6" name="Imagen 5" descr="Imagen que contiene Texto&#10;&#10;Descripción generada automáticamente">
          <a:extLst>
            <a:ext uri="{FF2B5EF4-FFF2-40B4-BE49-F238E27FC236}">
              <a16:creationId xmlns:a16="http://schemas.microsoft.com/office/drawing/2014/main" id="{47DAD0A4-996E-DD8E-F637-A1760CDC9A17}"/>
            </a:ext>
          </a:extLst>
        </xdr:cNvPr>
        <xdr:cNvPicPr>
          <a:picLocks noChangeAspect="1"/>
        </xdr:cNvPicPr>
      </xdr:nvPicPr>
      <xdr:blipFill>
        <a:blip xmlns:r="http://schemas.openxmlformats.org/officeDocument/2006/relationships" r:embed="rId5"/>
        <a:stretch>
          <a:fillRect/>
        </a:stretch>
      </xdr:blipFill>
      <xdr:spPr>
        <a:xfrm>
          <a:off x="4324350" y="10861674"/>
          <a:ext cx="10184967" cy="5740400"/>
        </a:xfrm>
        <a:prstGeom prst="rect">
          <a:avLst/>
        </a:prstGeom>
      </xdr:spPr>
    </xdr:pic>
    <xdr:clientData/>
  </xdr:twoCellAnchor>
  <xdr:twoCellAnchor editAs="oneCell">
    <xdr:from>
      <xdr:col>6</xdr:col>
      <xdr:colOff>0</xdr:colOff>
      <xdr:row>96</xdr:row>
      <xdr:rowOff>0</xdr:rowOff>
    </xdr:from>
    <xdr:to>
      <xdr:col>14</xdr:col>
      <xdr:colOff>730601</xdr:colOff>
      <xdr:row>99</xdr:row>
      <xdr:rowOff>47655</xdr:rowOff>
    </xdr:to>
    <xdr:pic>
      <xdr:nvPicPr>
        <xdr:cNvPr id="7" name="Imagen 6">
          <a:extLst>
            <a:ext uri="{FF2B5EF4-FFF2-40B4-BE49-F238E27FC236}">
              <a16:creationId xmlns:a16="http://schemas.microsoft.com/office/drawing/2014/main" id="{61A3BC4C-4173-A37E-A154-3E7BFF6A70E8}"/>
            </a:ext>
          </a:extLst>
        </xdr:cNvPr>
        <xdr:cNvPicPr>
          <a:picLocks noChangeAspect="1"/>
        </xdr:cNvPicPr>
      </xdr:nvPicPr>
      <xdr:blipFill>
        <a:blip xmlns:r="http://schemas.openxmlformats.org/officeDocument/2006/relationships" r:embed="rId6"/>
        <a:stretch>
          <a:fillRect/>
        </a:stretch>
      </xdr:blipFill>
      <xdr:spPr>
        <a:xfrm>
          <a:off x="4572000" y="17192625"/>
          <a:ext cx="6826601" cy="590580"/>
        </a:xfrm>
        <a:prstGeom prst="rect">
          <a:avLst/>
        </a:prstGeom>
      </xdr:spPr>
    </xdr:pic>
    <xdr:clientData/>
  </xdr:twoCellAnchor>
  <xdr:twoCellAnchor editAs="oneCell">
    <xdr:from>
      <xdr:col>6</xdr:col>
      <xdr:colOff>0</xdr:colOff>
      <xdr:row>102</xdr:row>
      <xdr:rowOff>0</xdr:rowOff>
    </xdr:from>
    <xdr:to>
      <xdr:col>15</xdr:col>
      <xdr:colOff>86082</xdr:colOff>
      <xdr:row>105</xdr:row>
      <xdr:rowOff>25429</xdr:rowOff>
    </xdr:to>
    <xdr:pic>
      <xdr:nvPicPr>
        <xdr:cNvPr id="8" name="Imagen 7">
          <a:extLst>
            <a:ext uri="{FF2B5EF4-FFF2-40B4-BE49-F238E27FC236}">
              <a16:creationId xmlns:a16="http://schemas.microsoft.com/office/drawing/2014/main" id="{9F00DE9A-F8EB-FD1E-A5FF-555D36882792}"/>
            </a:ext>
          </a:extLst>
        </xdr:cNvPr>
        <xdr:cNvPicPr>
          <a:picLocks noChangeAspect="1"/>
        </xdr:cNvPicPr>
      </xdr:nvPicPr>
      <xdr:blipFill>
        <a:blip xmlns:r="http://schemas.openxmlformats.org/officeDocument/2006/relationships" r:embed="rId7"/>
        <a:stretch>
          <a:fillRect/>
        </a:stretch>
      </xdr:blipFill>
      <xdr:spPr>
        <a:xfrm>
          <a:off x="4572000" y="18278475"/>
          <a:ext cx="6940907" cy="571529"/>
        </a:xfrm>
        <a:prstGeom prst="rect">
          <a:avLst/>
        </a:prstGeom>
      </xdr:spPr>
    </xdr:pic>
    <xdr:clientData/>
  </xdr:twoCellAnchor>
  <xdr:twoCellAnchor editAs="oneCell">
    <xdr:from>
      <xdr:col>6</xdr:col>
      <xdr:colOff>0</xdr:colOff>
      <xdr:row>106</xdr:row>
      <xdr:rowOff>0</xdr:rowOff>
    </xdr:from>
    <xdr:to>
      <xdr:col>15</xdr:col>
      <xdr:colOff>19403</xdr:colOff>
      <xdr:row>110</xdr:row>
      <xdr:rowOff>95292</xdr:rowOff>
    </xdr:to>
    <xdr:pic>
      <xdr:nvPicPr>
        <xdr:cNvPr id="9" name="Imagen 8">
          <a:extLst>
            <a:ext uri="{FF2B5EF4-FFF2-40B4-BE49-F238E27FC236}">
              <a16:creationId xmlns:a16="http://schemas.microsoft.com/office/drawing/2014/main" id="{B9A03AB7-C08F-90AA-6029-31CD257661D2}"/>
            </a:ext>
          </a:extLst>
        </xdr:cNvPr>
        <xdr:cNvPicPr>
          <a:picLocks noChangeAspect="1"/>
        </xdr:cNvPicPr>
      </xdr:nvPicPr>
      <xdr:blipFill>
        <a:blip xmlns:r="http://schemas.openxmlformats.org/officeDocument/2006/relationships" r:embed="rId8"/>
        <a:stretch>
          <a:fillRect/>
        </a:stretch>
      </xdr:blipFill>
      <xdr:spPr>
        <a:xfrm>
          <a:off x="4572000" y="19002375"/>
          <a:ext cx="6877403" cy="819192"/>
        </a:xfrm>
        <a:prstGeom prst="rect">
          <a:avLst/>
        </a:prstGeom>
      </xdr:spPr>
    </xdr:pic>
    <xdr:clientData/>
  </xdr:twoCellAnchor>
  <xdr:twoCellAnchor editAs="oneCell">
    <xdr:from>
      <xdr:col>6</xdr:col>
      <xdr:colOff>0</xdr:colOff>
      <xdr:row>118</xdr:row>
      <xdr:rowOff>0</xdr:rowOff>
    </xdr:from>
    <xdr:to>
      <xdr:col>19</xdr:col>
      <xdr:colOff>83063</xdr:colOff>
      <xdr:row>128</xdr:row>
      <xdr:rowOff>158851</xdr:rowOff>
    </xdr:to>
    <xdr:pic>
      <xdr:nvPicPr>
        <xdr:cNvPr id="10" name="Imagen 9">
          <a:extLst>
            <a:ext uri="{FF2B5EF4-FFF2-40B4-BE49-F238E27FC236}">
              <a16:creationId xmlns:a16="http://schemas.microsoft.com/office/drawing/2014/main" id="{518E9601-656C-8AF3-9C9D-81165BEB5A1B}"/>
            </a:ext>
          </a:extLst>
        </xdr:cNvPr>
        <xdr:cNvPicPr>
          <a:picLocks noChangeAspect="1"/>
        </xdr:cNvPicPr>
      </xdr:nvPicPr>
      <xdr:blipFill>
        <a:blip xmlns:r="http://schemas.openxmlformats.org/officeDocument/2006/relationships" r:embed="rId9"/>
        <a:stretch>
          <a:fillRect/>
        </a:stretch>
      </xdr:blipFill>
      <xdr:spPr>
        <a:xfrm>
          <a:off x="8086725" y="21355050"/>
          <a:ext cx="9989063" cy="1968601"/>
        </a:xfrm>
        <a:prstGeom prst="rect">
          <a:avLst/>
        </a:prstGeom>
      </xdr:spPr>
    </xdr:pic>
    <xdr:clientData/>
  </xdr:twoCellAnchor>
  <xdr:twoCellAnchor editAs="oneCell">
    <xdr:from>
      <xdr:col>6</xdr:col>
      <xdr:colOff>0</xdr:colOff>
      <xdr:row>111</xdr:row>
      <xdr:rowOff>0</xdr:rowOff>
    </xdr:from>
    <xdr:to>
      <xdr:col>13</xdr:col>
      <xdr:colOff>597205</xdr:colOff>
      <xdr:row>115</xdr:row>
      <xdr:rowOff>25439</xdr:rowOff>
    </xdr:to>
    <xdr:pic>
      <xdr:nvPicPr>
        <xdr:cNvPr id="11" name="Imagen 10">
          <a:extLst>
            <a:ext uri="{FF2B5EF4-FFF2-40B4-BE49-F238E27FC236}">
              <a16:creationId xmlns:a16="http://schemas.microsoft.com/office/drawing/2014/main" id="{AE201523-3D8F-0020-7D99-04F7FA3AA124}"/>
            </a:ext>
          </a:extLst>
        </xdr:cNvPr>
        <xdr:cNvPicPr>
          <a:picLocks noChangeAspect="1"/>
        </xdr:cNvPicPr>
      </xdr:nvPicPr>
      <xdr:blipFill>
        <a:blip xmlns:r="http://schemas.openxmlformats.org/officeDocument/2006/relationships" r:embed="rId10"/>
        <a:stretch>
          <a:fillRect/>
        </a:stretch>
      </xdr:blipFill>
      <xdr:spPr>
        <a:xfrm>
          <a:off x="8086725" y="20088225"/>
          <a:ext cx="5931205" cy="749339"/>
        </a:xfrm>
        <a:prstGeom prst="rect">
          <a:avLst/>
        </a:prstGeom>
      </xdr:spPr>
    </xdr:pic>
    <xdr:clientData/>
  </xdr:twoCellAnchor>
  <xdr:twoCellAnchor editAs="oneCell">
    <xdr:from>
      <xdr:col>6</xdr:col>
      <xdr:colOff>0</xdr:colOff>
      <xdr:row>132</xdr:row>
      <xdr:rowOff>0</xdr:rowOff>
    </xdr:from>
    <xdr:to>
      <xdr:col>15</xdr:col>
      <xdr:colOff>473099</xdr:colOff>
      <xdr:row>158</xdr:row>
      <xdr:rowOff>137584</xdr:rowOff>
    </xdr:to>
    <xdr:pic>
      <xdr:nvPicPr>
        <xdr:cNvPr id="12" name="Imagen 11">
          <a:extLst>
            <a:ext uri="{FF2B5EF4-FFF2-40B4-BE49-F238E27FC236}">
              <a16:creationId xmlns:a16="http://schemas.microsoft.com/office/drawing/2014/main" id="{69E5DD9B-7454-8F2A-E6EE-47E0EF049976}"/>
            </a:ext>
          </a:extLst>
        </xdr:cNvPr>
        <xdr:cNvPicPr>
          <a:picLocks noChangeAspect="1"/>
        </xdr:cNvPicPr>
      </xdr:nvPicPr>
      <xdr:blipFill>
        <a:blip xmlns:r="http://schemas.openxmlformats.org/officeDocument/2006/relationships" r:embed="rId11"/>
        <a:stretch>
          <a:fillRect/>
        </a:stretch>
      </xdr:blipFill>
      <xdr:spPr>
        <a:xfrm>
          <a:off x="8161020" y="24140160"/>
          <a:ext cx="7605419" cy="4892464"/>
        </a:xfrm>
        <a:prstGeom prst="rect">
          <a:avLst/>
        </a:prstGeom>
      </xdr:spPr>
    </xdr:pic>
    <xdr:clientData/>
  </xdr:twoCellAnchor>
  <xdr:twoCellAnchor editAs="oneCell">
    <xdr:from>
      <xdr:col>7</xdr:col>
      <xdr:colOff>0</xdr:colOff>
      <xdr:row>161</xdr:row>
      <xdr:rowOff>0</xdr:rowOff>
    </xdr:from>
    <xdr:to>
      <xdr:col>15</xdr:col>
      <xdr:colOff>724511</xdr:colOff>
      <xdr:row>190</xdr:row>
      <xdr:rowOff>63325</xdr:rowOff>
    </xdr:to>
    <xdr:pic>
      <xdr:nvPicPr>
        <xdr:cNvPr id="13" name="Imagen 12">
          <a:extLst>
            <a:ext uri="{FF2B5EF4-FFF2-40B4-BE49-F238E27FC236}">
              <a16:creationId xmlns:a16="http://schemas.microsoft.com/office/drawing/2014/main" id="{79AB4ABB-EA3F-92C1-EE93-8A7C7DBE5A44}"/>
            </a:ext>
          </a:extLst>
        </xdr:cNvPr>
        <xdr:cNvPicPr>
          <a:picLocks noChangeAspect="1"/>
        </xdr:cNvPicPr>
      </xdr:nvPicPr>
      <xdr:blipFill>
        <a:blip xmlns:r="http://schemas.openxmlformats.org/officeDocument/2006/relationships" r:embed="rId12"/>
        <a:stretch>
          <a:fillRect/>
        </a:stretch>
      </xdr:blipFill>
      <xdr:spPr>
        <a:xfrm>
          <a:off x="8943975" y="29136975"/>
          <a:ext cx="7049111" cy="53116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139700</xdr:colOff>
      <xdr:row>0</xdr:row>
      <xdr:rowOff>0</xdr:rowOff>
    </xdr:from>
    <xdr:to>
      <xdr:col>19</xdr:col>
      <xdr:colOff>264414</xdr:colOff>
      <xdr:row>29</xdr:row>
      <xdr:rowOff>101600</xdr:rowOff>
    </xdr:to>
    <xdr:pic>
      <xdr:nvPicPr>
        <xdr:cNvPr id="2" name="Imagen 1" descr="Tabla&#10;&#10;Descripción generada automáticamente con confianza media">
          <a:extLst>
            <a:ext uri="{FF2B5EF4-FFF2-40B4-BE49-F238E27FC236}">
              <a16:creationId xmlns:a16="http://schemas.microsoft.com/office/drawing/2014/main" id="{D307E7A3-A672-8C0D-53E2-9EECEB6167FD}"/>
            </a:ext>
          </a:extLst>
        </xdr:cNvPr>
        <xdr:cNvPicPr>
          <a:picLocks noChangeAspect="1"/>
        </xdr:cNvPicPr>
      </xdr:nvPicPr>
      <xdr:blipFill>
        <a:blip xmlns:r="http://schemas.openxmlformats.org/officeDocument/2006/relationships" r:embed="rId1"/>
        <a:stretch>
          <a:fillRect/>
        </a:stretch>
      </xdr:blipFill>
      <xdr:spPr>
        <a:xfrm>
          <a:off x="6235700" y="0"/>
          <a:ext cx="8506714" cy="5353050"/>
        </a:xfrm>
        <a:prstGeom prst="rect">
          <a:avLst/>
        </a:prstGeom>
      </xdr:spPr>
    </xdr:pic>
    <xdr:clientData/>
  </xdr:twoCellAnchor>
  <xdr:twoCellAnchor editAs="oneCell">
    <xdr:from>
      <xdr:col>19</xdr:col>
      <xdr:colOff>312854</xdr:colOff>
      <xdr:row>0</xdr:row>
      <xdr:rowOff>0</xdr:rowOff>
    </xdr:from>
    <xdr:to>
      <xdr:col>29</xdr:col>
      <xdr:colOff>304800</xdr:colOff>
      <xdr:row>27</xdr:row>
      <xdr:rowOff>133350</xdr:rowOff>
    </xdr:to>
    <xdr:pic>
      <xdr:nvPicPr>
        <xdr:cNvPr id="4" name="Imagen 3" descr="Tabla&#10;&#10;Descripción generada automáticamente">
          <a:extLst>
            <a:ext uri="{FF2B5EF4-FFF2-40B4-BE49-F238E27FC236}">
              <a16:creationId xmlns:a16="http://schemas.microsoft.com/office/drawing/2014/main" id="{4034F649-7B63-B2C0-0EF4-632E5EE29412}"/>
            </a:ext>
          </a:extLst>
        </xdr:cNvPr>
        <xdr:cNvPicPr>
          <a:picLocks noChangeAspect="1"/>
        </xdr:cNvPicPr>
      </xdr:nvPicPr>
      <xdr:blipFill>
        <a:blip xmlns:r="http://schemas.openxmlformats.org/officeDocument/2006/relationships" r:embed="rId2"/>
        <a:stretch>
          <a:fillRect/>
        </a:stretch>
      </xdr:blipFill>
      <xdr:spPr>
        <a:xfrm>
          <a:off x="17448329" y="0"/>
          <a:ext cx="7611946" cy="5019675"/>
        </a:xfrm>
        <a:prstGeom prst="rect">
          <a:avLst/>
        </a:prstGeom>
      </xdr:spPr>
    </xdr:pic>
    <xdr:clientData/>
  </xdr:twoCellAnchor>
  <xdr:twoCellAnchor editAs="oneCell">
    <xdr:from>
      <xdr:col>8</xdr:col>
      <xdr:colOff>723053</xdr:colOff>
      <xdr:row>73</xdr:row>
      <xdr:rowOff>124196</xdr:rowOff>
    </xdr:from>
    <xdr:to>
      <xdr:col>21</xdr:col>
      <xdr:colOff>687334</xdr:colOff>
      <xdr:row>106</xdr:row>
      <xdr:rowOff>9501</xdr:rowOff>
    </xdr:to>
    <xdr:pic>
      <xdr:nvPicPr>
        <xdr:cNvPr id="6" name="Imagen 5">
          <a:extLst>
            <a:ext uri="{FF2B5EF4-FFF2-40B4-BE49-F238E27FC236}">
              <a16:creationId xmlns:a16="http://schemas.microsoft.com/office/drawing/2014/main" id="{2F66AD58-7976-0A48-0012-75988AC85F70}"/>
            </a:ext>
          </a:extLst>
        </xdr:cNvPr>
        <xdr:cNvPicPr>
          <a:picLocks noChangeAspect="1"/>
        </xdr:cNvPicPr>
      </xdr:nvPicPr>
      <xdr:blipFill>
        <a:blip xmlns:r="http://schemas.openxmlformats.org/officeDocument/2006/relationships" r:embed="rId3"/>
        <a:stretch>
          <a:fillRect/>
        </a:stretch>
      </xdr:blipFill>
      <xdr:spPr>
        <a:xfrm>
          <a:off x="9623636" y="13258113"/>
          <a:ext cx="10283031" cy="5822555"/>
        </a:xfrm>
        <a:prstGeom prst="rect">
          <a:avLst/>
        </a:prstGeom>
      </xdr:spPr>
    </xdr:pic>
    <xdr:clientData/>
  </xdr:twoCellAnchor>
  <xdr:twoCellAnchor editAs="oneCell">
    <xdr:from>
      <xdr:col>8</xdr:col>
      <xdr:colOff>430742</xdr:colOff>
      <xdr:row>67</xdr:row>
      <xdr:rowOff>10584</xdr:rowOff>
    </xdr:from>
    <xdr:to>
      <xdr:col>19</xdr:col>
      <xdr:colOff>316814</xdr:colOff>
      <xdr:row>69</xdr:row>
      <xdr:rowOff>26467</xdr:rowOff>
    </xdr:to>
    <xdr:pic>
      <xdr:nvPicPr>
        <xdr:cNvPr id="7" name="Imagen 6">
          <a:extLst>
            <a:ext uri="{FF2B5EF4-FFF2-40B4-BE49-F238E27FC236}">
              <a16:creationId xmlns:a16="http://schemas.microsoft.com/office/drawing/2014/main" id="{71DB0B5B-441B-3C34-EB5D-A9A7A867F50C}"/>
            </a:ext>
          </a:extLst>
        </xdr:cNvPr>
        <xdr:cNvPicPr>
          <a:picLocks noChangeAspect="1"/>
        </xdr:cNvPicPr>
      </xdr:nvPicPr>
      <xdr:blipFill>
        <a:blip xmlns:r="http://schemas.openxmlformats.org/officeDocument/2006/relationships" r:embed="rId4"/>
        <a:stretch>
          <a:fillRect/>
        </a:stretch>
      </xdr:blipFill>
      <xdr:spPr>
        <a:xfrm>
          <a:off x="9172575" y="11705167"/>
          <a:ext cx="8268072" cy="375716"/>
        </a:xfrm>
        <a:prstGeom prst="rect">
          <a:avLst/>
        </a:prstGeom>
      </xdr:spPr>
    </xdr:pic>
    <xdr:clientData/>
  </xdr:twoCellAnchor>
  <xdr:twoCellAnchor editAs="oneCell">
    <xdr:from>
      <xdr:col>8</xdr:col>
      <xdr:colOff>148167</xdr:colOff>
      <xdr:row>30</xdr:row>
      <xdr:rowOff>95250</xdr:rowOff>
    </xdr:from>
    <xdr:to>
      <xdr:col>23</xdr:col>
      <xdr:colOff>221595</xdr:colOff>
      <xdr:row>71</xdr:row>
      <xdr:rowOff>114518</xdr:rowOff>
    </xdr:to>
    <xdr:pic>
      <xdr:nvPicPr>
        <xdr:cNvPr id="5" name="Imagen 4">
          <a:extLst>
            <a:ext uri="{FF2B5EF4-FFF2-40B4-BE49-F238E27FC236}">
              <a16:creationId xmlns:a16="http://schemas.microsoft.com/office/drawing/2014/main" id="{37A4AAD5-D259-C25A-55DE-645DF87963AA}"/>
            </a:ext>
          </a:extLst>
        </xdr:cNvPr>
        <xdr:cNvPicPr>
          <a:picLocks noChangeAspect="1"/>
        </xdr:cNvPicPr>
      </xdr:nvPicPr>
      <xdr:blipFill>
        <a:blip xmlns:r="http://schemas.openxmlformats.org/officeDocument/2006/relationships" r:embed="rId5"/>
        <a:stretch>
          <a:fillRect/>
        </a:stretch>
      </xdr:blipFill>
      <xdr:spPr>
        <a:xfrm>
          <a:off x="9048750" y="5492750"/>
          <a:ext cx="11979678" cy="739585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7</xdr:col>
      <xdr:colOff>9525</xdr:colOff>
      <xdr:row>0</xdr:row>
      <xdr:rowOff>85725</xdr:rowOff>
    </xdr:from>
    <xdr:to>
      <xdr:col>14</xdr:col>
      <xdr:colOff>523049</xdr:colOff>
      <xdr:row>40</xdr:row>
      <xdr:rowOff>82550</xdr:rowOff>
    </xdr:to>
    <xdr:pic>
      <xdr:nvPicPr>
        <xdr:cNvPr id="2" name="Imagen 1">
          <a:extLst>
            <a:ext uri="{FF2B5EF4-FFF2-40B4-BE49-F238E27FC236}">
              <a16:creationId xmlns:a16="http://schemas.microsoft.com/office/drawing/2014/main" id="{3750B940-ABB1-DA73-2AC3-517AF32A56CE}"/>
            </a:ext>
          </a:extLst>
        </xdr:cNvPr>
        <xdr:cNvPicPr>
          <a:picLocks noChangeAspect="1"/>
        </xdr:cNvPicPr>
      </xdr:nvPicPr>
      <xdr:blipFill>
        <a:blip xmlns:r="http://schemas.openxmlformats.org/officeDocument/2006/relationships" r:embed="rId1"/>
        <a:stretch>
          <a:fillRect/>
        </a:stretch>
      </xdr:blipFill>
      <xdr:spPr>
        <a:xfrm>
          <a:off x="5753100" y="85725"/>
          <a:ext cx="5850699" cy="7239000"/>
        </a:xfrm>
        <a:prstGeom prst="rect">
          <a:avLst/>
        </a:prstGeom>
      </xdr:spPr>
    </xdr:pic>
    <xdr:clientData/>
  </xdr:twoCellAnchor>
  <xdr:twoCellAnchor editAs="oneCell">
    <xdr:from>
      <xdr:col>15</xdr:col>
      <xdr:colOff>0</xdr:colOff>
      <xdr:row>2</xdr:row>
      <xdr:rowOff>0</xdr:rowOff>
    </xdr:from>
    <xdr:to>
      <xdr:col>31</xdr:col>
      <xdr:colOff>695566</xdr:colOff>
      <xdr:row>31</xdr:row>
      <xdr:rowOff>19050</xdr:rowOff>
    </xdr:to>
    <xdr:pic>
      <xdr:nvPicPr>
        <xdr:cNvPr id="3" name="Imagen 2">
          <a:extLst>
            <a:ext uri="{FF2B5EF4-FFF2-40B4-BE49-F238E27FC236}">
              <a16:creationId xmlns:a16="http://schemas.microsoft.com/office/drawing/2014/main" id="{6F6AA04C-0E4D-D693-C954-243A7EDB401F}"/>
            </a:ext>
          </a:extLst>
        </xdr:cNvPr>
        <xdr:cNvPicPr>
          <a:picLocks noChangeAspect="1"/>
        </xdr:cNvPicPr>
      </xdr:nvPicPr>
      <xdr:blipFill>
        <a:blip xmlns:r="http://schemas.openxmlformats.org/officeDocument/2006/relationships" r:embed="rId2"/>
        <a:stretch>
          <a:fillRect/>
        </a:stretch>
      </xdr:blipFill>
      <xdr:spPr>
        <a:xfrm>
          <a:off x="14087475" y="361950"/>
          <a:ext cx="12887566" cy="5267325"/>
        </a:xfrm>
        <a:prstGeom prst="rect">
          <a:avLst/>
        </a:prstGeom>
      </xdr:spPr>
    </xdr:pic>
    <xdr:clientData/>
  </xdr:twoCellAnchor>
  <xdr:twoCellAnchor editAs="oneCell">
    <xdr:from>
      <xdr:col>14</xdr:col>
      <xdr:colOff>761999</xdr:colOff>
      <xdr:row>33</xdr:row>
      <xdr:rowOff>0</xdr:rowOff>
    </xdr:from>
    <xdr:to>
      <xdr:col>31</xdr:col>
      <xdr:colOff>619124</xdr:colOff>
      <xdr:row>69</xdr:row>
      <xdr:rowOff>140936</xdr:rowOff>
    </xdr:to>
    <xdr:pic>
      <xdr:nvPicPr>
        <xdr:cNvPr id="4" name="Imagen 3" descr="Tabla&#10;&#10;Descripción generada automáticamente">
          <a:extLst>
            <a:ext uri="{FF2B5EF4-FFF2-40B4-BE49-F238E27FC236}">
              <a16:creationId xmlns:a16="http://schemas.microsoft.com/office/drawing/2014/main" id="{28A9D434-7637-D94B-5D1A-F69DC7E2F771}"/>
            </a:ext>
          </a:extLst>
        </xdr:cNvPr>
        <xdr:cNvPicPr>
          <a:picLocks noChangeAspect="1"/>
        </xdr:cNvPicPr>
      </xdr:nvPicPr>
      <xdr:blipFill>
        <a:blip xmlns:r="http://schemas.openxmlformats.org/officeDocument/2006/relationships" r:embed="rId3"/>
        <a:stretch>
          <a:fillRect/>
        </a:stretch>
      </xdr:blipFill>
      <xdr:spPr>
        <a:xfrm>
          <a:off x="14087474" y="5972175"/>
          <a:ext cx="12811125" cy="6656036"/>
        </a:xfrm>
        <a:prstGeom prst="rect">
          <a:avLst/>
        </a:prstGeom>
      </xdr:spPr>
    </xdr:pic>
    <xdr:clientData/>
  </xdr:twoCellAnchor>
  <xdr:twoCellAnchor editAs="oneCell">
    <xdr:from>
      <xdr:col>7</xdr:col>
      <xdr:colOff>0</xdr:colOff>
      <xdr:row>42</xdr:row>
      <xdr:rowOff>0</xdr:rowOff>
    </xdr:from>
    <xdr:to>
      <xdr:col>14</xdr:col>
      <xdr:colOff>609600</xdr:colOff>
      <xdr:row>67</xdr:row>
      <xdr:rowOff>153670</xdr:rowOff>
    </xdr:to>
    <xdr:pic>
      <xdr:nvPicPr>
        <xdr:cNvPr id="5" name="Imagen 4" descr="Texto&#10;&#10;Descripción generada automáticamente">
          <a:extLst>
            <a:ext uri="{FF2B5EF4-FFF2-40B4-BE49-F238E27FC236}">
              <a16:creationId xmlns:a16="http://schemas.microsoft.com/office/drawing/2014/main" id="{8B221D9F-762D-B4BD-5FE3-C0C4B7B43C9B}"/>
            </a:ext>
          </a:extLst>
        </xdr:cNvPr>
        <xdr:cNvPicPr>
          <a:picLocks noChangeAspect="1"/>
        </xdr:cNvPicPr>
      </xdr:nvPicPr>
      <xdr:blipFill>
        <a:blip xmlns:r="http://schemas.openxmlformats.org/officeDocument/2006/relationships" r:embed="rId4"/>
        <a:stretch>
          <a:fillRect/>
        </a:stretch>
      </xdr:blipFill>
      <xdr:spPr>
        <a:xfrm>
          <a:off x="7991475" y="7600950"/>
          <a:ext cx="5943600" cy="4678045"/>
        </a:xfrm>
        <a:prstGeom prst="rect">
          <a:avLst/>
        </a:prstGeom>
      </xdr:spPr>
    </xdr:pic>
    <xdr:clientData/>
  </xdr:twoCellAnchor>
  <xdr:twoCellAnchor editAs="oneCell">
    <xdr:from>
      <xdr:col>8</xdr:col>
      <xdr:colOff>0</xdr:colOff>
      <xdr:row>72</xdr:row>
      <xdr:rowOff>0</xdr:rowOff>
    </xdr:from>
    <xdr:to>
      <xdr:col>23</xdr:col>
      <xdr:colOff>124999</xdr:colOff>
      <xdr:row>104</xdr:row>
      <xdr:rowOff>114300</xdr:rowOff>
    </xdr:to>
    <xdr:pic>
      <xdr:nvPicPr>
        <xdr:cNvPr id="6" name="Imagen 5">
          <a:extLst>
            <a:ext uri="{FF2B5EF4-FFF2-40B4-BE49-F238E27FC236}">
              <a16:creationId xmlns:a16="http://schemas.microsoft.com/office/drawing/2014/main" id="{A104B2CE-1B88-FEE2-4B48-6E9DEA4FEE7C}"/>
            </a:ext>
          </a:extLst>
        </xdr:cNvPr>
        <xdr:cNvPicPr>
          <a:picLocks noChangeAspect="1"/>
        </xdr:cNvPicPr>
      </xdr:nvPicPr>
      <xdr:blipFill>
        <a:blip xmlns:r="http://schemas.openxmlformats.org/officeDocument/2006/relationships" r:embed="rId5"/>
        <a:stretch>
          <a:fillRect/>
        </a:stretch>
      </xdr:blipFill>
      <xdr:spPr>
        <a:xfrm>
          <a:off x="8753475" y="13030200"/>
          <a:ext cx="11551824" cy="5905500"/>
        </a:xfrm>
        <a:prstGeom prst="rect">
          <a:avLst/>
        </a:prstGeom>
      </xdr:spPr>
    </xdr:pic>
    <xdr:clientData/>
  </xdr:twoCellAnchor>
  <xdr:twoCellAnchor editAs="oneCell">
    <xdr:from>
      <xdr:col>8</xdr:col>
      <xdr:colOff>0</xdr:colOff>
      <xdr:row>106</xdr:row>
      <xdr:rowOff>180974</xdr:rowOff>
    </xdr:from>
    <xdr:to>
      <xdr:col>21</xdr:col>
      <xdr:colOff>552450</xdr:colOff>
      <xdr:row>142</xdr:row>
      <xdr:rowOff>28707</xdr:rowOff>
    </xdr:to>
    <xdr:pic>
      <xdr:nvPicPr>
        <xdr:cNvPr id="7" name="Imagen 6">
          <a:extLst>
            <a:ext uri="{FF2B5EF4-FFF2-40B4-BE49-F238E27FC236}">
              <a16:creationId xmlns:a16="http://schemas.microsoft.com/office/drawing/2014/main" id="{0D50F36F-131A-DD96-A17B-136258C4B399}"/>
            </a:ext>
          </a:extLst>
        </xdr:cNvPr>
        <xdr:cNvPicPr>
          <a:picLocks noChangeAspect="1"/>
        </xdr:cNvPicPr>
      </xdr:nvPicPr>
      <xdr:blipFill>
        <a:blip xmlns:r="http://schemas.openxmlformats.org/officeDocument/2006/relationships" r:embed="rId6"/>
        <a:stretch>
          <a:fillRect/>
        </a:stretch>
      </xdr:blipFill>
      <xdr:spPr>
        <a:xfrm>
          <a:off x="8743950" y="19364324"/>
          <a:ext cx="10458450" cy="6362833"/>
        </a:xfrm>
        <a:prstGeom prst="rect">
          <a:avLst/>
        </a:prstGeom>
      </xdr:spPr>
    </xdr:pic>
    <xdr:clientData/>
  </xdr:twoCellAnchor>
  <xdr:twoCellAnchor editAs="oneCell">
    <xdr:from>
      <xdr:col>23</xdr:col>
      <xdr:colOff>0</xdr:colOff>
      <xdr:row>108</xdr:row>
      <xdr:rowOff>0</xdr:rowOff>
    </xdr:from>
    <xdr:to>
      <xdr:col>37</xdr:col>
      <xdr:colOff>576319</xdr:colOff>
      <xdr:row>146</xdr:row>
      <xdr:rowOff>72992</xdr:rowOff>
    </xdr:to>
    <xdr:pic>
      <xdr:nvPicPr>
        <xdr:cNvPr id="8" name="Imagen 7">
          <a:extLst>
            <a:ext uri="{FF2B5EF4-FFF2-40B4-BE49-F238E27FC236}">
              <a16:creationId xmlns:a16="http://schemas.microsoft.com/office/drawing/2014/main" id="{B95907DC-5C11-03F5-97B4-67CC99DB0944}"/>
            </a:ext>
          </a:extLst>
        </xdr:cNvPr>
        <xdr:cNvPicPr>
          <a:picLocks noChangeAspect="1"/>
        </xdr:cNvPicPr>
      </xdr:nvPicPr>
      <xdr:blipFill>
        <a:blip xmlns:r="http://schemas.openxmlformats.org/officeDocument/2006/relationships" r:embed="rId7"/>
        <a:stretch>
          <a:fillRect/>
        </a:stretch>
      </xdr:blipFill>
      <xdr:spPr>
        <a:xfrm>
          <a:off x="20735925" y="19545300"/>
          <a:ext cx="11644369" cy="695004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761999</xdr:colOff>
      <xdr:row>1</xdr:row>
      <xdr:rowOff>3174</xdr:rowOff>
    </xdr:from>
    <xdr:to>
      <xdr:col>20</xdr:col>
      <xdr:colOff>203199</xdr:colOff>
      <xdr:row>50</xdr:row>
      <xdr:rowOff>56679</xdr:rowOff>
    </xdr:to>
    <xdr:pic>
      <xdr:nvPicPr>
        <xdr:cNvPr id="2" name="Imagen 1" descr="Interfaz de usuario gráfica, Texto, Aplicación&#10;&#10;Descripción generada automáticamente">
          <a:extLst>
            <a:ext uri="{FF2B5EF4-FFF2-40B4-BE49-F238E27FC236}">
              <a16:creationId xmlns:a16="http://schemas.microsoft.com/office/drawing/2014/main" id="{4C27B815-D450-48F9-B854-C2C0AD104B25}"/>
            </a:ext>
          </a:extLst>
        </xdr:cNvPr>
        <xdr:cNvPicPr>
          <a:picLocks noChangeAspect="1"/>
        </xdr:cNvPicPr>
      </xdr:nvPicPr>
      <xdr:blipFill>
        <a:blip xmlns:r="http://schemas.openxmlformats.org/officeDocument/2006/relationships" r:embed="rId1"/>
        <a:stretch>
          <a:fillRect/>
        </a:stretch>
      </xdr:blipFill>
      <xdr:spPr>
        <a:xfrm>
          <a:off x="8753474" y="184149"/>
          <a:ext cx="9344025" cy="8921280"/>
        </a:xfrm>
        <a:prstGeom prst="rect">
          <a:avLst/>
        </a:prstGeom>
      </xdr:spPr>
    </xdr:pic>
    <xdr:clientData/>
  </xdr:twoCellAnchor>
  <xdr:twoCellAnchor editAs="oneCell">
    <xdr:from>
      <xdr:col>20</xdr:col>
      <xdr:colOff>752474</xdr:colOff>
      <xdr:row>1</xdr:row>
      <xdr:rowOff>0</xdr:rowOff>
    </xdr:from>
    <xdr:to>
      <xdr:col>34</xdr:col>
      <xdr:colOff>393443</xdr:colOff>
      <xdr:row>38</xdr:row>
      <xdr:rowOff>152400</xdr:rowOff>
    </xdr:to>
    <xdr:pic>
      <xdr:nvPicPr>
        <xdr:cNvPr id="3" name="Imagen 2">
          <a:extLst>
            <a:ext uri="{FF2B5EF4-FFF2-40B4-BE49-F238E27FC236}">
              <a16:creationId xmlns:a16="http://schemas.microsoft.com/office/drawing/2014/main" id="{E2C8F876-CB5A-404F-8D8D-8ED04346A15D}"/>
            </a:ext>
          </a:extLst>
        </xdr:cNvPr>
        <xdr:cNvPicPr>
          <a:picLocks noChangeAspect="1"/>
        </xdr:cNvPicPr>
      </xdr:nvPicPr>
      <xdr:blipFill>
        <a:blip xmlns:r="http://schemas.openxmlformats.org/officeDocument/2006/relationships" r:embed="rId2"/>
        <a:stretch>
          <a:fillRect/>
        </a:stretch>
      </xdr:blipFill>
      <xdr:spPr>
        <a:xfrm>
          <a:off x="18653124" y="180975"/>
          <a:ext cx="10302619" cy="6848475"/>
        </a:xfrm>
        <a:prstGeom prst="rect">
          <a:avLst/>
        </a:prstGeom>
      </xdr:spPr>
    </xdr:pic>
    <xdr:clientData/>
  </xdr:twoCellAnchor>
  <xdr:twoCellAnchor editAs="oneCell">
    <xdr:from>
      <xdr:col>20</xdr:col>
      <xdr:colOff>761999</xdr:colOff>
      <xdr:row>41</xdr:row>
      <xdr:rowOff>180974</xdr:rowOff>
    </xdr:from>
    <xdr:to>
      <xdr:col>34</xdr:col>
      <xdr:colOff>238124</xdr:colOff>
      <xdr:row>75</xdr:row>
      <xdr:rowOff>170655</xdr:rowOff>
    </xdr:to>
    <xdr:pic>
      <xdr:nvPicPr>
        <xdr:cNvPr id="4" name="Imagen 3" descr="Aplicación&#10;&#10;El contenido generado por IA puede ser incorrecto.">
          <a:extLst>
            <a:ext uri="{FF2B5EF4-FFF2-40B4-BE49-F238E27FC236}">
              <a16:creationId xmlns:a16="http://schemas.microsoft.com/office/drawing/2014/main" id="{0A48D360-8394-F9E1-2B14-DD874DD00D2F}"/>
            </a:ext>
          </a:extLst>
        </xdr:cNvPr>
        <xdr:cNvPicPr>
          <a:picLocks noChangeAspect="1"/>
        </xdr:cNvPicPr>
      </xdr:nvPicPr>
      <xdr:blipFill>
        <a:blip xmlns:r="http://schemas.openxmlformats.org/officeDocument/2006/relationships" r:embed="rId3"/>
        <a:stretch>
          <a:fillRect/>
        </a:stretch>
      </xdr:blipFill>
      <xdr:spPr>
        <a:xfrm>
          <a:off x="18649949" y="7600949"/>
          <a:ext cx="10144125" cy="614283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752474</xdr:colOff>
      <xdr:row>1</xdr:row>
      <xdr:rowOff>0</xdr:rowOff>
    </xdr:from>
    <xdr:to>
      <xdr:col>34</xdr:col>
      <xdr:colOff>393443</xdr:colOff>
      <xdr:row>38</xdr:row>
      <xdr:rowOff>152400</xdr:rowOff>
    </xdr:to>
    <xdr:pic>
      <xdr:nvPicPr>
        <xdr:cNvPr id="8" name="Imagen 7">
          <a:extLst>
            <a:ext uri="{FF2B5EF4-FFF2-40B4-BE49-F238E27FC236}">
              <a16:creationId xmlns:a16="http://schemas.microsoft.com/office/drawing/2014/main" id="{1D01AAFD-1E63-6C19-506A-6098A3E763CE}"/>
            </a:ext>
          </a:extLst>
        </xdr:cNvPr>
        <xdr:cNvPicPr>
          <a:picLocks noChangeAspect="1"/>
        </xdr:cNvPicPr>
      </xdr:nvPicPr>
      <xdr:blipFill>
        <a:blip xmlns:r="http://schemas.openxmlformats.org/officeDocument/2006/relationships" r:embed="rId1"/>
        <a:stretch>
          <a:fillRect/>
        </a:stretch>
      </xdr:blipFill>
      <xdr:spPr>
        <a:xfrm>
          <a:off x="18649949" y="180975"/>
          <a:ext cx="10308969" cy="6848475"/>
        </a:xfrm>
        <a:prstGeom prst="rect">
          <a:avLst/>
        </a:prstGeom>
      </xdr:spPr>
    </xdr:pic>
    <xdr:clientData/>
  </xdr:twoCellAnchor>
  <xdr:twoCellAnchor editAs="oneCell">
    <xdr:from>
      <xdr:col>5</xdr:col>
      <xdr:colOff>0</xdr:colOff>
      <xdr:row>1</xdr:row>
      <xdr:rowOff>180974</xdr:rowOff>
    </xdr:from>
    <xdr:to>
      <xdr:col>20</xdr:col>
      <xdr:colOff>266700</xdr:colOff>
      <xdr:row>57</xdr:row>
      <xdr:rowOff>135053</xdr:rowOff>
    </xdr:to>
    <xdr:pic>
      <xdr:nvPicPr>
        <xdr:cNvPr id="9" name="Imagen 8" descr="Interfaz de usuario gráfica, Texto, Aplicación&#10;&#10;Descripción generada automáticamente">
          <a:extLst>
            <a:ext uri="{FF2B5EF4-FFF2-40B4-BE49-F238E27FC236}">
              <a16:creationId xmlns:a16="http://schemas.microsoft.com/office/drawing/2014/main" id="{82911A71-11B1-64E4-C473-03F003AE38A9}"/>
            </a:ext>
          </a:extLst>
        </xdr:cNvPr>
        <xdr:cNvPicPr>
          <a:picLocks noChangeAspect="1"/>
        </xdr:cNvPicPr>
      </xdr:nvPicPr>
      <xdr:blipFill>
        <a:blip xmlns:r="http://schemas.openxmlformats.org/officeDocument/2006/relationships" r:embed="rId2"/>
        <a:stretch>
          <a:fillRect/>
        </a:stretch>
      </xdr:blipFill>
      <xdr:spPr>
        <a:xfrm>
          <a:off x="6467475" y="361949"/>
          <a:ext cx="11696700" cy="10088679"/>
        </a:xfrm>
        <a:prstGeom prst="rect">
          <a:avLst/>
        </a:prstGeom>
      </xdr:spPr>
    </xdr:pic>
    <xdr:clientData/>
  </xdr:twoCellAnchor>
  <xdr:twoCellAnchor editAs="oneCell">
    <xdr:from>
      <xdr:col>20</xdr:col>
      <xdr:colOff>301625</xdr:colOff>
      <xdr:row>39</xdr:row>
      <xdr:rowOff>0</xdr:rowOff>
    </xdr:from>
    <xdr:to>
      <xdr:col>35</xdr:col>
      <xdr:colOff>465269</xdr:colOff>
      <xdr:row>79</xdr:row>
      <xdr:rowOff>25400</xdr:rowOff>
    </xdr:to>
    <xdr:pic>
      <xdr:nvPicPr>
        <xdr:cNvPr id="2" name="Imagen 1" descr="Aplicación&#10;&#10;El contenido generado por IA puede ser incorrecto.">
          <a:extLst>
            <a:ext uri="{FF2B5EF4-FFF2-40B4-BE49-F238E27FC236}">
              <a16:creationId xmlns:a16="http://schemas.microsoft.com/office/drawing/2014/main" id="{AD3B75C3-74F5-75F2-39F0-7013DC1BEF8D}"/>
            </a:ext>
          </a:extLst>
        </xdr:cNvPr>
        <xdr:cNvPicPr>
          <a:picLocks noChangeAspect="1"/>
        </xdr:cNvPicPr>
      </xdr:nvPicPr>
      <xdr:blipFill>
        <a:blip xmlns:r="http://schemas.openxmlformats.org/officeDocument/2006/relationships" r:embed="rId3"/>
        <a:stretch>
          <a:fillRect/>
        </a:stretch>
      </xdr:blipFill>
      <xdr:spPr>
        <a:xfrm>
          <a:off x="18192750" y="6810375"/>
          <a:ext cx="11590469" cy="70135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495299</xdr:colOff>
      <xdr:row>0</xdr:row>
      <xdr:rowOff>95250</xdr:rowOff>
    </xdr:from>
    <xdr:to>
      <xdr:col>20</xdr:col>
      <xdr:colOff>353689</xdr:colOff>
      <xdr:row>41</xdr:row>
      <xdr:rowOff>38100</xdr:rowOff>
    </xdr:to>
    <xdr:pic>
      <xdr:nvPicPr>
        <xdr:cNvPr id="2" name="Imagen 1">
          <a:extLst>
            <a:ext uri="{FF2B5EF4-FFF2-40B4-BE49-F238E27FC236}">
              <a16:creationId xmlns:a16="http://schemas.microsoft.com/office/drawing/2014/main" id="{29682F34-89E1-D1A6-7A4B-C84C54558FE5}"/>
            </a:ext>
          </a:extLst>
        </xdr:cNvPr>
        <xdr:cNvPicPr>
          <a:picLocks noChangeAspect="1"/>
        </xdr:cNvPicPr>
      </xdr:nvPicPr>
      <xdr:blipFill>
        <a:blip xmlns:r="http://schemas.openxmlformats.org/officeDocument/2006/relationships" r:embed="rId1"/>
        <a:stretch>
          <a:fillRect/>
        </a:stretch>
      </xdr:blipFill>
      <xdr:spPr>
        <a:xfrm>
          <a:off x="5829299" y="95250"/>
          <a:ext cx="9761215" cy="7362825"/>
        </a:xfrm>
        <a:prstGeom prst="rect">
          <a:avLst/>
        </a:prstGeom>
      </xdr:spPr>
    </xdr:pic>
    <xdr:clientData/>
  </xdr:twoCellAnchor>
  <xdr:twoCellAnchor editAs="oneCell">
    <xdr:from>
      <xdr:col>7</xdr:col>
      <xdr:colOff>463549</xdr:colOff>
      <xdr:row>43</xdr:row>
      <xdr:rowOff>44450</xdr:rowOff>
    </xdr:from>
    <xdr:to>
      <xdr:col>17</xdr:col>
      <xdr:colOff>401460</xdr:colOff>
      <xdr:row>61</xdr:row>
      <xdr:rowOff>57150</xdr:rowOff>
    </xdr:to>
    <xdr:pic>
      <xdr:nvPicPr>
        <xdr:cNvPr id="3" name="Imagen 2" descr="Tabla&#10;&#10;Descripción generada automáticamente">
          <a:extLst>
            <a:ext uri="{FF2B5EF4-FFF2-40B4-BE49-F238E27FC236}">
              <a16:creationId xmlns:a16="http://schemas.microsoft.com/office/drawing/2014/main" id="{D2B6EB95-4FAA-AABC-CD3F-E698F88EE0AB}"/>
            </a:ext>
          </a:extLst>
        </xdr:cNvPr>
        <xdr:cNvPicPr>
          <a:picLocks noChangeAspect="1"/>
        </xdr:cNvPicPr>
      </xdr:nvPicPr>
      <xdr:blipFill>
        <a:blip xmlns:r="http://schemas.openxmlformats.org/officeDocument/2006/relationships" r:embed="rId2"/>
        <a:stretch>
          <a:fillRect/>
        </a:stretch>
      </xdr:blipFill>
      <xdr:spPr>
        <a:xfrm>
          <a:off x="5797549" y="7464425"/>
          <a:ext cx="7557911" cy="327025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101600</xdr:colOff>
      <xdr:row>15</xdr:row>
      <xdr:rowOff>152400</xdr:rowOff>
    </xdr:from>
    <xdr:to>
      <xdr:col>16</xdr:col>
      <xdr:colOff>687070</xdr:colOff>
      <xdr:row>35</xdr:row>
      <xdr:rowOff>142875</xdr:rowOff>
    </xdr:to>
    <xdr:pic>
      <xdr:nvPicPr>
        <xdr:cNvPr id="2" name="Imagen 1" descr="Texto&#10;&#10;El contenido generado por IA puede ser incorrecto.">
          <a:extLst>
            <a:ext uri="{FF2B5EF4-FFF2-40B4-BE49-F238E27FC236}">
              <a16:creationId xmlns:a16="http://schemas.microsoft.com/office/drawing/2014/main" id="{45FDE509-AF96-A186-DDF7-52D7F298526F}"/>
            </a:ext>
          </a:extLst>
        </xdr:cNvPr>
        <xdr:cNvPicPr>
          <a:picLocks noChangeAspect="1"/>
        </xdr:cNvPicPr>
      </xdr:nvPicPr>
      <xdr:blipFill>
        <a:blip xmlns:r="http://schemas.openxmlformats.org/officeDocument/2006/relationships" r:embed="rId1"/>
        <a:stretch>
          <a:fillRect/>
        </a:stretch>
      </xdr:blipFill>
      <xdr:spPr>
        <a:xfrm>
          <a:off x="7721600" y="1419225"/>
          <a:ext cx="5919470" cy="3609975"/>
        </a:xfrm>
        <a:prstGeom prst="rect">
          <a:avLst/>
        </a:prstGeom>
      </xdr:spPr>
    </xdr:pic>
    <xdr:clientData/>
  </xdr:twoCellAnchor>
  <xdr:twoCellAnchor editAs="oneCell">
    <xdr:from>
      <xdr:col>9</xdr:col>
      <xdr:colOff>114300</xdr:colOff>
      <xdr:row>1</xdr:row>
      <xdr:rowOff>142875</xdr:rowOff>
    </xdr:from>
    <xdr:to>
      <xdr:col>16</xdr:col>
      <xdr:colOff>438785</xdr:colOff>
      <xdr:row>7</xdr:row>
      <xdr:rowOff>63500</xdr:rowOff>
    </xdr:to>
    <xdr:pic>
      <xdr:nvPicPr>
        <xdr:cNvPr id="3" name="Imagen 2" descr="Imagen que contiene gente, cuarto, grande, sostener&#10;&#10;El contenido generado por IA puede ser incorrecto.">
          <a:extLst>
            <a:ext uri="{FF2B5EF4-FFF2-40B4-BE49-F238E27FC236}">
              <a16:creationId xmlns:a16="http://schemas.microsoft.com/office/drawing/2014/main" id="{BB5E5CB1-CEB4-B018-0614-2A6D4906745F}"/>
            </a:ext>
          </a:extLst>
        </xdr:cNvPr>
        <xdr:cNvPicPr>
          <a:picLocks noChangeAspect="1"/>
        </xdr:cNvPicPr>
      </xdr:nvPicPr>
      <xdr:blipFill>
        <a:blip xmlns:r="http://schemas.openxmlformats.org/officeDocument/2006/relationships" r:embed="rId2"/>
        <a:stretch>
          <a:fillRect/>
        </a:stretch>
      </xdr:blipFill>
      <xdr:spPr>
        <a:xfrm>
          <a:off x="7734300" y="323850"/>
          <a:ext cx="5658485" cy="1006475"/>
        </a:xfrm>
        <a:prstGeom prst="rect">
          <a:avLst/>
        </a:prstGeom>
      </xdr:spPr>
    </xdr:pic>
    <xdr:clientData/>
  </xdr:twoCellAnchor>
  <xdr:twoCellAnchor editAs="oneCell">
    <xdr:from>
      <xdr:col>10</xdr:col>
      <xdr:colOff>0</xdr:colOff>
      <xdr:row>64</xdr:row>
      <xdr:rowOff>0</xdr:rowOff>
    </xdr:from>
    <xdr:to>
      <xdr:col>17</xdr:col>
      <xdr:colOff>609600</xdr:colOff>
      <xdr:row>70</xdr:row>
      <xdr:rowOff>29210</xdr:rowOff>
    </xdr:to>
    <xdr:pic>
      <xdr:nvPicPr>
        <xdr:cNvPr id="6" name="Imagen 5" descr="Texto&#10;&#10;El contenido generado por IA puede ser incorrecto.">
          <a:extLst>
            <a:ext uri="{FF2B5EF4-FFF2-40B4-BE49-F238E27FC236}">
              <a16:creationId xmlns:a16="http://schemas.microsoft.com/office/drawing/2014/main" id="{55B43B60-48EF-2337-6D01-AB4FAAFCBD9D}"/>
            </a:ext>
          </a:extLst>
        </xdr:cNvPr>
        <xdr:cNvPicPr>
          <a:picLocks noChangeAspect="1"/>
        </xdr:cNvPicPr>
      </xdr:nvPicPr>
      <xdr:blipFill>
        <a:blip xmlns:r="http://schemas.openxmlformats.org/officeDocument/2006/relationships" r:embed="rId3"/>
        <a:stretch>
          <a:fillRect/>
        </a:stretch>
      </xdr:blipFill>
      <xdr:spPr>
        <a:xfrm>
          <a:off x="8382000" y="10134600"/>
          <a:ext cx="5943600" cy="1115060"/>
        </a:xfrm>
        <a:prstGeom prst="rect">
          <a:avLst/>
        </a:prstGeom>
      </xdr:spPr>
    </xdr:pic>
    <xdr:clientData/>
  </xdr:twoCellAnchor>
  <xdr:twoCellAnchor editAs="oneCell">
    <xdr:from>
      <xdr:col>9</xdr:col>
      <xdr:colOff>657225</xdr:colOff>
      <xdr:row>73</xdr:row>
      <xdr:rowOff>152400</xdr:rowOff>
    </xdr:from>
    <xdr:to>
      <xdr:col>17</xdr:col>
      <xdr:colOff>504825</xdr:colOff>
      <xdr:row>105</xdr:row>
      <xdr:rowOff>104140</xdr:rowOff>
    </xdr:to>
    <xdr:pic>
      <xdr:nvPicPr>
        <xdr:cNvPr id="7" name="Imagen 6" descr="Interfaz de usuario gráfica, Texto, Aplicación, Correo electrónico&#10;&#10;El contenido generado por IA puede ser incorrecto.">
          <a:extLst>
            <a:ext uri="{FF2B5EF4-FFF2-40B4-BE49-F238E27FC236}">
              <a16:creationId xmlns:a16="http://schemas.microsoft.com/office/drawing/2014/main" id="{B570F5B7-7028-8758-0F64-969F2D5E05ED}"/>
            </a:ext>
          </a:extLst>
        </xdr:cNvPr>
        <xdr:cNvPicPr>
          <a:picLocks noChangeAspect="1"/>
        </xdr:cNvPicPr>
      </xdr:nvPicPr>
      <xdr:blipFill>
        <a:blip xmlns:r="http://schemas.openxmlformats.org/officeDocument/2006/relationships" r:embed="rId4"/>
        <a:stretch>
          <a:fillRect/>
        </a:stretch>
      </xdr:blipFill>
      <xdr:spPr>
        <a:xfrm>
          <a:off x="8277225" y="11915775"/>
          <a:ext cx="5943600" cy="5742940"/>
        </a:xfrm>
        <a:prstGeom prst="rect">
          <a:avLst/>
        </a:prstGeom>
      </xdr:spPr>
    </xdr:pic>
    <xdr:clientData/>
  </xdr:twoCellAnchor>
  <xdr:twoCellAnchor editAs="oneCell">
    <xdr:from>
      <xdr:col>10</xdr:col>
      <xdr:colOff>0</xdr:colOff>
      <xdr:row>106</xdr:row>
      <xdr:rowOff>0</xdr:rowOff>
    </xdr:from>
    <xdr:to>
      <xdr:col>17</xdr:col>
      <xdr:colOff>609600</xdr:colOff>
      <xdr:row>124</xdr:row>
      <xdr:rowOff>131445</xdr:rowOff>
    </xdr:to>
    <xdr:pic>
      <xdr:nvPicPr>
        <xdr:cNvPr id="8" name="Imagen 7" descr="Texto&#10;&#10;El contenido generado por IA puede ser incorrecto.">
          <a:extLst>
            <a:ext uri="{FF2B5EF4-FFF2-40B4-BE49-F238E27FC236}">
              <a16:creationId xmlns:a16="http://schemas.microsoft.com/office/drawing/2014/main" id="{10B4BAD7-3C6E-FF00-9BEB-3E76584A2F31}"/>
            </a:ext>
          </a:extLst>
        </xdr:cNvPr>
        <xdr:cNvPicPr>
          <a:picLocks noChangeAspect="1"/>
        </xdr:cNvPicPr>
      </xdr:nvPicPr>
      <xdr:blipFill>
        <a:blip xmlns:r="http://schemas.openxmlformats.org/officeDocument/2006/relationships" r:embed="rId5"/>
        <a:stretch>
          <a:fillRect/>
        </a:stretch>
      </xdr:blipFill>
      <xdr:spPr>
        <a:xfrm>
          <a:off x="8382000" y="17735550"/>
          <a:ext cx="5943600" cy="3388995"/>
        </a:xfrm>
        <a:prstGeom prst="rect">
          <a:avLst/>
        </a:prstGeom>
      </xdr:spPr>
    </xdr:pic>
    <xdr:clientData/>
  </xdr:twoCellAnchor>
  <xdr:twoCellAnchor editAs="oneCell">
    <xdr:from>
      <xdr:col>10</xdr:col>
      <xdr:colOff>0</xdr:colOff>
      <xdr:row>126</xdr:row>
      <xdr:rowOff>0</xdr:rowOff>
    </xdr:from>
    <xdr:to>
      <xdr:col>17</xdr:col>
      <xdr:colOff>609600</xdr:colOff>
      <xdr:row>132</xdr:row>
      <xdr:rowOff>76835</xdr:rowOff>
    </xdr:to>
    <xdr:pic>
      <xdr:nvPicPr>
        <xdr:cNvPr id="9" name="Imagen 8" descr="Texto&#10;&#10;El contenido generado por IA puede ser incorrecto.">
          <a:extLst>
            <a:ext uri="{FF2B5EF4-FFF2-40B4-BE49-F238E27FC236}">
              <a16:creationId xmlns:a16="http://schemas.microsoft.com/office/drawing/2014/main" id="{999F304C-A1B7-6206-B436-0CB0ACD41102}"/>
            </a:ext>
          </a:extLst>
        </xdr:cNvPr>
        <xdr:cNvPicPr>
          <a:picLocks noChangeAspect="1"/>
        </xdr:cNvPicPr>
      </xdr:nvPicPr>
      <xdr:blipFill>
        <a:blip xmlns:r="http://schemas.openxmlformats.org/officeDocument/2006/relationships" r:embed="rId6"/>
        <a:stretch>
          <a:fillRect/>
        </a:stretch>
      </xdr:blipFill>
      <xdr:spPr>
        <a:xfrm>
          <a:off x="8382000" y="21355050"/>
          <a:ext cx="5943600" cy="1162685"/>
        </a:xfrm>
        <a:prstGeom prst="rect">
          <a:avLst/>
        </a:prstGeom>
      </xdr:spPr>
    </xdr:pic>
    <xdr:clientData/>
  </xdr:twoCellAnchor>
  <xdr:twoCellAnchor editAs="oneCell">
    <xdr:from>
      <xdr:col>10</xdr:col>
      <xdr:colOff>0</xdr:colOff>
      <xdr:row>37</xdr:row>
      <xdr:rowOff>0</xdr:rowOff>
    </xdr:from>
    <xdr:to>
      <xdr:col>17</xdr:col>
      <xdr:colOff>524510</xdr:colOff>
      <xdr:row>72</xdr:row>
      <xdr:rowOff>97155</xdr:rowOff>
    </xdr:to>
    <xdr:pic>
      <xdr:nvPicPr>
        <xdr:cNvPr id="10" name="Imagen 9" descr="Tabla&#10;&#10;El contenido generado por IA puede ser incorrecto.">
          <a:extLst>
            <a:ext uri="{FF2B5EF4-FFF2-40B4-BE49-F238E27FC236}">
              <a16:creationId xmlns:a16="http://schemas.microsoft.com/office/drawing/2014/main" id="{DFA50066-B565-3827-B6D7-C7E7EA39CB8B}"/>
            </a:ext>
          </a:extLst>
        </xdr:cNvPr>
        <xdr:cNvPicPr>
          <a:picLocks noChangeAspect="1"/>
        </xdr:cNvPicPr>
      </xdr:nvPicPr>
      <xdr:blipFill>
        <a:blip xmlns:r="http://schemas.openxmlformats.org/officeDocument/2006/relationships" r:embed="rId7"/>
        <a:stretch>
          <a:fillRect/>
        </a:stretch>
      </xdr:blipFill>
      <xdr:spPr>
        <a:xfrm>
          <a:off x="8382000" y="5248275"/>
          <a:ext cx="5852160" cy="6431280"/>
        </a:xfrm>
        <a:prstGeom prst="rect">
          <a:avLst/>
        </a:prstGeom>
      </xdr:spPr>
    </xdr:pic>
    <xdr:clientData/>
  </xdr:twoCellAnchor>
  <xdr:twoCellAnchor editAs="oneCell">
    <xdr:from>
      <xdr:col>10</xdr:col>
      <xdr:colOff>0</xdr:colOff>
      <xdr:row>10</xdr:row>
      <xdr:rowOff>0</xdr:rowOff>
    </xdr:from>
    <xdr:to>
      <xdr:col>17</xdr:col>
      <xdr:colOff>609600</xdr:colOff>
      <xdr:row>14</xdr:row>
      <xdr:rowOff>22225</xdr:rowOff>
    </xdr:to>
    <xdr:pic>
      <xdr:nvPicPr>
        <xdr:cNvPr id="4" name="Imagen 3" descr="Texto, Word&#10;&#10;El contenido generado por IA puede ser incorrecto.">
          <a:extLst>
            <a:ext uri="{FF2B5EF4-FFF2-40B4-BE49-F238E27FC236}">
              <a16:creationId xmlns:a16="http://schemas.microsoft.com/office/drawing/2014/main" id="{10D7856B-78CF-835B-5B15-4A1E48E5ACA1}"/>
            </a:ext>
          </a:extLst>
        </xdr:cNvPr>
        <xdr:cNvPicPr>
          <a:picLocks noChangeAspect="1"/>
        </xdr:cNvPicPr>
      </xdr:nvPicPr>
      <xdr:blipFill>
        <a:blip xmlns:r="http://schemas.openxmlformats.org/officeDocument/2006/relationships" r:embed="rId8"/>
        <a:stretch>
          <a:fillRect/>
        </a:stretch>
      </xdr:blipFill>
      <xdr:spPr>
        <a:xfrm>
          <a:off x="10277475" y="1809750"/>
          <a:ext cx="5943600" cy="74612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0</xdr:colOff>
      <xdr:row>1</xdr:row>
      <xdr:rowOff>0</xdr:rowOff>
    </xdr:from>
    <xdr:to>
      <xdr:col>16</xdr:col>
      <xdr:colOff>609600</xdr:colOff>
      <xdr:row>10</xdr:row>
      <xdr:rowOff>95250</xdr:rowOff>
    </xdr:to>
    <xdr:pic>
      <xdr:nvPicPr>
        <xdr:cNvPr id="2" name="Imagen 1" descr="Tabla&#10;&#10;El contenido generado por IA puede ser incorrecto.">
          <a:extLst>
            <a:ext uri="{FF2B5EF4-FFF2-40B4-BE49-F238E27FC236}">
              <a16:creationId xmlns:a16="http://schemas.microsoft.com/office/drawing/2014/main" id="{68D95954-89B1-9D45-5BA1-C4C7082E01CB}"/>
            </a:ext>
          </a:extLst>
        </xdr:cNvPr>
        <xdr:cNvPicPr>
          <a:picLocks noChangeAspect="1"/>
        </xdr:cNvPicPr>
      </xdr:nvPicPr>
      <xdr:blipFill>
        <a:blip xmlns:r="http://schemas.openxmlformats.org/officeDocument/2006/relationships" r:embed="rId1"/>
        <a:stretch>
          <a:fillRect/>
        </a:stretch>
      </xdr:blipFill>
      <xdr:spPr>
        <a:xfrm>
          <a:off x="6858000" y="180975"/>
          <a:ext cx="5943600" cy="1724025"/>
        </a:xfrm>
        <a:prstGeom prst="rect">
          <a:avLst/>
        </a:prstGeom>
      </xdr:spPr>
    </xdr:pic>
    <xdr:clientData/>
  </xdr:twoCellAnchor>
  <xdr:twoCellAnchor editAs="oneCell">
    <xdr:from>
      <xdr:col>9</xdr:col>
      <xdr:colOff>180975</xdr:colOff>
      <xdr:row>13</xdr:row>
      <xdr:rowOff>66675</xdr:rowOff>
    </xdr:from>
    <xdr:to>
      <xdr:col>17</xdr:col>
      <xdr:colOff>25915</xdr:colOff>
      <xdr:row>39</xdr:row>
      <xdr:rowOff>95153</xdr:rowOff>
    </xdr:to>
    <xdr:pic>
      <xdr:nvPicPr>
        <xdr:cNvPr id="6" name="Imagen 5">
          <a:extLst>
            <a:ext uri="{FF2B5EF4-FFF2-40B4-BE49-F238E27FC236}">
              <a16:creationId xmlns:a16="http://schemas.microsoft.com/office/drawing/2014/main" id="{09325E3D-4B4E-7440-ECE3-25F20C6E3A92}"/>
            </a:ext>
          </a:extLst>
        </xdr:cNvPr>
        <xdr:cNvPicPr>
          <a:picLocks noChangeAspect="1"/>
        </xdr:cNvPicPr>
      </xdr:nvPicPr>
      <xdr:blipFill>
        <a:blip xmlns:r="http://schemas.openxmlformats.org/officeDocument/2006/relationships" r:embed="rId2"/>
        <a:stretch>
          <a:fillRect/>
        </a:stretch>
      </xdr:blipFill>
      <xdr:spPr>
        <a:xfrm>
          <a:off x="7038975" y="2057400"/>
          <a:ext cx="5944115" cy="4733828"/>
        </a:xfrm>
        <a:prstGeom prst="rect">
          <a:avLst/>
        </a:prstGeom>
      </xdr:spPr>
    </xdr:pic>
    <xdr:clientData/>
  </xdr:twoCellAnchor>
  <xdr:twoCellAnchor editAs="oneCell">
    <xdr:from>
      <xdr:col>17</xdr:col>
      <xdr:colOff>0</xdr:colOff>
      <xdr:row>3</xdr:row>
      <xdr:rowOff>0</xdr:rowOff>
    </xdr:from>
    <xdr:to>
      <xdr:col>22</xdr:col>
      <xdr:colOff>742950</xdr:colOff>
      <xdr:row>36</xdr:row>
      <xdr:rowOff>34925</xdr:rowOff>
    </xdr:to>
    <xdr:pic>
      <xdr:nvPicPr>
        <xdr:cNvPr id="7" name="Imagen 6" descr="Tabla&#10;&#10;El contenido generado por IA puede ser incorrecto.">
          <a:extLst>
            <a:ext uri="{FF2B5EF4-FFF2-40B4-BE49-F238E27FC236}">
              <a16:creationId xmlns:a16="http://schemas.microsoft.com/office/drawing/2014/main" id="{859D1947-2849-B19E-1631-DAC160340E2D}"/>
            </a:ext>
          </a:extLst>
        </xdr:cNvPr>
        <xdr:cNvPicPr>
          <a:picLocks noChangeAspect="1"/>
        </xdr:cNvPicPr>
      </xdr:nvPicPr>
      <xdr:blipFill>
        <a:blip xmlns:r="http://schemas.openxmlformats.org/officeDocument/2006/relationships" r:embed="rId3"/>
        <a:stretch>
          <a:fillRect/>
        </a:stretch>
      </xdr:blipFill>
      <xdr:spPr>
        <a:xfrm>
          <a:off x="12954000" y="542925"/>
          <a:ext cx="4552950" cy="60071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42</xdr:row>
          <xdr:rowOff>0</xdr:rowOff>
        </xdr:from>
        <xdr:to>
          <xdr:col>8</xdr:col>
          <xdr:colOff>3019713</xdr:colOff>
          <xdr:row>179</xdr:row>
          <xdr:rowOff>44450</xdr:rowOff>
        </xdr:to>
        <xdr:pic>
          <xdr:nvPicPr>
            <xdr:cNvPr id="4" name="Imagen 3">
              <a:extLst>
                <a:ext uri="{FF2B5EF4-FFF2-40B4-BE49-F238E27FC236}">
                  <a16:creationId xmlns:a16="http://schemas.microsoft.com/office/drawing/2014/main" id="{00ED602F-0DBD-2D32-5DB5-CBB24D973F02}"/>
                </a:ext>
              </a:extLst>
            </xdr:cNvPr>
            <xdr:cNvPicPr>
              <a:picLocks noChangeAspect="1" noChangeArrowheads="1"/>
              <a:extLst>
                <a:ext uri="{84589F7E-364E-4C9E-8A38-B11213B215E9}">
                  <a14:cameraTool cellRange="$A$3:$I$37" spid="_x0000_s18566"/>
                </a:ext>
              </a:extLst>
            </xdr:cNvPicPr>
          </xdr:nvPicPr>
          <xdr:blipFill>
            <a:blip xmlns:r="http://schemas.openxmlformats.org/officeDocument/2006/relationships" r:embed="rId1"/>
            <a:srcRect/>
            <a:stretch>
              <a:fillRect/>
            </a:stretch>
          </xdr:blipFill>
          <xdr:spPr bwMode="auto">
            <a:xfrm>
              <a:off x="0" y="26263600"/>
              <a:ext cx="21101050" cy="252793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10.xml><?xml version="1.0" encoding="utf-8"?>
<xdr:wsDr xmlns:xdr="http://schemas.openxmlformats.org/drawingml/2006/spreadsheetDrawing" xmlns:a="http://schemas.openxmlformats.org/drawingml/2006/main">
  <xdr:twoCellAnchor editAs="oneCell">
    <xdr:from>
      <xdr:col>0</xdr:col>
      <xdr:colOff>0</xdr:colOff>
      <xdr:row>73</xdr:row>
      <xdr:rowOff>0</xdr:rowOff>
    </xdr:from>
    <xdr:to>
      <xdr:col>9</xdr:col>
      <xdr:colOff>9525</xdr:colOff>
      <xdr:row>241</xdr:row>
      <xdr:rowOff>57149</xdr:rowOff>
    </xdr:to>
    <xdr:pic>
      <xdr:nvPicPr>
        <xdr:cNvPr id="9" name="Imagen 8">
          <a:extLst>
            <a:ext uri="{FF2B5EF4-FFF2-40B4-BE49-F238E27FC236}">
              <a16:creationId xmlns:a16="http://schemas.microsoft.com/office/drawing/2014/main" id="{30958D76-1610-386E-0F3F-B6C8650DFE4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2177182"/>
          <a:ext cx="21099895" cy="291516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51"/>
  <sheetViews>
    <sheetView topLeftCell="A22" workbookViewId="0">
      <selection activeCell="B15" sqref="B15"/>
    </sheetView>
  </sheetViews>
  <sheetFormatPr baseColWidth="10" defaultColWidth="8.77734375" defaultRowHeight="14.4" x14ac:dyDescent="0.3"/>
  <cols>
    <col min="1" max="1" width="28" customWidth="1"/>
    <col min="5" max="5" width="13.44140625" bestFit="1" customWidth="1"/>
  </cols>
  <sheetData>
    <row r="1" spans="1:16" x14ac:dyDescent="0.3">
      <c r="A1" s="2" t="s">
        <v>0</v>
      </c>
      <c r="B1" s="2"/>
      <c r="C1" s="2"/>
      <c r="D1" s="2"/>
    </row>
    <row r="2" spans="1:16" x14ac:dyDescent="0.3">
      <c r="A2" t="s">
        <v>1</v>
      </c>
      <c r="B2" t="s">
        <v>2</v>
      </c>
      <c r="C2" t="s">
        <v>3</v>
      </c>
      <c r="D2" t="s">
        <v>4</v>
      </c>
    </row>
    <row r="3" spans="1:16" x14ac:dyDescent="0.3">
      <c r="A3">
        <f>5+3.6+1.7</f>
        <v>10.299999999999999</v>
      </c>
      <c r="B3">
        <v>0.64300000000000002</v>
      </c>
      <c r="C3">
        <v>1.7</v>
      </c>
      <c r="D3">
        <f>A3*B3*C3</f>
        <v>11.258929999999999</v>
      </c>
    </row>
    <row r="4" spans="1:16" x14ac:dyDescent="0.3">
      <c r="A4" t="s">
        <v>5</v>
      </c>
      <c r="D4" t="s">
        <v>4</v>
      </c>
    </row>
    <row r="5" spans="1:16" x14ac:dyDescent="0.3">
      <c r="A5">
        <f>4.3*4</f>
        <v>17.2</v>
      </c>
      <c r="B5">
        <v>1.62</v>
      </c>
      <c r="C5">
        <v>0.42499999999999999</v>
      </c>
      <c r="D5">
        <f>A5*B5*C5</f>
        <v>11.8422</v>
      </c>
    </row>
    <row r="6" spans="1:16" x14ac:dyDescent="0.3">
      <c r="A6">
        <v>4.3</v>
      </c>
      <c r="B6">
        <v>0.81</v>
      </c>
      <c r="C6">
        <v>0.42499999999999999</v>
      </c>
      <c r="D6">
        <f>A6*B6*C6</f>
        <v>1.480275</v>
      </c>
    </row>
    <row r="7" spans="1:16" x14ac:dyDescent="0.3">
      <c r="A7">
        <f>SUM(A5:A6)</f>
        <v>21.5</v>
      </c>
      <c r="B7">
        <f t="shared" ref="B7:D7" si="0">SUM(B5:B6)</f>
        <v>2.4300000000000002</v>
      </c>
      <c r="C7">
        <f t="shared" si="0"/>
        <v>0.85</v>
      </c>
      <c r="D7">
        <f t="shared" si="0"/>
        <v>13.322475000000001</v>
      </c>
    </row>
    <row r="11" spans="1:16" x14ac:dyDescent="0.3">
      <c r="A11" s="2" t="s">
        <v>6</v>
      </c>
      <c r="B11" s="2"/>
      <c r="C11" s="2"/>
      <c r="D11" s="2"/>
      <c r="E11" s="2"/>
      <c r="F11" s="2"/>
      <c r="G11" s="2"/>
      <c r="H11" s="2"/>
      <c r="I11" s="2"/>
      <c r="J11" s="2"/>
      <c r="K11" s="2"/>
      <c r="L11" s="2"/>
      <c r="M11" s="3"/>
    </row>
    <row r="13" spans="1:16" x14ac:dyDescent="0.3">
      <c r="A13" t="s">
        <v>19</v>
      </c>
      <c r="B13" t="s">
        <v>8</v>
      </c>
    </row>
    <row r="14" spans="1:16" x14ac:dyDescent="0.3">
      <c r="A14" t="s">
        <v>20</v>
      </c>
      <c r="B14" s="1" t="s">
        <v>21</v>
      </c>
    </row>
    <row r="15" spans="1:16" x14ac:dyDescent="0.3">
      <c r="B15">
        <v>0.1</v>
      </c>
      <c r="P15">
        <f>6.18/317</f>
        <v>1.9495268138801262E-2</v>
      </c>
    </row>
    <row r="16" spans="1:16" x14ac:dyDescent="0.3">
      <c r="A16" t="s">
        <v>9</v>
      </c>
      <c r="B16" t="s">
        <v>7</v>
      </c>
    </row>
    <row r="17" spans="1:2" x14ac:dyDescent="0.3">
      <c r="A17" t="s">
        <v>10</v>
      </c>
    </row>
    <row r="19" spans="1:2" x14ac:dyDescent="0.3">
      <c r="A19" t="s">
        <v>12</v>
      </c>
    </row>
    <row r="20" spans="1:2" x14ac:dyDescent="0.3">
      <c r="A20">
        <f>(4/0.0012)/0.8</f>
        <v>4166.666666666667</v>
      </c>
    </row>
    <row r="22" spans="1:2" x14ac:dyDescent="0.3">
      <c r="A22" t="s">
        <v>11</v>
      </c>
    </row>
    <row r="23" spans="1:2" x14ac:dyDescent="0.3">
      <c r="A23" t="s">
        <v>13</v>
      </c>
    </row>
    <row r="24" spans="1:2" x14ac:dyDescent="0.3">
      <c r="A24">
        <f>15/120</f>
        <v>0.125</v>
      </c>
      <c r="B24" t="s">
        <v>18</v>
      </c>
    </row>
    <row r="26" spans="1:2" x14ac:dyDescent="0.3">
      <c r="A26" t="s">
        <v>15</v>
      </c>
      <c r="B26" t="s">
        <v>16</v>
      </c>
    </row>
    <row r="27" spans="1:2" x14ac:dyDescent="0.3">
      <c r="A27" t="s">
        <v>14</v>
      </c>
    </row>
    <row r="29" spans="1:2" x14ac:dyDescent="0.3">
      <c r="A29" t="s">
        <v>17</v>
      </c>
    </row>
    <row r="30" spans="1:2" x14ac:dyDescent="0.3">
      <c r="A30">
        <f>15000*0.001</f>
        <v>15</v>
      </c>
    </row>
    <row r="33" spans="1:15" x14ac:dyDescent="0.3">
      <c r="A33" t="s">
        <v>22</v>
      </c>
    </row>
    <row r="34" spans="1:15" x14ac:dyDescent="0.3">
      <c r="A34" t="s">
        <v>23</v>
      </c>
    </row>
    <row r="36" spans="1:15" x14ac:dyDescent="0.3">
      <c r="A36" t="s">
        <v>24</v>
      </c>
    </row>
    <row r="38" spans="1:15" x14ac:dyDescent="0.3">
      <c r="A38" s="2" t="s">
        <v>25</v>
      </c>
      <c r="B38" s="3"/>
    </row>
    <row r="40" spans="1:15" x14ac:dyDescent="0.3">
      <c r="B40" t="s">
        <v>26</v>
      </c>
    </row>
    <row r="41" spans="1:15" x14ac:dyDescent="0.3">
      <c r="A41" t="s">
        <v>33</v>
      </c>
      <c r="B41">
        <v>12</v>
      </c>
    </row>
    <row r="42" spans="1:15" x14ac:dyDescent="0.3">
      <c r="A42" t="s">
        <v>27</v>
      </c>
      <c r="B42">
        <v>13</v>
      </c>
    </row>
    <row r="43" spans="1:15" x14ac:dyDescent="0.3">
      <c r="A43" t="s">
        <v>28</v>
      </c>
      <c r="B43">
        <v>2</v>
      </c>
    </row>
    <row r="45" spans="1:15" x14ac:dyDescent="0.3">
      <c r="A45" t="s">
        <v>29</v>
      </c>
      <c r="B45" t="s">
        <v>30</v>
      </c>
    </row>
    <row r="46" spans="1:15" x14ac:dyDescent="0.3">
      <c r="B46" t="s">
        <v>31</v>
      </c>
    </row>
    <row r="47" spans="1:15" ht="63.6" customHeight="1" x14ac:dyDescent="0.3">
      <c r="B47" s="32" t="s">
        <v>32</v>
      </c>
      <c r="C47" s="32"/>
      <c r="D47" s="32"/>
      <c r="E47" s="32"/>
      <c r="F47" s="32"/>
      <c r="G47" s="32"/>
      <c r="H47" s="32"/>
      <c r="I47" s="32"/>
      <c r="J47" s="32"/>
      <c r="K47" s="32"/>
      <c r="L47" s="32"/>
      <c r="M47" s="32"/>
      <c r="N47" s="32"/>
      <c r="O47" s="32"/>
    </row>
    <row r="48" spans="1:15" x14ac:dyDescent="0.3">
      <c r="B48" s="32"/>
      <c r="C48" s="32"/>
      <c r="D48" s="32"/>
      <c r="E48" s="32"/>
      <c r="F48" s="32"/>
      <c r="G48" s="32"/>
      <c r="H48" s="32"/>
      <c r="I48" s="32"/>
      <c r="J48" s="32"/>
      <c r="K48" s="32"/>
      <c r="L48" s="32"/>
      <c r="M48" s="32"/>
      <c r="N48" s="32"/>
      <c r="O48" s="32"/>
    </row>
    <row r="49" spans="2:15" x14ac:dyDescent="0.3">
      <c r="B49" s="32"/>
      <c r="C49" s="32"/>
      <c r="D49" s="32"/>
      <c r="E49" s="32"/>
      <c r="F49" s="32"/>
      <c r="G49" s="32"/>
      <c r="H49" s="32"/>
      <c r="I49" s="32"/>
      <c r="J49" s="32"/>
      <c r="K49" s="32"/>
      <c r="L49" s="32"/>
      <c r="M49" s="32"/>
      <c r="N49" s="32"/>
      <c r="O49" s="32"/>
    </row>
    <row r="50" spans="2:15" x14ac:dyDescent="0.3">
      <c r="B50" s="32"/>
      <c r="C50" s="32"/>
      <c r="D50" s="32"/>
      <c r="E50" s="32"/>
      <c r="F50" s="32"/>
      <c r="G50" s="32"/>
      <c r="H50" s="32"/>
      <c r="I50" s="32"/>
      <c r="J50" s="32"/>
      <c r="K50" s="32"/>
      <c r="L50" s="32"/>
      <c r="M50" s="32"/>
      <c r="N50" s="32"/>
      <c r="O50" s="32"/>
    </row>
    <row r="51" spans="2:15" x14ac:dyDescent="0.3">
      <c r="B51" s="32"/>
      <c r="C51" s="32"/>
      <c r="D51" s="32"/>
      <c r="E51" s="32"/>
      <c r="F51" s="32"/>
      <c r="G51" s="32"/>
      <c r="H51" s="32"/>
      <c r="I51" s="32"/>
      <c r="J51" s="32"/>
      <c r="K51" s="32"/>
      <c r="L51" s="32"/>
      <c r="M51" s="32"/>
      <c r="N51" s="32"/>
      <c r="O51" s="32"/>
    </row>
  </sheetData>
  <mergeCells count="1">
    <mergeCell ref="B47:O51"/>
  </mergeCells>
  <pageMargins left="0.7" right="0.7" top="0.75" bottom="0.75" header="0.3" footer="0.3"/>
  <pageSetup orientation="portrait" r:id="rId1"/>
  <headerFooter>
    <oddFooter>&amp;R_x000D_&amp;1#&amp;"Calibri"&amp;8&amp;K000000 Cisco 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6F620-319A-4B21-9474-F640AABD4D58}">
  <dimension ref="B6:H9"/>
  <sheetViews>
    <sheetView workbookViewId="0">
      <selection activeCell="L23" sqref="L23"/>
    </sheetView>
  </sheetViews>
  <sheetFormatPr baseColWidth="10" defaultRowHeight="14.4" x14ac:dyDescent="0.3"/>
  <cols>
    <col min="2" max="2" width="18.21875" customWidth="1"/>
    <col min="3" max="3" width="18.77734375" customWidth="1"/>
    <col min="4" max="4" width="21.77734375" customWidth="1"/>
  </cols>
  <sheetData>
    <row r="6" spans="2:8" ht="31.5" customHeight="1" x14ac:dyDescent="0.3">
      <c r="B6" s="34" t="s">
        <v>34</v>
      </c>
      <c r="C6" s="34" t="s">
        <v>35</v>
      </c>
      <c r="D6" s="34" t="s">
        <v>36</v>
      </c>
      <c r="E6" s="33" t="s">
        <v>37</v>
      </c>
      <c r="F6" s="33"/>
      <c r="G6" s="33"/>
      <c r="H6" s="33"/>
    </row>
    <row r="7" spans="2:8" ht="19.8" x14ac:dyDescent="0.3">
      <c r="B7" s="35"/>
      <c r="C7" s="35"/>
      <c r="D7" s="35"/>
      <c r="E7" s="5" t="s">
        <v>38</v>
      </c>
      <c r="F7" s="5" t="s">
        <v>39</v>
      </c>
      <c r="G7" s="5" t="s">
        <v>40</v>
      </c>
      <c r="H7" s="5" t="s">
        <v>41</v>
      </c>
    </row>
    <row r="8" spans="2:8" ht="15.6" x14ac:dyDescent="0.3">
      <c r="B8" s="7" t="s">
        <v>43</v>
      </c>
      <c r="C8" s="4" t="s">
        <v>44</v>
      </c>
      <c r="D8" s="4">
        <v>2740</v>
      </c>
      <c r="E8" s="4" t="s">
        <v>46</v>
      </c>
      <c r="F8" s="4" t="s">
        <v>47</v>
      </c>
      <c r="G8" s="4">
        <v>4390</v>
      </c>
      <c r="H8" s="4">
        <v>4680</v>
      </c>
    </row>
    <row r="9" spans="2:8" ht="15.6" x14ac:dyDescent="0.3">
      <c r="B9" s="8" t="s">
        <v>42</v>
      </c>
      <c r="C9" s="6" t="s">
        <v>45</v>
      </c>
      <c r="D9" s="6">
        <v>1670</v>
      </c>
      <c r="E9" s="6">
        <v>1460</v>
      </c>
      <c r="F9" s="6" t="s">
        <v>48</v>
      </c>
      <c r="G9" s="6">
        <v>38300</v>
      </c>
      <c r="H9" s="6">
        <v>18300</v>
      </c>
    </row>
  </sheetData>
  <mergeCells count="4">
    <mergeCell ref="E6:H6"/>
    <mergeCell ref="B6:B7"/>
    <mergeCell ref="C6:C7"/>
    <mergeCell ref="D6:D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119C4-2AA4-4449-81F5-84ABDCC65489}">
  <dimension ref="A1:H94"/>
  <sheetViews>
    <sheetView topLeftCell="B91" workbookViewId="0">
      <selection activeCell="H162" sqref="H162"/>
    </sheetView>
  </sheetViews>
  <sheetFormatPr baseColWidth="10" defaultRowHeight="14.4" x14ac:dyDescent="0.3"/>
  <cols>
    <col min="1" max="1" width="61.21875" bestFit="1" customWidth="1"/>
  </cols>
  <sheetData>
    <row r="1" spans="1:4" x14ac:dyDescent="0.3">
      <c r="A1" s="10" t="s">
        <v>56</v>
      </c>
      <c r="B1" s="2"/>
      <c r="C1" s="2"/>
      <c r="D1" s="2"/>
    </row>
    <row r="2" spans="1:4" x14ac:dyDescent="0.3">
      <c r="A2" s="11" t="s">
        <v>49</v>
      </c>
    </row>
    <row r="3" spans="1:4" x14ac:dyDescent="0.3">
      <c r="B3" t="s">
        <v>50</v>
      </c>
      <c r="C3" t="s">
        <v>51</v>
      </c>
      <c r="D3" t="s">
        <v>49</v>
      </c>
    </row>
    <row r="4" spans="1:4" x14ac:dyDescent="0.3">
      <c r="B4">
        <v>7.1</v>
      </c>
      <c r="C4">
        <v>500</v>
      </c>
      <c r="D4">
        <f>365*B4*C4/1000</f>
        <v>1295.75</v>
      </c>
    </row>
    <row r="5" spans="1:4" x14ac:dyDescent="0.3">
      <c r="A5" s="11" t="s">
        <v>52</v>
      </c>
    </row>
    <row r="6" spans="1:4" x14ac:dyDescent="0.3">
      <c r="A6" t="s">
        <v>53</v>
      </c>
      <c r="B6">
        <v>1</v>
      </c>
    </row>
    <row r="7" spans="1:4" x14ac:dyDescent="0.3">
      <c r="A7" t="s">
        <v>49</v>
      </c>
      <c r="B7">
        <f>D4</f>
        <v>1295.75</v>
      </c>
    </row>
    <row r="8" spans="1:4" x14ac:dyDescent="0.3">
      <c r="A8" t="s">
        <v>54</v>
      </c>
      <c r="B8">
        <v>1</v>
      </c>
    </row>
    <row r="9" spans="1:4" x14ac:dyDescent="0.3">
      <c r="A9" t="s">
        <v>55</v>
      </c>
    </row>
    <row r="10" spans="1:4" x14ac:dyDescent="0.3">
      <c r="A10" s="9" t="s">
        <v>68</v>
      </c>
    </row>
    <row r="11" spans="1:4" x14ac:dyDescent="0.3">
      <c r="A11" t="s">
        <v>72</v>
      </c>
      <c r="B11">
        <v>1.3</v>
      </c>
      <c r="C11">
        <f>(B6*$B$7*$B$8*B11)/1000</f>
        <v>1.6844750000000002</v>
      </c>
    </row>
    <row r="12" spans="1:4" x14ac:dyDescent="0.3">
      <c r="A12" t="s">
        <v>60</v>
      </c>
      <c r="B12">
        <v>0.4</v>
      </c>
      <c r="C12">
        <f>($B$6*$B$7*$B$8*B12)/1000</f>
        <v>0.51830000000000009</v>
      </c>
    </row>
    <row r="13" spans="1:4" x14ac:dyDescent="0.3">
      <c r="A13" t="s">
        <v>167</v>
      </c>
      <c r="B13">
        <f>32.2</f>
        <v>32.200000000000003</v>
      </c>
      <c r="C13">
        <f>($B$6*$B$7*$B$8*B13)/1000</f>
        <v>41.723150000000004</v>
      </c>
    </row>
    <row r="14" spans="1:4" x14ac:dyDescent="0.3">
      <c r="A14" t="s">
        <v>168</v>
      </c>
      <c r="B14" t="s">
        <v>93</v>
      </c>
      <c r="C14" t="s">
        <v>93</v>
      </c>
    </row>
    <row r="94" spans="7:8" x14ac:dyDescent="0.3">
      <c r="G94" t="s">
        <v>59</v>
      </c>
      <c r="H94" t="s">
        <v>149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C21F8-1257-41D2-AC66-C37D81E340F6}">
  <dimension ref="A1:B16"/>
  <sheetViews>
    <sheetView topLeftCell="E40" zoomScale="90" zoomScaleNormal="90" workbookViewId="0">
      <selection activeCell="G60" sqref="G60"/>
    </sheetView>
  </sheetViews>
  <sheetFormatPr baseColWidth="10" defaultRowHeight="14.4" x14ac:dyDescent="0.3"/>
  <cols>
    <col min="1" max="1" width="48.77734375" bestFit="1" customWidth="1"/>
  </cols>
  <sheetData>
    <row r="1" spans="1:2" x14ac:dyDescent="0.3">
      <c r="A1" s="11" t="s">
        <v>82</v>
      </c>
    </row>
    <row r="2" spans="1:2" x14ac:dyDescent="0.3">
      <c r="A2" t="s">
        <v>83</v>
      </c>
      <c r="B2">
        <v>85.743200000000002</v>
      </c>
    </row>
    <row r="3" spans="1:2" x14ac:dyDescent="0.3">
      <c r="A3" t="s">
        <v>84</v>
      </c>
      <c r="B3">
        <v>0.24</v>
      </c>
    </row>
    <row r="5" spans="1:2" x14ac:dyDescent="0.3">
      <c r="A5" s="9" t="s">
        <v>87</v>
      </c>
    </row>
    <row r="6" spans="1:2" x14ac:dyDescent="0.3">
      <c r="A6" t="s">
        <v>72</v>
      </c>
      <c r="B6">
        <v>1.5</v>
      </c>
    </row>
    <row r="7" spans="1:2" x14ac:dyDescent="0.3">
      <c r="A7" t="s">
        <v>60</v>
      </c>
      <c r="B7">
        <v>0.5</v>
      </c>
    </row>
    <row r="8" spans="1:2" x14ac:dyDescent="0.3">
      <c r="A8" t="s">
        <v>88</v>
      </c>
      <c r="B8">
        <v>13</v>
      </c>
    </row>
    <row r="9" spans="1:2" x14ac:dyDescent="0.3">
      <c r="A9" t="s">
        <v>168</v>
      </c>
      <c r="B9">
        <v>0</v>
      </c>
    </row>
    <row r="10" spans="1:2" x14ac:dyDescent="0.3">
      <c r="A10" t="s">
        <v>65</v>
      </c>
      <c r="B10">
        <v>1</v>
      </c>
    </row>
    <row r="11" spans="1:2" x14ac:dyDescent="0.3">
      <c r="A11" s="9" t="s">
        <v>86</v>
      </c>
    </row>
    <row r="12" spans="1:2" x14ac:dyDescent="0.3">
      <c r="A12" t="s">
        <v>72</v>
      </c>
      <c r="B12">
        <f>$B$2*365*$B$3*0.67*(B6/100)*$B$16</f>
        <v>75.486598415999993</v>
      </c>
    </row>
    <row r="13" spans="1:2" x14ac:dyDescent="0.3">
      <c r="A13" t="s">
        <v>60</v>
      </c>
      <c r="B13">
        <f>$B$2*365*$B$3*0.67*(B7/100)*$B$16</f>
        <v>25.162199471999998</v>
      </c>
    </row>
    <row r="14" spans="1:2" x14ac:dyDescent="0.3">
      <c r="A14" t="s">
        <v>88</v>
      </c>
      <c r="B14">
        <f>$B$2*365*$B$3*0.67*(B8/100)*$B$16</f>
        <v>654.21718627199994</v>
      </c>
    </row>
    <row r="15" spans="1:2" x14ac:dyDescent="0.3">
      <c r="A15" t="s">
        <v>168</v>
      </c>
      <c r="B15">
        <f>$B$2*365*$B$3*0.67*(B9/100)*$B$16</f>
        <v>0</v>
      </c>
    </row>
    <row r="16" spans="1:2" x14ac:dyDescent="0.3">
      <c r="A16" t="s">
        <v>65</v>
      </c>
      <c r="B16">
        <v>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3DB21-F030-41F1-9DD6-5CBC3FBB10A3}">
  <dimension ref="A1:P16"/>
  <sheetViews>
    <sheetView topLeftCell="D82" workbookViewId="0">
      <selection activeCell="X109" sqref="X108:X109"/>
    </sheetView>
  </sheetViews>
  <sheetFormatPr baseColWidth="10" defaultRowHeight="14.4" x14ac:dyDescent="0.3"/>
  <cols>
    <col min="1" max="1" width="48.77734375" bestFit="1" customWidth="1"/>
  </cols>
  <sheetData>
    <row r="1" spans="1:16" x14ac:dyDescent="0.3">
      <c r="A1" s="11" t="s">
        <v>57</v>
      </c>
    </row>
    <row r="2" spans="1:16" x14ac:dyDescent="0.3">
      <c r="A2" s="11" t="s">
        <v>58</v>
      </c>
      <c r="P2" t="s">
        <v>69</v>
      </c>
    </row>
    <row r="4" spans="1:16" x14ac:dyDescent="0.3">
      <c r="A4" s="11" t="s">
        <v>62</v>
      </c>
    </row>
    <row r="5" spans="1:16" x14ac:dyDescent="0.3">
      <c r="A5" t="s">
        <v>70</v>
      </c>
      <c r="B5">
        <v>500</v>
      </c>
    </row>
    <row r="6" spans="1:16" x14ac:dyDescent="0.3">
      <c r="A6" t="s">
        <v>63</v>
      </c>
      <c r="B6">
        <v>1</v>
      </c>
    </row>
    <row r="7" spans="1:16" x14ac:dyDescent="0.3">
      <c r="A7" t="s">
        <v>71</v>
      </c>
      <c r="B7">
        <v>1</v>
      </c>
    </row>
    <row r="8" spans="1:16" x14ac:dyDescent="0.3">
      <c r="A8" t="s">
        <v>64</v>
      </c>
      <c r="B8">
        <v>0.375</v>
      </c>
    </row>
    <row r="9" spans="1:16" x14ac:dyDescent="0.3">
      <c r="A9" t="s">
        <v>66</v>
      </c>
      <c r="B9">
        <v>0</v>
      </c>
    </row>
    <row r="10" spans="1:16" x14ac:dyDescent="0.3">
      <c r="A10" t="s">
        <v>65</v>
      </c>
      <c r="B10">
        <v>1</v>
      </c>
    </row>
    <row r="11" spans="1:16" x14ac:dyDescent="0.3">
      <c r="A11" t="s">
        <v>67</v>
      </c>
    </row>
    <row r="12" spans="1:16" x14ac:dyDescent="0.3">
      <c r="A12" s="9" t="s">
        <v>68</v>
      </c>
      <c r="C12" t="s">
        <v>169</v>
      </c>
    </row>
    <row r="13" spans="1:16" x14ac:dyDescent="0.3">
      <c r="A13" t="s">
        <v>72</v>
      </c>
      <c r="B13">
        <v>0.02</v>
      </c>
      <c r="C13">
        <f>(($B$6*$B$8*$B$10+B9)*B13)*44/28</f>
        <v>1.1785714285714285E-2</v>
      </c>
    </row>
    <row r="14" spans="1:16" x14ac:dyDescent="0.3">
      <c r="A14" t="s">
        <v>60</v>
      </c>
      <c r="B14">
        <v>0</v>
      </c>
      <c r="C14">
        <f>(($B$6*$B$8*$B$10+B10)*B14)*44/28</f>
        <v>0</v>
      </c>
    </row>
    <row r="15" spans="1:16" x14ac:dyDescent="0.3">
      <c r="A15" t="s">
        <v>85</v>
      </c>
      <c r="B15">
        <v>5.0000000000000001E-3</v>
      </c>
      <c r="C15">
        <f>(($B$6*$B$8*$B$10+B11)*B15)*44/28</f>
        <v>2.9464285714285712E-3</v>
      </c>
    </row>
    <row r="16" spans="1:16" x14ac:dyDescent="0.3">
      <c r="A16" t="s">
        <v>168</v>
      </c>
      <c r="B16">
        <v>0.01</v>
      </c>
      <c r="C16">
        <f>(($B$6*$B$8*$B$10+B12)*B16)*44/28</f>
        <v>5.8928571428571424E-3</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8F4E3-0706-42B0-976A-A448CB648F32}">
  <dimension ref="A3:D14"/>
  <sheetViews>
    <sheetView topLeftCell="S43" workbookViewId="0">
      <selection activeCell="AJ18" sqref="AJ18"/>
    </sheetView>
  </sheetViews>
  <sheetFormatPr baseColWidth="10" defaultRowHeight="14.4" x14ac:dyDescent="0.3"/>
  <cols>
    <col min="1" max="1" width="48.77734375" bestFit="1" customWidth="1"/>
    <col min="4" max="4" width="11.21875" bestFit="1" customWidth="1"/>
  </cols>
  <sheetData>
    <row r="3" spans="1:4" x14ac:dyDescent="0.3">
      <c r="A3" s="11" t="s">
        <v>73</v>
      </c>
    </row>
    <row r="5" spans="1:4" x14ac:dyDescent="0.3">
      <c r="A5" t="s">
        <v>63</v>
      </c>
      <c r="B5">
        <v>1</v>
      </c>
    </row>
    <row r="6" spans="1:4" x14ac:dyDescent="0.3">
      <c r="A6" t="s">
        <v>74</v>
      </c>
      <c r="B6">
        <f>'direct N2O manure manag'!$B$8</f>
        <v>0.375</v>
      </c>
    </row>
    <row r="7" spans="1:4" x14ac:dyDescent="0.3">
      <c r="A7" t="s">
        <v>66</v>
      </c>
      <c r="B7">
        <v>0</v>
      </c>
    </row>
    <row r="8" spans="1:4" x14ac:dyDescent="0.3">
      <c r="A8" t="s">
        <v>65</v>
      </c>
      <c r="B8">
        <v>1</v>
      </c>
    </row>
    <row r="9" spans="1:4" x14ac:dyDescent="0.3">
      <c r="A9" t="s">
        <v>75</v>
      </c>
    </row>
    <row r="10" spans="1:4" x14ac:dyDescent="0.3">
      <c r="A10" s="9" t="s">
        <v>68</v>
      </c>
    </row>
    <row r="11" spans="1:4" x14ac:dyDescent="0.3">
      <c r="A11" t="s">
        <v>72</v>
      </c>
      <c r="B11">
        <v>0.3</v>
      </c>
      <c r="C11">
        <f>(($B$5*$B$6*$B$8)+$B$7)*B11</f>
        <v>0.11249999999999999</v>
      </c>
    </row>
    <row r="12" spans="1:4" x14ac:dyDescent="0.3">
      <c r="A12" t="s">
        <v>60</v>
      </c>
      <c r="B12">
        <v>7.0000000000000007E-2</v>
      </c>
      <c r="C12">
        <f t="shared" ref="C12:C14" si="0">(($B$5*$B$6*$B$8)+$B$7)*B12</f>
        <v>2.6250000000000002E-2</v>
      </c>
    </row>
    <row r="13" spans="1:4" x14ac:dyDescent="0.3">
      <c r="A13" t="s">
        <v>85</v>
      </c>
      <c r="B13">
        <v>0.1</v>
      </c>
      <c r="C13">
        <f t="shared" si="0"/>
        <v>3.7500000000000006E-2</v>
      </c>
    </row>
    <row r="14" spans="1:4" x14ac:dyDescent="0.3">
      <c r="A14" t="s">
        <v>168</v>
      </c>
      <c r="B14" s="2">
        <v>0.1</v>
      </c>
      <c r="C14" s="2">
        <f t="shared" si="0"/>
        <v>3.7500000000000006E-2</v>
      </c>
      <c r="D14" t="s">
        <v>170</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A026E-6EBF-457C-849A-84AE5BC3F07E}">
  <dimension ref="A3:C14"/>
  <sheetViews>
    <sheetView topLeftCell="P34" zoomScale="90" zoomScaleNormal="90" workbookViewId="0">
      <selection activeCell="D23" sqref="D23"/>
    </sheetView>
  </sheetViews>
  <sheetFormatPr baseColWidth="10" defaultRowHeight="14.4" x14ac:dyDescent="0.3"/>
  <cols>
    <col min="1" max="1" width="48.77734375" bestFit="1" customWidth="1"/>
  </cols>
  <sheetData>
    <row r="3" spans="1:3" x14ac:dyDescent="0.3">
      <c r="A3" s="11" t="s">
        <v>76</v>
      </c>
    </row>
    <row r="5" spans="1:3" x14ac:dyDescent="0.3">
      <c r="A5" t="s">
        <v>63</v>
      </c>
      <c r="B5">
        <v>1</v>
      </c>
    </row>
    <row r="6" spans="1:3" x14ac:dyDescent="0.3">
      <c r="A6" t="s">
        <v>74</v>
      </c>
      <c r="B6">
        <v>0.375</v>
      </c>
    </row>
    <row r="7" spans="1:3" x14ac:dyDescent="0.3">
      <c r="A7" t="s">
        <v>66</v>
      </c>
      <c r="B7">
        <v>0</v>
      </c>
    </row>
    <row r="8" spans="1:3" x14ac:dyDescent="0.3">
      <c r="A8" t="s">
        <v>65</v>
      </c>
      <c r="B8">
        <v>1</v>
      </c>
    </row>
    <row r="9" spans="1:3" x14ac:dyDescent="0.3">
      <c r="A9" t="s">
        <v>75</v>
      </c>
    </row>
    <row r="10" spans="1:3" x14ac:dyDescent="0.3">
      <c r="A10" s="9" t="s">
        <v>68</v>
      </c>
    </row>
    <row r="11" spans="1:3" x14ac:dyDescent="0.3">
      <c r="A11" t="s">
        <v>72</v>
      </c>
      <c r="B11">
        <v>3.5000000000000003E-2</v>
      </c>
      <c r="C11">
        <f>(($B$5*$B$6*$B$8)+$B$7)*B11</f>
        <v>1.3125000000000001E-2</v>
      </c>
    </row>
    <row r="12" spans="1:3" x14ac:dyDescent="0.3">
      <c r="A12" t="s">
        <v>60</v>
      </c>
      <c r="B12">
        <v>0</v>
      </c>
      <c r="C12">
        <f t="shared" ref="C12:C14" si="0">(($B$5*$B$6*$B$8)+$B$7)*B12</f>
        <v>0</v>
      </c>
    </row>
    <row r="13" spans="1:3" x14ac:dyDescent="0.3">
      <c r="A13" t="s">
        <v>85</v>
      </c>
      <c r="B13">
        <v>0</v>
      </c>
      <c r="C13">
        <f t="shared" si="0"/>
        <v>0</v>
      </c>
    </row>
    <row r="14" spans="1:3" x14ac:dyDescent="0.3">
      <c r="A14" t="s">
        <v>168</v>
      </c>
      <c r="B14">
        <v>0</v>
      </c>
      <c r="C14">
        <f t="shared" si="0"/>
        <v>0</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C219D-CB29-48B6-B465-093C3045C5E4}">
  <dimension ref="A1:C40"/>
  <sheetViews>
    <sheetView topLeftCell="D1" workbookViewId="0">
      <selection activeCell="E13" sqref="E13"/>
    </sheetView>
  </sheetViews>
  <sheetFormatPr baseColWidth="10" defaultRowHeight="14.4" x14ac:dyDescent="0.3"/>
  <cols>
    <col min="1" max="1" width="48.77734375" bestFit="1" customWidth="1"/>
  </cols>
  <sheetData>
    <row r="1" spans="1:3" x14ac:dyDescent="0.3">
      <c r="A1" s="12" t="s">
        <v>77</v>
      </c>
    </row>
    <row r="2" spans="1:3" x14ac:dyDescent="0.3">
      <c r="A2" s="13" t="s">
        <v>73</v>
      </c>
      <c r="B2" t="s">
        <v>75</v>
      </c>
    </row>
    <row r="3" spans="1:3" x14ac:dyDescent="0.3">
      <c r="A3" s="9" t="str">
        <f>'N volatilization '!A10</f>
        <v>Escenarios</v>
      </c>
      <c r="B3">
        <f>'N volatilization '!B10</f>
        <v>0</v>
      </c>
      <c r="C3">
        <f>'N volatilization '!C10</f>
        <v>0</v>
      </c>
    </row>
    <row r="4" spans="1:3" x14ac:dyDescent="0.3">
      <c r="A4" t="str">
        <f>'N volatilization '!A11</f>
        <v>Pilas (dry lot)</v>
      </c>
      <c r="B4">
        <f>'N volatilization '!B11</f>
        <v>0.3</v>
      </c>
      <c r="C4">
        <f>'N volatilization '!C11</f>
        <v>0.11249999999999999</v>
      </c>
    </row>
    <row r="5" spans="1:3" x14ac:dyDescent="0.3">
      <c r="A5" t="str">
        <f>'N volatilization '!A12</f>
        <v>tirar al campo directo(daily spread)</v>
      </c>
      <c r="B5">
        <f>'N volatilization '!B12</f>
        <v>7.0000000000000007E-2</v>
      </c>
      <c r="C5">
        <f>'N volatilization '!C12</f>
        <v>2.6250000000000002E-2</v>
      </c>
    </row>
    <row r="6" spans="1:3" x14ac:dyDescent="0.3">
      <c r="A6" t="str">
        <f>'N volatilization '!A13</f>
        <v>tanques (si storage&gt;1 meses, y poca agua) (liquis/slurry)</v>
      </c>
      <c r="B6">
        <f>'N volatilization '!B13</f>
        <v>0.1</v>
      </c>
      <c r="C6">
        <f>'N volatilization '!C13</f>
        <v>3.7500000000000006E-2</v>
      </c>
    </row>
    <row r="7" spans="1:3" x14ac:dyDescent="0.3">
      <c r="A7" t="s">
        <v>168</v>
      </c>
      <c r="B7">
        <f>'N volatilization '!B14</f>
        <v>0.1</v>
      </c>
      <c r="C7">
        <f>'N volatilization '!C14</f>
        <v>3.7500000000000006E-2</v>
      </c>
    </row>
    <row r="8" spans="1:3" x14ac:dyDescent="0.3">
      <c r="A8" t="s">
        <v>79</v>
      </c>
      <c r="B8">
        <v>1.4E-2</v>
      </c>
    </row>
    <row r="9" spans="1:3" x14ac:dyDescent="0.3">
      <c r="A9" s="9" t="s">
        <v>81</v>
      </c>
    </row>
    <row r="10" spans="1:3" x14ac:dyDescent="0.3">
      <c r="A10" t="s">
        <v>72</v>
      </c>
      <c r="B10">
        <f>C4*$B$8*44/28</f>
        <v>2.4749999999999993E-3</v>
      </c>
    </row>
    <row r="11" spans="1:3" x14ac:dyDescent="0.3">
      <c r="A11" t="s">
        <v>60</v>
      </c>
      <c r="B11">
        <f>C5*$B$8*44/28</f>
        <v>5.775E-4</v>
      </c>
    </row>
    <row r="12" spans="1:3" x14ac:dyDescent="0.3">
      <c r="A12" t="s">
        <v>61</v>
      </c>
      <c r="B12">
        <f>C6*$B$8*44/28</f>
        <v>8.250000000000001E-4</v>
      </c>
    </row>
    <row r="13" spans="1:3" x14ac:dyDescent="0.3">
      <c r="A13" t="s">
        <v>168</v>
      </c>
      <c r="B13">
        <f>C7*$B$8*44/28</f>
        <v>8.250000000000001E-4</v>
      </c>
    </row>
    <row r="28" spans="1:3" x14ac:dyDescent="0.3">
      <c r="A28" s="12" t="s">
        <v>78</v>
      </c>
    </row>
    <row r="29" spans="1:3" x14ac:dyDescent="0.3">
      <c r="A29" t="s">
        <v>76</v>
      </c>
    </row>
    <row r="30" spans="1:3" x14ac:dyDescent="0.3">
      <c r="A30" s="9" t="str">
        <f>'N lixiviado'!A10</f>
        <v>Escenarios</v>
      </c>
      <c r="B30">
        <f>'N lixiviado'!B10</f>
        <v>0</v>
      </c>
      <c r="C30">
        <f>'N lixiviado'!C10</f>
        <v>0</v>
      </c>
    </row>
    <row r="31" spans="1:3" x14ac:dyDescent="0.3">
      <c r="A31" t="str">
        <f>'N lixiviado'!A11</f>
        <v>Pilas (dry lot)</v>
      </c>
      <c r="B31">
        <f>'N lixiviado'!B11</f>
        <v>3.5000000000000003E-2</v>
      </c>
      <c r="C31">
        <f>'N lixiviado'!C11</f>
        <v>1.3125000000000001E-2</v>
      </c>
    </row>
    <row r="32" spans="1:3" x14ac:dyDescent="0.3">
      <c r="A32" t="str">
        <f>'N lixiviado'!A12</f>
        <v>tirar al campo directo(daily spread)</v>
      </c>
      <c r="B32">
        <f>'N lixiviado'!B12</f>
        <v>0</v>
      </c>
      <c r="C32">
        <f>'N lixiviado'!C12</f>
        <v>0</v>
      </c>
    </row>
    <row r="33" spans="1:3" x14ac:dyDescent="0.3">
      <c r="A33" t="str">
        <f>'N lixiviado'!A13</f>
        <v>tanques (si storage&gt;1 meses, y poca agua) (liquis/slurry)</v>
      </c>
      <c r="B33">
        <f>'N lixiviado'!B13</f>
        <v>0</v>
      </c>
      <c r="C33">
        <f>'N lixiviado'!C13</f>
        <v>0</v>
      </c>
    </row>
    <row r="34" spans="1:3" x14ac:dyDescent="0.3">
      <c r="A34" t="s">
        <v>168</v>
      </c>
      <c r="B34">
        <f>'N lixiviado'!B14</f>
        <v>0</v>
      </c>
      <c r="C34">
        <f>'N lixiviado'!C14</f>
        <v>0</v>
      </c>
    </row>
    <row r="35" spans="1:3" x14ac:dyDescent="0.3">
      <c r="A35" t="s">
        <v>80</v>
      </c>
      <c r="B35">
        <v>1.0999999999999999E-2</v>
      </c>
    </row>
    <row r="36" spans="1:3" x14ac:dyDescent="0.3">
      <c r="A36" s="9" t="s">
        <v>81</v>
      </c>
    </row>
    <row r="37" spans="1:3" x14ac:dyDescent="0.3">
      <c r="A37" t="s">
        <v>72</v>
      </c>
      <c r="B37">
        <f>C31*$B$35*44/28</f>
        <v>2.26875E-4</v>
      </c>
    </row>
    <row r="38" spans="1:3" x14ac:dyDescent="0.3">
      <c r="A38" t="s">
        <v>60</v>
      </c>
      <c r="B38">
        <f t="shared" ref="B38:B40" si="0">C32*$B$35*44/28</f>
        <v>0</v>
      </c>
    </row>
    <row r="39" spans="1:3" x14ac:dyDescent="0.3">
      <c r="A39" t="s">
        <v>85</v>
      </c>
      <c r="B39">
        <f t="shared" si="0"/>
        <v>0</v>
      </c>
    </row>
    <row r="40" spans="1:3" x14ac:dyDescent="0.3">
      <c r="A40" t="s">
        <v>168</v>
      </c>
      <c r="B40">
        <f t="shared" si="0"/>
        <v>0</v>
      </c>
    </row>
  </sheetData>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B8664-529A-4211-8963-31D5315A0D82}">
  <dimension ref="A1:B13"/>
  <sheetViews>
    <sheetView workbookViewId="0">
      <selection activeCell="G10" sqref="G10"/>
    </sheetView>
  </sheetViews>
  <sheetFormatPr baseColWidth="10" defaultRowHeight="14.4" x14ac:dyDescent="0.3"/>
  <sheetData>
    <row r="1" spans="1:2" x14ac:dyDescent="0.3">
      <c r="A1" t="s">
        <v>189</v>
      </c>
      <c r="B1">
        <v>16</v>
      </c>
    </row>
    <row r="2" spans="1:2" x14ac:dyDescent="0.3">
      <c r="A2" t="s">
        <v>190</v>
      </c>
      <c r="B2" s="31">
        <v>14.007</v>
      </c>
    </row>
    <row r="3" spans="1:2" x14ac:dyDescent="0.3">
      <c r="A3" t="s">
        <v>191</v>
      </c>
      <c r="B3">
        <v>1.008</v>
      </c>
    </row>
    <row r="4" spans="1:2" x14ac:dyDescent="0.3">
      <c r="A4" t="s">
        <v>194</v>
      </c>
    </row>
    <row r="5" spans="1:2" x14ac:dyDescent="0.3">
      <c r="A5">
        <f>(1*B2+3*B3)/B2</f>
        <v>1.2158920539730134</v>
      </c>
      <c r="B5">
        <f>17/14</f>
        <v>1.2142857142857142</v>
      </c>
    </row>
    <row r="7" spans="1:2" x14ac:dyDescent="0.3">
      <c r="A7" t="s">
        <v>192</v>
      </c>
    </row>
    <row r="8" spans="1:2" x14ac:dyDescent="0.3">
      <c r="A8">
        <f>(B2*2+B1)/(B2*2)</f>
        <v>1.5711429999286071</v>
      </c>
      <c r="B8">
        <f>44/28</f>
        <v>1.5714285714285714</v>
      </c>
    </row>
    <row r="12" spans="1:2" x14ac:dyDescent="0.3">
      <c r="A12" t="s">
        <v>193</v>
      </c>
    </row>
    <row r="13" spans="1:2" x14ac:dyDescent="0.3">
      <c r="A13">
        <f>(B2+B1*3)/B2</f>
        <v>4.4268579995716424</v>
      </c>
      <c r="B13">
        <f>31/7</f>
        <v>4.4285714285714288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3A0FC-A2AE-4ED8-8BAC-3FBFB699A09C}">
  <dimension ref="A1:C20"/>
  <sheetViews>
    <sheetView topLeftCell="D37" zoomScaleNormal="100" workbookViewId="0">
      <selection activeCell="C6" sqref="C6"/>
    </sheetView>
  </sheetViews>
  <sheetFormatPr baseColWidth="10" defaultRowHeight="14.4" x14ac:dyDescent="0.3"/>
  <cols>
    <col min="1" max="1" width="48.88671875" bestFit="1" customWidth="1"/>
  </cols>
  <sheetData>
    <row r="1" spans="1:3" x14ac:dyDescent="0.3">
      <c r="A1" s="28" t="s">
        <v>171</v>
      </c>
      <c r="B1" s="28" t="s">
        <v>150</v>
      </c>
      <c r="C1" t="s">
        <v>159</v>
      </c>
    </row>
    <row r="2" spans="1:3" x14ac:dyDescent="0.3">
      <c r="A2" t="s">
        <v>157</v>
      </c>
      <c r="B2">
        <f>B7*B$5</f>
        <v>2.0925000000000002E-3</v>
      </c>
      <c r="C2">
        <f>B2*48/28</f>
        <v>3.5871428571428573E-3</v>
      </c>
    </row>
    <row r="3" spans="1:3" x14ac:dyDescent="0.3">
      <c r="A3" t="s">
        <v>85</v>
      </c>
      <c r="B3">
        <f>B8*B$5</f>
        <v>1.98E-3</v>
      </c>
      <c r="C3">
        <f>B3*48/28</f>
        <v>3.3942857142857143E-3</v>
      </c>
    </row>
    <row r="4" spans="1:3" x14ac:dyDescent="0.3">
      <c r="A4" t="s">
        <v>168</v>
      </c>
      <c r="B4">
        <f>B9*B$5</f>
        <v>1.9350000000000001E-3</v>
      </c>
      <c r="C4">
        <f>B4*48/28</f>
        <v>3.3171428571428575E-3</v>
      </c>
    </row>
    <row r="5" spans="1:3" x14ac:dyDescent="0.3">
      <c r="A5" t="s">
        <v>158</v>
      </c>
      <c r="B5">
        <v>6.0000000000000001E-3</v>
      </c>
    </row>
    <row r="6" spans="1:3" x14ac:dyDescent="0.3">
      <c r="A6" s="28" t="s">
        <v>151</v>
      </c>
      <c r="B6" s="28"/>
      <c r="C6" t="s">
        <v>172</v>
      </c>
    </row>
    <row r="7" spans="1:3" x14ac:dyDescent="0.3">
      <c r="A7" t="s">
        <v>157</v>
      </c>
      <c r="B7">
        <f>B11</f>
        <v>0.34875</v>
      </c>
    </row>
    <row r="8" spans="1:3" x14ac:dyDescent="0.3">
      <c r="A8" t="s">
        <v>85</v>
      </c>
      <c r="B8">
        <f>B12</f>
        <v>0.33</v>
      </c>
    </row>
    <row r="9" spans="1:3" x14ac:dyDescent="0.3">
      <c r="A9" t="s">
        <v>168</v>
      </c>
      <c r="B9">
        <f>B13</f>
        <v>0.32250000000000001</v>
      </c>
    </row>
    <row r="10" spans="1:3" x14ac:dyDescent="0.3">
      <c r="A10" s="28" t="s">
        <v>152</v>
      </c>
      <c r="B10" s="28"/>
    </row>
    <row r="11" spans="1:3" x14ac:dyDescent="0.3">
      <c r="A11" t="s">
        <v>157</v>
      </c>
      <c r="B11">
        <f>(B$14*B$15+B$16)*(1-B18)</f>
        <v>0.34875</v>
      </c>
    </row>
    <row r="12" spans="1:3" x14ac:dyDescent="0.3">
      <c r="A12" t="s">
        <v>85</v>
      </c>
      <c r="B12">
        <f>(B$14*B$15+B$16)*(1-B19)</f>
        <v>0.33</v>
      </c>
    </row>
    <row r="13" spans="1:3" x14ac:dyDescent="0.3">
      <c r="A13" s="29" t="s">
        <v>168</v>
      </c>
      <c r="B13" s="29">
        <f>(B$14*B$15+B$16)*(1-B20)</f>
        <v>0.32250000000000001</v>
      </c>
    </row>
    <row r="14" spans="1:3" x14ac:dyDescent="0.3">
      <c r="A14" t="s">
        <v>153</v>
      </c>
      <c r="B14">
        <f>'direct N2O manure manag'!B8</f>
        <v>0.375</v>
      </c>
    </row>
    <row r="15" spans="1:3" x14ac:dyDescent="0.3">
      <c r="A15" t="s">
        <v>154</v>
      </c>
      <c r="B15">
        <v>1</v>
      </c>
    </row>
    <row r="16" spans="1:3" x14ac:dyDescent="0.3">
      <c r="A16" t="s">
        <v>155</v>
      </c>
      <c r="B16">
        <v>0</v>
      </c>
    </row>
    <row r="17" spans="1:2" x14ac:dyDescent="0.3">
      <c r="A17" s="28" t="s">
        <v>156</v>
      </c>
      <c r="B17" s="28"/>
    </row>
    <row r="18" spans="1:2" x14ac:dyDescent="0.3">
      <c r="A18" t="s">
        <v>157</v>
      </c>
      <c r="B18">
        <f>'direct N2O manure manag'!B14+'N volatilization '!B12+'N lixiviado'!B12 + 3*'direct N2O manure manag'!B14</f>
        <v>7.0000000000000007E-2</v>
      </c>
    </row>
    <row r="19" spans="1:2" x14ac:dyDescent="0.3">
      <c r="A19" t="s">
        <v>85</v>
      </c>
      <c r="B19">
        <f>'direct N2O manure manag'!B15+'N volatilization '!B13+'N lixiviado'!B13 + 3*'direct N2O manure manag'!B15</f>
        <v>0.12000000000000001</v>
      </c>
    </row>
    <row r="20" spans="1:2" x14ac:dyDescent="0.3">
      <c r="A20" t="s">
        <v>168</v>
      </c>
      <c r="B20">
        <f>'direct N2O manure manag'!B16+'N volatilization '!B14+'N lixiviado'!B14 + 3*'direct N2O manure manag'!B16</f>
        <v>0.14000000000000001</v>
      </c>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EB1D2-F571-40B4-A45F-202F584C5035}">
  <dimension ref="A1:C24"/>
  <sheetViews>
    <sheetView tabSelected="1" topLeftCell="G1" workbookViewId="0">
      <selection activeCell="B24" sqref="B24"/>
    </sheetView>
  </sheetViews>
  <sheetFormatPr baseColWidth="10" defaultRowHeight="14.4" x14ac:dyDescent="0.3"/>
  <cols>
    <col min="1" max="1" width="48.88671875" bestFit="1" customWidth="1"/>
  </cols>
  <sheetData>
    <row r="1" spans="1:3" x14ac:dyDescent="0.3">
      <c r="A1" s="2" t="s">
        <v>163</v>
      </c>
    </row>
    <row r="2" spans="1:3" x14ac:dyDescent="0.3">
      <c r="A2" s="28" t="s">
        <v>160</v>
      </c>
      <c r="B2" s="28"/>
      <c r="C2" t="s">
        <v>159</v>
      </c>
    </row>
    <row r="3" spans="1:3" x14ac:dyDescent="0.3">
      <c r="A3" t="s">
        <v>157</v>
      </c>
      <c r="B3">
        <f>B8*B$11*B$6</f>
        <v>9.2069999999999988E-4</v>
      </c>
      <c r="C3">
        <f>B3*48/28</f>
        <v>1.5783428571428568E-3</v>
      </c>
    </row>
    <row r="4" spans="1:3" x14ac:dyDescent="0.3">
      <c r="A4" t="s">
        <v>85</v>
      </c>
      <c r="B4">
        <f>B9*B$11*B$6</f>
        <v>8.7120000000000003E-4</v>
      </c>
      <c r="C4">
        <f>B4*48/28</f>
        <v>1.4934857142857145E-3</v>
      </c>
    </row>
    <row r="5" spans="1:3" x14ac:dyDescent="0.3">
      <c r="A5" t="s">
        <v>168</v>
      </c>
      <c r="B5">
        <f>B10*B$11*B$6</f>
        <v>8.5139999999999988E-4</v>
      </c>
      <c r="C5">
        <f>B5*48/28</f>
        <v>1.4595428571428568E-3</v>
      </c>
    </row>
    <row r="6" spans="1:3" x14ac:dyDescent="0.3">
      <c r="A6" t="s">
        <v>161</v>
      </c>
      <c r="B6">
        <v>1.0999999999999999E-2</v>
      </c>
    </row>
    <row r="7" spans="1:3" x14ac:dyDescent="0.3">
      <c r="A7" s="28" t="s">
        <v>151</v>
      </c>
      <c r="B7" s="28"/>
    </row>
    <row r="8" spans="1:3" x14ac:dyDescent="0.3">
      <c r="A8" t="s">
        <v>157</v>
      </c>
      <c r="B8">
        <f>suelo_N20directo!B7</f>
        <v>0.34875</v>
      </c>
    </row>
    <row r="9" spans="1:3" x14ac:dyDescent="0.3">
      <c r="A9" t="s">
        <v>85</v>
      </c>
      <c r="B9">
        <f>suelo_N20directo!B8</f>
        <v>0.33</v>
      </c>
    </row>
    <row r="10" spans="1:3" x14ac:dyDescent="0.3">
      <c r="A10" s="29" t="s">
        <v>168</v>
      </c>
      <c r="B10" s="29">
        <f>suelo_N20directo!B9</f>
        <v>0.32250000000000001</v>
      </c>
    </row>
    <row r="11" spans="1:3" x14ac:dyDescent="0.3">
      <c r="A11" t="s">
        <v>162</v>
      </c>
      <c r="B11">
        <v>0.24</v>
      </c>
    </row>
    <row r="14" spans="1:3" x14ac:dyDescent="0.3">
      <c r="A14" s="2" t="s">
        <v>164</v>
      </c>
    </row>
    <row r="15" spans="1:3" x14ac:dyDescent="0.3">
      <c r="A15" s="28" t="s">
        <v>165</v>
      </c>
      <c r="B15" s="28"/>
    </row>
    <row r="16" spans="1:3" x14ac:dyDescent="0.3">
      <c r="A16" t="s">
        <v>157</v>
      </c>
      <c r="B16">
        <f>B21*B$24*B$19</f>
        <v>1.0253249999999999E-3</v>
      </c>
    </row>
    <row r="17" spans="1:2" x14ac:dyDescent="0.3">
      <c r="A17" t="s">
        <v>85</v>
      </c>
      <c r="B17">
        <f>B22*B$24*B$19</f>
        <v>9.7020000000000006E-4</v>
      </c>
    </row>
    <row r="18" spans="1:2" x14ac:dyDescent="0.3">
      <c r="A18" s="29" t="s">
        <v>168</v>
      </c>
      <c r="B18" s="29">
        <f>B23*B$24*B$19</f>
        <v>9.4814999999999993E-4</v>
      </c>
    </row>
    <row r="19" spans="1:2" x14ac:dyDescent="0.3">
      <c r="A19" t="s">
        <v>79</v>
      </c>
      <c r="B19">
        <v>1.4E-2</v>
      </c>
    </row>
    <row r="20" spans="1:2" x14ac:dyDescent="0.3">
      <c r="A20" s="28" t="s">
        <v>151</v>
      </c>
      <c r="B20" s="28"/>
    </row>
    <row r="21" spans="1:2" x14ac:dyDescent="0.3">
      <c r="A21" t="s">
        <v>157</v>
      </c>
      <c r="B21">
        <f>B8</f>
        <v>0.34875</v>
      </c>
    </row>
    <row r="22" spans="1:2" x14ac:dyDescent="0.3">
      <c r="A22" t="s">
        <v>85</v>
      </c>
      <c r="B22">
        <f>B9</f>
        <v>0.33</v>
      </c>
    </row>
    <row r="23" spans="1:2" x14ac:dyDescent="0.3">
      <c r="A23" s="29" t="s">
        <v>168</v>
      </c>
      <c r="B23" s="29">
        <f>B10</f>
        <v>0.32250000000000001</v>
      </c>
    </row>
    <row r="24" spans="1:2" x14ac:dyDescent="0.3">
      <c r="A24" t="s">
        <v>166</v>
      </c>
      <c r="B24">
        <v>0.21</v>
      </c>
    </row>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B2AFB-40B1-476C-9CEA-A41351F8AF77}">
  <dimension ref="A2:N36"/>
  <sheetViews>
    <sheetView showGridLines="0" zoomScale="55" zoomScaleNormal="55" workbookViewId="0">
      <selection activeCell="G20" sqref="G20"/>
    </sheetView>
  </sheetViews>
  <sheetFormatPr baseColWidth="10" defaultRowHeight="14.4" x14ac:dyDescent="0.3"/>
  <cols>
    <col min="1" max="1" width="60.77734375" customWidth="1"/>
    <col min="2" max="2" width="21.44140625" customWidth="1"/>
    <col min="3" max="3" width="36.33203125" customWidth="1"/>
    <col min="4" max="4" width="21.21875" customWidth="1"/>
    <col min="5" max="5" width="33.21875" customWidth="1"/>
    <col min="6" max="6" width="24.6640625" customWidth="1"/>
    <col min="7" max="7" width="18.5546875" bestFit="1" customWidth="1"/>
    <col min="8" max="8" width="42.44140625" customWidth="1"/>
    <col min="9" max="9" width="46.5546875" customWidth="1"/>
  </cols>
  <sheetData>
    <row r="2" spans="1:14" ht="25.2" x14ac:dyDescent="0.3">
      <c r="A2" s="38" t="s">
        <v>135</v>
      </c>
      <c r="B2" s="38"/>
      <c r="C2" s="38"/>
      <c r="D2" s="38"/>
      <c r="E2" s="38"/>
      <c r="F2" s="38"/>
      <c r="G2" s="38"/>
      <c r="H2" s="38"/>
      <c r="I2" s="38"/>
    </row>
    <row r="3" spans="1:14" ht="64.8" x14ac:dyDescent="0.3">
      <c r="A3" s="20" t="s">
        <v>132</v>
      </c>
      <c r="B3" s="20" t="s">
        <v>116</v>
      </c>
      <c r="C3" s="20" t="s">
        <v>112</v>
      </c>
      <c r="D3" s="20" t="s">
        <v>128</v>
      </c>
      <c r="E3" s="20" t="s">
        <v>92</v>
      </c>
      <c r="F3" s="20" t="s">
        <v>100</v>
      </c>
      <c r="G3" s="20" t="s">
        <v>99</v>
      </c>
      <c r="H3" s="20" t="s">
        <v>98</v>
      </c>
      <c r="I3" s="20" t="s">
        <v>89</v>
      </c>
      <c r="J3" s="17"/>
      <c r="K3" s="17"/>
      <c r="L3" s="17"/>
      <c r="M3" s="17"/>
      <c r="N3" s="17"/>
    </row>
    <row r="4" spans="1:14" ht="69.599999999999994" x14ac:dyDescent="0.3">
      <c r="A4" s="21" t="s">
        <v>176</v>
      </c>
      <c r="B4" s="21" t="s">
        <v>119</v>
      </c>
      <c r="C4" s="21" t="s">
        <v>93</v>
      </c>
      <c r="D4" s="21" t="s">
        <v>93</v>
      </c>
      <c r="E4" s="21" t="s">
        <v>93</v>
      </c>
      <c r="F4" s="21" t="s">
        <v>93</v>
      </c>
      <c r="G4" s="22">
        <v>25</v>
      </c>
      <c r="H4" s="21" t="s">
        <v>136</v>
      </c>
      <c r="I4" s="21" t="s">
        <v>90</v>
      </c>
    </row>
    <row r="5" spans="1:14" ht="67.5" customHeight="1" x14ac:dyDescent="0.3">
      <c r="A5" s="21" t="s">
        <v>129</v>
      </c>
      <c r="B5" s="21" t="s">
        <v>120</v>
      </c>
      <c r="C5" s="21" t="s">
        <v>93</v>
      </c>
      <c r="D5" s="21" t="s">
        <v>93</v>
      </c>
      <c r="E5" s="21" t="s">
        <v>93</v>
      </c>
      <c r="F5" s="21" t="s">
        <v>93</v>
      </c>
      <c r="G5" s="22">
        <v>13.6</v>
      </c>
      <c r="H5" s="21" t="s">
        <v>118</v>
      </c>
      <c r="I5" s="21" t="s">
        <v>117</v>
      </c>
    </row>
    <row r="6" spans="1:14" ht="74.400000000000006" x14ac:dyDescent="0.3">
      <c r="A6" s="36" t="s">
        <v>173</v>
      </c>
      <c r="B6" s="36" t="s">
        <v>120</v>
      </c>
      <c r="C6" s="36" t="s">
        <v>186</v>
      </c>
      <c r="D6" s="36" t="s">
        <v>94</v>
      </c>
      <c r="E6" s="36" t="s">
        <v>95</v>
      </c>
      <c r="F6" s="21" t="s">
        <v>137</v>
      </c>
      <c r="G6" s="22">
        <f>7.6*365/(12*7)</f>
        <v>33.023809523809526</v>
      </c>
      <c r="H6" s="21" t="s">
        <v>138</v>
      </c>
      <c r="I6" s="21" t="s">
        <v>91</v>
      </c>
    </row>
    <row r="7" spans="1:14" ht="74.400000000000006" x14ac:dyDescent="0.3">
      <c r="A7" s="36"/>
      <c r="B7" s="36"/>
      <c r="C7" s="36"/>
      <c r="D7" s="36"/>
      <c r="E7" s="36"/>
      <c r="F7" s="21" t="s">
        <v>139</v>
      </c>
      <c r="G7" s="23">
        <f>0.00003943*365/(12*7)</f>
        <v>1.7133273809523809E-4</v>
      </c>
      <c r="H7" s="21" t="s">
        <v>138</v>
      </c>
      <c r="I7" s="21" t="s">
        <v>91</v>
      </c>
      <c r="K7" s="14"/>
    </row>
    <row r="8" spans="1:14" ht="38.549999999999997" customHeight="1" x14ac:dyDescent="0.3">
      <c r="A8" s="36"/>
      <c r="B8" s="36"/>
      <c r="C8" s="36"/>
      <c r="D8" s="36" t="s">
        <v>96</v>
      </c>
      <c r="E8" s="36" t="s">
        <v>131</v>
      </c>
      <c r="F8" s="21" t="s">
        <v>140</v>
      </c>
      <c r="G8" s="22">
        <f>G16</f>
        <v>1.3125000000000001E-2</v>
      </c>
      <c r="H8" s="21" t="s">
        <v>141</v>
      </c>
      <c r="I8" s="21" t="s">
        <v>97</v>
      </c>
      <c r="K8" s="14"/>
    </row>
    <row r="9" spans="1:14" ht="70.8" x14ac:dyDescent="0.3">
      <c r="A9" s="36"/>
      <c r="B9" s="36"/>
      <c r="C9" s="36"/>
      <c r="D9" s="36"/>
      <c r="E9" s="36"/>
      <c r="F9" s="21" t="s">
        <v>142</v>
      </c>
      <c r="G9" s="22">
        <f>0</f>
        <v>0</v>
      </c>
      <c r="H9" s="21" t="s">
        <v>141</v>
      </c>
      <c r="I9" s="21" t="s">
        <v>133</v>
      </c>
      <c r="K9" s="14"/>
    </row>
    <row r="10" spans="1:14" ht="70.8" x14ac:dyDescent="0.3">
      <c r="A10" s="36"/>
      <c r="B10" s="36"/>
      <c r="C10" s="36"/>
      <c r="D10" s="36"/>
      <c r="E10" s="36" t="s">
        <v>95</v>
      </c>
      <c r="F10" s="21" t="s">
        <v>143</v>
      </c>
      <c r="G10" s="22">
        <f t="shared" ref="G10" si="0">G18</f>
        <v>2.26875E-4</v>
      </c>
      <c r="H10" s="21" t="s">
        <v>141</v>
      </c>
      <c r="I10" s="21" t="s">
        <v>97</v>
      </c>
      <c r="K10" s="14"/>
    </row>
    <row r="11" spans="1:14" ht="70.8" x14ac:dyDescent="0.3">
      <c r="A11" s="36"/>
      <c r="B11" s="36"/>
      <c r="C11" s="36"/>
      <c r="D11" s="36"/>
      <c r="E11" s="36"/>
      <c r="F11" s="21" t="s">
        <v>144</v>
      </c>
      <c r="G11" s="22">
        <f>0</f>
        <v>0</v>
      </c>
      <c r="H11" s="21" t="s">
        <v>141</v>
      </c>
      <c r="I11" s="21" t="s">
        <v>97</v>
      </c>
      <c r="K11" s="14"/>
    </row>
    <row r="12" spans="1:14" ht="74.400000000000006" x14ac:dyDescent="0.3">
      <c r="A12" s="36"/>
      <c r="B12" s="36"/>
      <c r="C12" s="36"/>
      <c r="D12" s="36"/>
      <c r="E12" s="36" t="s">
        <v>115</v>
      </c>
      <c r="F12" s="21" t="s">
        <v>145</v>
      </c>
      <c r="G12" s="22">
        <f>(G9-G11)*0.5+(G8-G10)*0.5</f>
        <v>6.4490625000000008E-3</v>
      </c>
      <c r="H12" s="21" t="s">
        <v>138</v>
      </c>
      <c r="I12" s="21" t="s">
        <v>97</v>
      </c>
      <c r="K12" s="14"/>
    </row>
    <row r="13" spans="1:14" ht="40.200000000000003" x14ac:dyDescent="0.3">
      <c r="A13" s="36"/>
      <c r="B13" s="36"/>
      <c r="C13" s="36"/>
      <c r="D13" s="36"/>
      <c r="E13" s="36"/>
      <c r="F13" s="24" t="s">
        <v>146</v>
      </c>
      <c r="G13" s="22">
        <f>(G8-G10)*0.5+(G9-G11)*0.5</f>
        <v>6.4490625000000008E-3</v>
      </c>
      <c r="H13" s="21" t="s">
        <v>141</v>
      </c>
      <c r="I13" s="21" t="s">
        <v>97</v>
      </c>
    </row>
    <row r="14" spans="1:14" ht="38.4" x14ac:dyDescent="0.3">
      <c r="A14" s="36" t="s">
        <v>187</v>
      </c>
      <c r="B14" s="36" t="s">
        <v>120</v>
      </c>
      <c r="C14" s="36" t="s">
        <v>183</v>
      </c>
      <c r="D14" s="36" t="s">
        <v>94</v>
      </c>
      <c r="E14" s="36" t="s">
        <v>95</v>
      </c>
      <c r="F14" s="21" t="s">
        <v>137</v>
      </c>
      <c r="G14" s="22">
        <f>'CH4 Tier 2'!B12</f>
        <v>75.486598415999993</v>
      </c>
      <c r="H14" s="21" t="s">
        <v>141</v>
      </c>
      <c r="I14" s="21" t="s">
        <v>97</v>
      </c>
    </row>
    <row r="15" spans="1:14" ht="38.4" x14ac:dyDescent="0.3">
      <c r="A15" s="36"/>
      <c r="B15" s="36"/>
      <c r="C15" s="36"/>
      <c r="D15" s="36"/>
      <c r="E15" s="36"/>
      <c r="F15" s="21" t="s">
        <v>139</v>
      </c>
      <c r="G15" s="22">
        <f>'direct N2O manure manag'!C13</f>
        <v>1.1785714285714285E-2</v>
      </c>
      <c r="H15" s="21" t="s">
        <v>141</v>
      </c>
      <c r="I15" s="21" t="s">
        <v>97</v>
      </c>
    </row>
    <row r="16" spans="1:14" ht="38.549999999999997" customHeight="1" x14ac:dyDescent="0.3">
      <c r="A16" s="36"/>
      <c r="B16" s="36"/>
      <c r="C16" s="36"/>
      <c r="D16" s="36" t="s">
        <v>96</v>
      </c>
      <c r="E16" s="36" t="s">
        <v>131</v>
      </c>
      <c r="F16" s="21" t="s">
        <v>140</v>
      </c>
      <c r="G16" s="22">
        <f>'N lixiviado'!C11</f>
        <v>1.3125000000000001E-2</v>
      </c>
      <c r="H16" s="21" t="s">
        <v>141</v>
      </c>
      <c r="I16" s="21" t="s">
        <v>97</v>
      </c>
    </row>
    <row r="17" spans="1:9" ht="70.8" x14ac:dyDescent="0.3">
      <c r="A17" s="36"/>
      <c r="B17" s="36"/>
      <c r="C17" s="36"/>
      <c r="D17" s="36"/>
      <c r="E17" s="36"/>
      <c r="F17" s="21" t="s">
        <v>142</v>
      </c>
      <c r="G17" s="22">
        <f>'N volatilization '!C11</f>
        <v>0.11249999999999999</v>
      </c>
      <c r="H17" s="21" t="s">
        <v>141</v>
      </c>
      <c r="I17" s="21" t="s">
        <v>97</v>
      </c>
    </row>
    <row r="18" spans="1:9" ht="70.8" x14ac:dyDescent="0.3">
      <c r="A18" s="36"/>
      <c r="B18" s="36"/>
      <c r="C18" s="36"/>
      <c r="D18" s="36"/>
      <c r="E18" s="36" t="s">
        <v>95</v>
      </c>
      <c r="F18" s="21" t="s">
        <v>143</v>
      </c>
      <c r="G18" s="22">
        <f>'N20 inidrecto'!B37</f>
        <v>2.26875E-4</v>
      </c>
      <c r="H18" s="21" t="s">
        <v>141</v>
      </c>
      <c r="I18" s="21" t="s">
        <v>97</v>
      </c>
    </row>
    <row r="19" spans="1:9" ht="70.8" x14ac:dyDescent="0.3">
      <c r="A19" s="36"/>
      <c r="B19" s="36"/>
      <c r="C19" s="36"/>
      <c r="D19" s="36"/>
      <c r="E19" s="36"/>
      <c r="F19" s="21" t="s">
        <v>144</v>
      </c>
      <c r="G19" s="22">
        <f>'N20 inidrecto'!B10</f>
        <v>2.4749999999999993E-3</v>
      </c>
      <c r="H19" s="21" t="s">
        <v>141</v>
      </c>
      <c r="I19" s="21" t="s">
        <v>97</v>
      </c>
    </row>
    <row r="20" spans="1:9" ht="38.4" x14ac:dyDescent="0.3">
      <c r="A20" s="36"/>
      <c r="B20" s="36"/>
      <c r="C20" s="36"/>
      <c r="D20" s="36"/>
      <c r="E20" s="36" t="s">
        <v>115</v>
      </c>
      <c r="F20" s="21" t="s">
        <v>145</v>
      </c>
      <c r="G20" s="22">
        <f>(G16-G18)*0.5+(G17-G19)*0.5</f>
        <v>6.146156249999999E-2</v>
      </c>
      <c r="H20" s="21" t="s">
        <v>141</v>
      </c>
      <c r="I20" s="21" t="s">
        <v>97</v>
      </c>
    </row>
    <row r="21" spans="1:9" ht="40.200000000000003" x14ac:dyDescent="0.3">
      <c r="A21" s="36"/>
      <c r="B21" s="36"/>
      <c r="C21" s="36"/>
      <c r="D21" s="36"/>
      <c r="E21" s="36"/>
      <c r="F21" s="24" t="s">
        <v>146</v>
      </c>
      <c r="G21" s="22">
        <f>(G16-G18)*0.5+(G17-G19)*0.5</f>
        <v>6.146156249999999E-2</v>
      </c>
      <c r="H21" s="21" t="s">
        <v>141</v>
      </c>
      <c r="I21" s="21" t="s">
        <v>97</v>
      </c>
    </row>
    <row r="22" spans="1:9" ht="37.950000000000003" customHeight="1" x14ac:dyDescent="0.3">
      <c r="A22" s="36" t="s">
        <v>188</v>
      </c>
      <c r="B22" s="36" t="s">
        <v>119</v>
      </c>
      <c r="C22" s="36" t="s">
        <v>184</v>
      </c>
      <c r="D22" s="36" t="s">
        <v>94</v>
      </c>
      <c r="E22" s="36" t="s">
        <v>95</v>
      </c>
      <c r="F22" s="21" t="s">
        <v>137</v>
      </c>
      <c r="G22" s="22">
        <f>'CH4 Tier 2'!B15</f>
        <v>0</v>
      </c>
      <c r="H22" s="21" t="s">
        <v>141</v>
      </c>
      <c r="I22" s="21" t="s">
        <v>97</v>
      </c>
    </row>
    <row r="23" spans="1:9" ht="38.4" x14ac:dyDescent="0.3">
      <c r="A23" s="36"/>
      <c r="B23" s="36"/>
      <c r="C23" s="36"/>
      <c r="D23" s="36"/>
      <c r="E23" s="36"/>
      <c r="F23" s="21" t="s">
        <v>139</v>
      </c>
      <c r="G23" s="22">
        <f>'direct N2O manure manag'!C16</f>
        <v>5.8928571428571424E-3</v>
      </c>
      <c r="H23" s="21" t="s">
        <v>141</v>
      </c>
      <c r="I23" s="21" t="s">
        <v>97</v>
      </c>
    </row>
    <row r="24" spans="1:9" ht="38.4" x14ac:dyDescent="0.3">
      <c r="A24" s="36"/>
      <c r="B24" s="36"/>
      <c r="C24" s="36"/>
      <c r="D24" s="36" t="s">
        <v>96</v>
      </c>
      <c r="E24" s="36" t="s">
        <v>131</v>
      </c>
      <c r="F24" s="21" t="s">
        <v>140</v>
      </c>
      <c r="G24" s="22">
        <f>'N lixiviado'!C14</f>
        <v>0</v>
      </c>
      <c r="H24" s="21" t="s">
        <v>141</v>
      </c>
      <c r="I24" s="21" t="s">
        <v>97</v>
      </c>
    </row>
    <row r="25" spans="1:9" ht="70.8" x14ac:dyDescent="0.3">
      <c r="A25" s="36"/>
      <c r="B25" s="36"/>
      <c r="C25" s="36"/>
      <c r="D25" s="36"/>
      <c r="E25" s="36"/>
      <c r="F25" s="21" t="s">
        <v>142</v>
      </c>
      <c r="G25" s="22">
        <f>'N volatilization '!C14</f>
        <v>3.7500000000000006E-2</v>
      </c>
      <c r="H25" s="21" t="s">
        <v>141</v>
      </c>
      <c r="I25" s="21" t="s">
        <v>97</v>
      </c>
    </row>
    <row r="26" spans="1:9" ht="70.8" x14ac:dyDescent="0.3">
      <c r="A26" s="36"/>
      <c r="B26" s="36"/>
      <c r="C26" s="36"/>
      <c r="D26" s="36"/>
      <c r="E26" s="36" t="s">
        <v>95</v>
      </c>
      <c r="F26" s="21" t="s">
        <v>143</v>
      </c>
      <c r="G26" s="22">
        <f>'N20 inidrecto'!B40</f>
        <v>0</v>
      </c>
      <c r="H26" s="21" t="s">
        <v>141</v>
      </c>
      <c r="I26" s="21" t="s">
        <v>97</v>
      </c>
    </row>
    <row r="27" spans="1:9" ht="70.8" x14ac:dyDescent="0.3">
      <c r="A27" s="36"/>
      <c r="B27" s="36"/>
      <c r="C27" s="36"/>
      <c r="D27" s="36"/>
      <c r="E27" s="36"/>
      <c r="F27" s="21" t="s">
        <v>144</v>
      </c>
      <c r="G27" s="22">
        <f>'N20 inidrecto'!B13</f>
        <v>8.250000000000001E-4</v>
      </c>
      <c r="H27" s="21" t="s">
        <v>141</v>
      </c>
      <c r="I27" s="21" t="s">
        <v>97</v>
      </c>
    </row>
    <row r="28" spans="1:9" ht="38.4" x14ac:dyDescent="0.3">
      <c r="A28" s="36"/>
      <c r="B28" s="36"/>
      <c r="C28" s="36"/>
      <c r="D28" s="36"/>
      <c r="E28" s="36" t="s">
        <v>115</v>
      </c>
      <c r="F28" s="21" t="s">
        <v>145</v>
      </c>
      <c r="G28" s="22">
        <f>(G24-G26)*0.5+(G25-G27)*0.5</f>
        <v>1.8337500000000003E-2</v>
      </c>
      <c r="H28" s="21" t="s">
        <v>141</v>
      </c>
      <c r="I28" s="21" t="s">
        <v>97</v>
      </c>
    </row>
    <row r="29" spans="1:9" ht="40.200000000000003" x14ac:dyDescent="0.3">
      <c r="A29" s="36"/>
      <c r="B29" s="36"/>
      <c r="C29" s="36"/>
      <c r="D29" s="36"/>
      <c r="E29" s="36"/>
      <c r="F29" s="24" t="s">
        <v>146</v>
      </c>
      <c r="G29" s="22">
        <f>(G24-G26)*0.5+(G25-G27)*0.5</f>
        <v>1.8337500000000003E-2</v>
      </c>
      <c r="H29" s="21" t="s">
        <v>141</v>
      </c>
      <c r="I29" s="21" t="s">
        <v>97</v>
      </c>
    </row>
    <row r="30" spans="1:9" ht="64.8" x14ac:dyDescent="0.3">
      <c r="A30" s="36" t="s">
        <v>181</v>
      </c>
      <c r="B30" s="36" t="s">
        <v>119</v>
      </c>
      <c r="C30" s="36" t="s">
        <v>185</v>
      </c>
      <c r="D30" s="30" t="s">
        <v>94</v>
      </c>
      <c r="E30" s="21" t="s">
        <v>95</v>
      </c>
      <c r="F30" s="24" t="s">
        <v>139</v>
      </c>
      <c r="G30" s="22">
        <f>suelo_N20directo!C4</f>
        <v>3.3171428571428575E-3</v>
      </c>
      <c r="H30" s="21" t="s">
        <v>141</v>
      </c>
      <c r="I30" s="21" t="s">
        <v>97</v>
      </c>
    </row>
    <row r="31" spans="1:9" ht="38.4" x14ac:dyDescent="0.3">
      <c r="A31" s="36"/>
      <c r="B31" s="36"/>
      <c r="C31" s="36"/>
      <c r="D31" s="36" t="s">
        <v>96</v>
      </c>
      <c r="E31" s="36" t="s">
        <v>131</v>
      </c>
      <c r="F31" s="21" t="s">
        <v>140</v>
      </c>
      <c r="G31" s="22">
        <f>suelo_N20indirecto!C5/suelo_N20indirecto!B6</f>
        <v>0.13268571428571427</v>
      </c>
      <c r="H31" s="21" t="s">
        <v>141</v>
      </c>
      <c r="I31" s="21" t="s">
        <v>97</v>
      </c>
    </row>
    <row r="32" spans="1:9" ht="70.8" x14ac:dyDescent="0.3">
      <c r="A32" s="36"/>
      <c r="B32" s="36"/>
      <c r="C32" s="36"/>
      <c r="D32" s="36"/>
      <c r="E32" s="36"/>
      <c r="F32" s="21" t="s">
        <v>142</v>
      </c>
      <c r="G32" s="22">
        <f>suelo_N20indirecto!B18/suelo_N20indirecto!B19</f>
        <v>6.7724999999999994E-2</v>
      </c>
      <c r="H32" s="21" t="s">
        <v>141</v>
      </c>
      <c r="I32" s="21" t="s">
        <v>97</v>
      </c>
    </row>
    <row r="33" spans="1:9" ht="70.8" x14ac:dyDescent="0.3">
      <c r="A33" s="36"/>
      <c r="B33" s="36"/>
      <c r="C33" s="36"/>
      <c r="D33" s="36"/>
      <c r="E33" s="36" t="s">
        <v>95</v>
      </c>
      <c r="F33" s="21" t="s">
        <v>143</v>
      </c>
      <c r="G33" s="22">
        <f>suelo_N20indirecto!C5</f>
        <v>1.4595428571428568E-3</v>
      </c>
      <c r="H33" s="21" t="s">
        <v>141</v>
      </c>
      <c r="I33" s="21" t="s">
        <v>97</v>
      </c>
    </row>
    <row r="34" spans="1:9" ht="70.8" x14ac:dyDescent="0.3">
      <c r="A34" s="36"/>
      <c r="B34" s="36"/>
      <c r="C34" s="36"/>
      <c r="D34" s="36"/>
      <c r="E34" s="36"/>
      <c r="F34" s="21" t="s">
        <v>144</v>
      </c>
      <c r="G34" s="22">
        <f>suelo_N20indirecto!B18</f>
        <v>9.4814999999999993E-4</v>
      </c>
      <c r="H34" s="21" t="s">
        <v>141</v>
      </c>
      <c r="I34" s="21" t="s">
        <v>97</v>
      </c>
    </row>
    <row r="35" spans="1:9" ht="38.4" x14ac:dyDescent="0.3">
      <c r="A35" s="36"/>
      <c r="B35" s="36"/>
      <c r="C35" s="36"/>
      <c r="D35" s="36"/>
      <c r="E35" s="36" t="s">
        <v>115</v>
      </c>
      <c r="F35" s="21" t="s">
        <v>145</v>
      </c>
      <c r="G35" s="22">
        <f>(G31-G33)*0.5+(G32-G34)*0.5</f>
        <v>9.9001510714285701E-2</v>
      </c>
      <c r="H35" s="21" t="s">
        <v>141</v>
      </c>
      <c r="I35" s="21" t="s">
        <v>97</v>
      </c>
    </row>
    <row r="36" spans="1:9" ht="40.200000000000003" x14ac:dyDescent="0.3">
      <c r="A36" s="37"/>
      <c r="B36" s="37"/>
      <c r="C36" s="37"/>
      <c r="D36" s="37"/>
      <c r="E36" s="37"/>
      <c r="F36" s="26" t="s">
        <v>146</v>
      </c>
      <c r="G36" s="27">
        <f>(G31-G33)*0.5+(G32-G34)*0.5</f>
        <v>9.9001510714285701E-2</v>
      </c>
      <c r="H36" s="25" t="s">
        <v>141</v>
      </c>
      <c r="I36" s="25" t="s">
        <v>97</v>
      </c>
    </row>
  </sheetData>
  <mergeCells count="35">
    <mergeCell ref="A2:I2"/>
    <mergeCell ref="A6:A13"/>
    <mergeCell ref="B6:B13"/>
    <mergeCell ref="C6:C13"/>
    <mergeCell ref="D6:D7"/>
    <mergeCell ref="E6:E7"/>
    <mergeCell ref="D8:D13"/>
    <mergeCell ref="E8:E9"/>
    <mergeCell ref="E10:E11"/>
    <mergeCell ref="E12:E13"/>
    <mergeCell ref="A14:A21"/>
    <mergeCell ref="B14:B21"/>
    <mergeCell ref="C14:C21"/>
    <mergeCell ref="D14:D15"/>
    <mergeCell ref="E14:E15"/>
    <mergeCell ref="D16:D21"/>
    <mergeCell ref="E16:E17"/>
    <mergeCell ref="E18:E19"/>
    <mergeCell ref="E20:E21"/>
    <mergeCell ref="A22:A29"/>
    <mergeCell ref="B22:B29"/>
    <mergeCell ref="C22:C29"/>
    <mergeCell ref="D22:D23"/>
    <mergeCell ref="E22:E23"/>
    <mergeCell ref="D24:D29"/>
    <mergeCell ref="E24:E25"/>
    <mergeCell ref="E26:E27"/>
    <mergeCell ref="E28:E29"/>
    <mergeCell ref="A30:A36"/>
    <mergeCell ref="B30:B36"/>
    <mergeCell ref="C30:C36"/>
    <mergeCell ref="D31:D36"/>
    <mergeCell ref="E31:E32"/>
    <mergeCell ref="E33:E34"/>
    <mergeCell ref="E35:E36"/>
  </mergeCells>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633CA-9AF3-4042-85D7-85B68228AEF9}">
  <dimension ref="A2:D6"/>
  <sheetViews>
    <sheetView workbookViewId="0">
      <selection activeCell="D14" sqref="D14"/>
    </sheetView>
  </sheetViews>
  <sheetFormatPr baseColWidth="10" defaultRowHeight="14.4" x14ac:dyDescent="0.3"/>
  <cols>
    <col min="1" max="1" width="10.77734375" bestFit="1" customWidth="1"/>
    <col min="2" max="2" width="19.109375" bestFit="1" customWidth="1"/>
    <col min="3" max="3" width="31" bestFit="1" customWidth="1"/>
    <col min="4" max="4" width="15" bestFit="1" customWidth="1"/>
  </cols>
  <sheetData>
    <row r="2" spans="1:4" ht="18" x14ac:dyDescent="0.3">
      <c r="A2" s="16" t="s">
        <v>100</v>
      </c>
      <c r="B2" s="16" t="s">
        <v>107</v>
      </c>
      <c r="C2" s="16" t="s">
        <v>108</v>
      </c>
      <c r="D2" s="16" t="s">
        <v>109</v>
      </c>
    </row>
    <row r="3" spans="1:4" ht="18" x14ac:dyDescent="0.3">
      <c r="A3" s="17" t="s">
        <v>101</v>
      </c>
      <c r="B3" s="17">
        <v>21</v>
      </c>
      <c r="C3" s="17" t="s">
        <v>93</v>
      </c>
      <c r="D3" s="39" t="s">
        <v>110</v>
      </c>
    </row>
    <row r="4" spans="1:4" ht="18" x14ac:dyDescent="0.3">
      <c r="A4" s="17" t="s">
        <v>102</v>
      </c>
      <c r="B4" s="17">
        <v>310</v>
      </c>
      <c r="C4" s="17" t="s">
        <v>93</v>
      </c>
      <c r="D4" s="39"/>
    </row>
    <row r="5" spans="1:4" ht="18" x14ac:dyDescent="0.3">
      <c r="A5" s="17" t="s">
        <v>103</v>
      </c>
      <c r="B5" s="17" t="s">
        <v>93</v>
      </c>
      <c r="C5" s="17" t="s">
        <v>105</v>
      </c>
      <c r="D5" s="39" t="s">
        <v>111</v>
      </c>
    </row>
    <row r="6" spans="1:4" ht="18.600000000000001" x14ac:dyDescent="0.3">
      <c r="A6" s="18" t="s">
        <v>104</v>
      </c>
      <c r="B6" s="18" t="s">
        <v>93</v>
      </c>
      <c r="C6" s="18" t="s">
        <v>106</v>
      </c>
      <c r="D6" s="40"/>
    </row>
  </sheetData>
  <mergeCells count="2">
    <mergeCell ref="D5:D6"/>
    <mergeCell ref="D3:D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00756-8059-4A05-ACC4-F4165D44BD4B}">
  <dimension ref="A2:D10"/>
  <sheetViews>
    <sheetView workbookViewId="0">
      <selection activeCell="B2" sqref="B2"/>
    </sheetView>
  </sheetViews>
  <sheetFormatPr baseColWidth="10" defaultRowHeight="14.4" x14ac:dyDescent="0.3"/>
  <cols>
    <col min="4" max="4" width="15.109375" customWidth="1"/>
  </cols>
  <sheetData>
    <row r="2" spans="1:4" x14ac:dyDescent="0.3">
      <c r="B2" t="s">
        <v>122</v>
      </c>
      <c r="C2" t="s">
        <v>123</v>
      </c>
      <c r="D2" t="s">
        <v>118</v>
      </c>
    </row>
    <row r="3" spans="1:4" x14ac:dyDescent="0.3">
      <c r="A3">
        <v>1</v>
      </c>
      <c r="B3">
        <v>6</v>
      </c>
      <c r="C3">
        <v>0.8</v>
      </c>
      <c r="D3" s="15">
        <f>C3/B3</f>
        <v>0.13333333333333333</v>
      </c>
    </row>
    <row r="4" spans="1:4" x14ac:dyDescent="0.3">
      <c r="A4">
        <v>2</v>
      </c>
      <c r="B4">
        <v>10</v>
      </c>
      <c r="C4">
        <v>1.35</v>
      </c>
      <c r="D4" s="15">
        <f t="shared" ref="D4:D7" si="0">C4/B4</f>
        <v>0.13500000000000001</v>
      </c>
    </row>
    <row r="5" spans="1:4" x14ac:dyDescent="0.3">
      <c r="A5">
        <v>3</v>
      </c>
      <c r="B5">
        <v>20</v>
      </c>
      <c r="C5">
        <v>2.7</v>
      </c>
      <c r="D5" s="15">
        <f t="shared" si="0"/>
        <v>0.13500000000000001</v>
      </c>
    </row>
    <row r="6" spans="1:4" x14ac:dyDescent="0.3">
      <c r="A6">
        <v>4</v>
      </c>
      <c r="B6">
        <v>40</v>
      </c>
      <c r="C6">
        <v>5.5</v>
      </c>
      <c r="D6" s="15">
        <f t="shared" si="0"/>
        <v>0.13750000000000001</v>
      </c>
    </row>
    <row r="7" spans="1:4" x14ac:dyDescent="0.3">
      <c r="A7">
        <v>5</v>
      </c>
      <c r="B7">
        <v>55</v>
      </c>
      <c r="C7">
        <v>7.6</v>
      </c>
      <c r="D7" s="15">
        <f t="shared" si="0"/>
        <v>0.13818181818181818</v>
      </c>
    </row>
    <row r="8" spans="1:4" x14ac:dyDescent="0.3">
      <c r="C8" t="s">
        <v>124</v>
      </c>
      <c r="D8" s="19">
        <f>AVERAGE(D3:D7)*100</f>
        <v>13.580303030303028</v>
      </c>
    </row>
    <row r="9" spans="1:4" x14ac:dyDescent="0.3">
      <c r="C9" t="s">
        <v>127</v>
      </c>
      <c r="D9" s="19">
        <f>MEDIAN(D3:D7)*100</f>
        <v>13.5</v>
      </c>
    </row>
    <row r="10" spans="1:4" x14ac:dyDescent="0.3">
      <c r="A10" t="s">
        <v>125</v>
      </c>
      <c r="B10" t="s">
        <v>126</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EEE7E-5F05-4462-AD8D-E4F162CD9B36}">
  <dimension ref="A2:N52"/>
  <sheetViews>
    <sheetView topLeftCell="A32" zoomScale="55" zoomScaleNormal="55" workbookViewId="0">
      <selection activeCell="H59" sqref="H59"/>
    </sheetView>
  </sheetViews>
  <sheetFormatPr baseColWidth="10" defaultRowHeight="14.4" x14ac:dyDescent="0.3"/>
  <cols>
    <col min="1" max="1" width="60.77734375" customWidth="1"/>
    <col min="2" max="2" width="21.44140625" customWidth="1"/>
    <col min="3" max="3" width="36.33203125" customWidth="1"/>
    <col min="4" max="4" width="17.77734375" customWidth="1"/>
    <col min="5" max="5" width="33.21875" customWidth="1"/>
    <col min="6" max="6" width="24.6640625" customWidth="1"/>
    <col min="7" max="7" width="18.5546875" bestFit="1" customWidth="1"/>
    <col min="8" max="8" width="42.44140625" customWidth="1"/>
    <col min="9" max="9" width="46.5546875" customWidth="1"/>
  </cols>
  <sheetData>
    <row r="2" spans="1:14" ht="25.2" x14ac:dyDescent="0.3">
      <c r="A2" s="38" t="s">
        <v>135</v>
      </c>
      <c r="B2" s="38"/>
      <c r="C2" s="38"/>
      <c r="D2" s="38"/>
      <c r="E2" s="38"/>
      <c r="F2" s="38"/>
      <c r="G2" s="38"/>
      <c r="H2" s="38"/>
      <c r="I2" s="38"/>
    </row>
    <row r="3" spans="1:14" ht="64.8" x14ac:dyDescent="0.3">
      <c r="A3" s="20" t="s">
        <v>132</v>
      </c>
      <c r="B3" s="20" t="s">
        <v>116</v>
      </c>
      <c r="C3" s="20" t="s">
        <v>112</v>
      </c>
      <c r="D3" s="20" t="s">
        <v>128</v>
      </c>
      <c r="E3" s="20" t="s">
        <v>92</v>
      </c>
      <c r="F3" s="20" t="s">
        <v>100</v>
      </c>
      <c r="G3" s="20" t="s">
        <v>99</v>
      </c>
      <c r="H3" s="20" t="s">
        <v>98</v>
      </c>
      <c r="I3" s="20" t="s">
        <v>89</v>
      </c>
      <c r="J3" s="17"/>
      <c r="K3" s="17"/>
      <c r="L3" s="17"/>
      <c r="M3" s="17"/>
      <c r="N3" s="17"/>
    </row>
    <row r="4" spans="1:14" ht="69.599999999999994" x14ac:dyDescent="0.3">
      <c r="A4" s="21" t="s">
        <v>176</v>
      </c>
      <c r="B4" s="21" t="s">
        <v>119</v>
      </c>
      <c r="C4" s="21" t="s">
        <v>113</v>
      </c>
      <c r="D4" s="21" t="s">
        <v>93</v>
      </c>
      <c r="E4" s="21" t="s">
        <v>93</v>
      </c>
      <c r="F4" s="21" t="s">
        <v>93</v>
      </c>
      <c r="G4" s="22">
        <v>25</v>
      </c>
      <c r="H4" s="21" t="s">
        <v>136</v>
      </c>
      <c r="I4" s="21" t="s">
        <v>90</v>
      </c>
    </row>
    <row r="5" spans="1:14" ht="67.5" customHeight="1" x14ac:dyDescent="0.3">
      <c r="A5" s="21" t="s">
        <v>129</v>
      </c>
      <c r="B5" s="21" t="s">
        <v>120</v>
      </c>
      <c r="C5" s="21" t="s">
        <v>113</v>
      </c>
      <c r="D5" s="21" t="s">
        <v>93</v>
      </c>
      <c r="E5" s="21" t="s">
        <v>93</v>
      </c>
      <c r="F5" s="21" t="s">
        <v>93</v>
      </c>
      <c r="G5" s="22">
        <v>13.6</v>
      </c>
      <c r="H5" s="21" t="s">
        <v>118</v>
      </c>
      <c r="I5" s="21" t="s">
        <v>117</v>
      </c>
    </row>
    <row r="6" spans="1:14" ht="74.400000000000006" x14ac:dyDescent="0.3">
      <c r="A6" s="36" t="s">
        <v>173</v>
      </c>
      <c r="B6" s="36" t="s">
        <v>120</v>
      </c>
      <c r="C6" s="36" t="s">
        <v>114</v>
      </c>
      <c r="D6" s="36" t="s">
        <v>94</v>
      </c>
      <c r="E6" s="36" t="s">
        <v>95</v>
      </c>
      <c r="F6" s="21" t="s">
        <v>137</v>
      </c>
      <c r="G6" s="22">
        <f>7.6*365/(12*7)</f>
        <v>33.023809523809526</v>
      </c>
      <c r="H6" s="21" t="s">
        <v>138</v>
      </c>
      <c r="I6" s="21" t="s">
        <v>91</v>
      </c>
    </row>
    <row r="7" spans="1:14" ht="74.400000000000006" x14ac:dyDescent="0.3">
      <c r="A7" s="36"/>
      <c r="B7" s="36"/>
      <c r="C7" s="36"/>
      <c r="D7" s="36"/>
      <c r="E7" s="36"/>
      <c r="F7" s="21" t="s">
        <v>139</v>
      </c>
      <c r="G7" s="23">
        <f>0.00003943*365/(12*7)</f>
        <v>1.7133273809523809E-4</v>
      </c>
      <c r="H7" s="21" t="s">
        <v>138</v>
      </c>
      <c r="I7" s="21" t="s">
        <v>91</v>
      </c>
      <c r="K7" s="14"/>
    </row>
    <row r="8" spans="1:14" ht="38.549999999999997" customHeight="1" x14ac:dyDescent="0.3">
      <c r="A8" s="36"/>
      <c r="B8" s="36"/>
      <c r="C8" s="36"/>
      <c r="D8" s="36" t="s">
        <v>96</v>
      </c>
      <c r="E8" s="36" t="s">
        <v>131</v>
      </c>
      <c r="F8" s="21" t="s">
        <v>140</v>
      </c>
      <c r="G8" s="22">
        <f>G16</f>
        <v>1.3125000000000001E-2</v>
      </c>
      <c r="H8" s="21" t="s">
        <v>141</v>
      </c>
      <c r="I8" s="21" t="s">
        <v>97</v>
      </c>
      <c r="K8" s="14"/>
    </row>
    <row r="9" spans="1:14" ht="70.8" x14ac:dyDescent="0.3">
      <c r="A9" s="36"/>
      <c r="B9" s="36"/>
      <c r="C9" s="36"/>
      <c r="D9" s="36"/>
      <c r="E9" s="36"/>
      <c r="F9" s="21" t="s">
        <v>142</v>
      </c>
      <c r="G9" s="22">
        <f>0</f>
        <v>0</v>
      </c>
      <c r="H9" s="21" t="s">
        <v>141</v>
      </c>
      <c r="I9" s="21" t="s">
        <v>133</v>
      </c>
      <c r="K9" s="14"/>
    </row>
    <row r="10" spans="1:14" ht="70.8" x14ac:dyDescent="0.3">
      <c r="A10" s="36"/>
      <c r="B10" s="36"/>
      <c r="C10" s="36"/>
      <c r="D10" s="36"/>
      <c r="E10" s="36" t="s">
        <v>95</v>
      </c>
      <c r="F10" s="21" t="s">
        <v>143</v>
      </c>
      <c r="G10" s="22">
        <f t="shared" ref="G10" si="0">G18</f>
        <v>2.26875E-4</v>
      </c>
      <c r="H10" s="21" t="s">
        <v>141</v>
      </c>
      <c r="I10" s="21" t="s">
        <v>97</v>
      </c>
      <c r="K10" s="14"/>
    </row>
    <row r="11" spans="1:14" ht="70.8" x14ac:dyDescent="0.3">
      <c r="A11" s="36"/>
      <c r="B11" s="36"/>
      <c r="C11" s="36"/>
      <c r="D11" s="36"/>
      <c r="E11" s="36"/>
      <c r="F11" s="21" t="s">
        <v>144</v>
      </c>
      <c r="G11" s="22">
        <f>0</f>
        <v>0</v>
      </c>
      <c r="H11" s="21" t="s">
        <v>141</v>
      </c>
      <c r="I11" s="21" t="s">
        <v>97</v>
      </c>
      <c r="K11" s="14"/>
    </row>
    <row r="12" spans="1:14" ht="74.400000000000006" x14ac:dyDescent="0.3">
      <c r="A12" s="36"/>
      <c r="B12" s="36"/>
      <c r="C12" s="36"/>
      <c r="D12" s="36"/>
      <c r="E12" s="36" t="s">
        <v>115</v>
      </c>
      <c r="F12" s="21" t="s">
        <v>145</v>
      </c>
      <c r="G12" s="22">
        <f>(G9-G11)*0.5+(G8-G10)*0.5</f>
        <v>6.4490625000000008E-3</v>
      </c>
      <c r="H12" s="21" t="s">
        <v>138</v>
      </c>
      <c r="I12" s="21" t="s">
        <v>97</v>
      </c>
      <c r="K12" s="14"/>
    </row>
    <row r="13" spans="1:14" ht="40.200000000000003" x14ac:dyDescent="0.3">
      <c r="A13" s="36"/>
      <c r="B13" s="36"/>
      <c r="C13" s="36"/>
      <c r="D13" s="36"/>
      <c r="E13" s="36"/>
      <c r="F13" s="24" t="s">
        <v>146</v>
      </c>
      <c r="G13" s="22">
        <f>(G8-G10)*0.5+(G9-G11)*0.5</f>
        <v>6.4490625000000008E-3</v>
      </c>
      <c r="H13" s="21" t="s">
        <v>141</v>
      </c>
      <c r="I13" s="21" t="s">
        <v>97</v>
      </c>
    </row>
    <row r="14" spans="1:14" ht="38.4" x14ac:dyDescent="0.3">
      <c r="A14" s="36" t="s">
        <v>179</v>
      </c>
      <c r="B14" s="36" t="s">
        <v>120</v>
      </c>
      <c r="C14" s="36" t="s">
        <v>134</v>
      </c>
      <c r="D14" s="36" t="s">
        <v>94</v>
      </c>
      <c r="E14" s="36" t="s">
        <v>95</v>
      </c>
      <c r="F14" s="21" t="s">
        <v>137</v>
      </c>
      <c r="G14" s="22">
        <f>'CH4 Tier 2'!B12</f>
        <v>75.486598415999993</v>
      </c>
      <c r="H14" s="21" t="s">
        <v>141</v>
      </c>
      <c r="I14" s="21" t="s">
        <v>97</v>
      </c>
    </row>
    <row r="15" spans="1:14" ht="38.4" x14ac:dyDescent="0.3">
      <c r="A15" s="36"/>
      <c r="B15" s="36"/>
      <c r="C15" s="36"/>
      <c r="D15" s="36"/>
      <c r="E15" s="36"/>
      <c r="F15" s="21" t="s">
        <v>139</v>
      </c>
      <c r="G15" s="22">
        <f>'direct N2O manure manag'!C13</f>
        <v>1.1785714285714285E-2</v>
      </c>
      <c r="H15" s="21" t="s">
        <v>141</v>
      </c>
      <c r="I15" s="21" t="s">
        <v>97</v>
      </c>
    </row>
    <row r="16" spans="1:14" ht="38.549999999999997" customHeight="1" x14ac:dyDescent="0.3">
      <c r="A16" s="36"/>
      <c r="B16" s="36"/>
      <c r="C16" s="36"/>
      <c r="D16" s="36" t="s">
        <v>96</v>
      </c>
      <c r="E16" s="36" t="s">
        <v>131</v>
      </c>
      <c r="F16" s="21" t="s">
        <v>140</v>
      </c>
      <c r="G16" s="22">
        <f>'N lixiviado'!C11</f>
        <v>1.3125000000000001E-2</v>
      </c>
      <c r="H16" s="21" t="s">
        <v>141</v>
      </c>
      <c r="I16" s="21" t="s">
        <v>97</v>
      </c>
    </row>
    <row r="17" spans="1:9" ht="70.8" x14ac:dyDescent="0.3">
      <c r="A17" s="36"/>
      <c r="B17" s="36"/>
      <c r="C17" s="36"/>
      <c r="D17" s="36"/>
      <c r="E17" s="36"/>
      <c r="F17" s="21" t="s">
        <v>142</v>
      </c>
      <c r="G17" s="22">
        <f>'N volatilization '!C11</f>
        <v>0.11249999999999999</v>
      </c>
      <c r="H17" s="21" t="s">
        <v>141</v>
      </c>
      <c r="I17" s="21" t="s">
        <v>97</v>
      </c>
    </row>
    <row r="18" spans="1:9" ht="70.8" x14ac:dyDescent="0.3">
      <c r="A18" s="36"/>
      <c r="B18" s="36"/>
      <c r="C18" s="36"/>
      <c r="D18" s="36"/>
      <c r="E18" s="36" t="s">
        <v>95</v>
      </c>
      <c r="F18" s="21" t="s">
        <v>143</v>
      </c>
      <c r="G18" s="22">
        <f>'N20 inidrecto'!B37</f>
        <v>2.26875E-4</v>
      </c>
      <c r="H18" s="21" t="s">
        <v>141</v>
      </c>
      <c r="I18" s="21" t="s">
        <v>97</v>
      </c>
    </row>
    <row r="19" spans="1:9" ht="70.8" x14ac:dyDescent="0.3">
      <c r="A19" s="36"/>
      <c r="B19" s="36"/>
      <c r="C19" s="36"/>
      <c r="D19" s="36"/>
      <c r="E19" s="36"/>
      <c r="F19" s="21" t="s">
        <v>144</v>
      </c>
      <c r="G19" s="22">
        <f>'N20 inidrecto'!B10</f>
        <v>2.4749999999999993E-3</v>
      </c>
      <c r="H19" s="21" t="s">
        <v>141</v>
      </c>
      <c r="I19" s="21" t="s">
        <v>97</v>
      </c>
    </row>
    <row r="20" spans="1:9" ht="38.4" x14ac:dyDescent="0.3">
      <c r="A20" s="36"/>
      <c r="B20" s="36"/>
      <c r="C20" s="36"/>
      <c r="D20" s="36"/>
      <c r="E20" s="36" t="s">
        <v>115</v>
      </c>
      <c r="F20" s="21" t="s">
        <v>145</v>
      </c>
      <c r="G20" s="22">
        <f>(G16-G18)*0.5+(G17-G19)*0.5</f>
        <v>6.146156249999999E-2</v>
      </c>
      <c r="H20" s="21" t="s">
        <v>141</v>
      </c>
      <c r="I20" s="21" t="s">
        <v>97</v>
      </c>
    </row>
    <row r="21" spans="1:9" ht="40.200000000000003" x14ac:dyDescent="0.3">
      <c r="A21" s="36"/>
      <c r="B21" s="36"/>
      <c r="C21" s="36"/>
      <c r="D21" s="36"/>
      <c r="E21" s="36"/>
      <c r="F21" s="24" t="s">
        <v>146</v>
      </c>
      <c r="G21" s="22">
        <f>(G16-G18)*0.5+(G17-G19)*0.5</f>
        <v>6.146156249999999E-2</v>
      </c>
      <c r="H21" s="21" t="s">
        <v>141</v>
      </c>
      <c r="I21" s="21" t="s">
        <v>97</v>
      </c>
    </row>
    <row r="22" spans="1:9" ht="38.4" x14ac:dyDescent="0.3">
      <c r="A22" s="36" t="s">
        <v>174</v>
      </c>
      <c r="B22" s="36" t="s">
        <v>120</v>
      </c>
      <c r="C22" s="36" t="s">
        <v>130</v>
      </c>
      <c r="D22" s="36" t="s">
        <v>94</v>
      </c>
      <c r="E22" s="36" t="s">
        <v>95</v>
      </c>
      <c r="F22" s="21" t="s">
        <v>137</v>
      </c>
      <c r="G22" s="22">
        <f>'CH4 manure manag'!C12</f>
        <v>0.51830000000000009</v>
      </c>
      <c r="H22" s="21" t="s">
        <v>141</v>
      </c>
      <c r="I22" s="21" t="s">
        <v>97</v>
      </c>
    </row>
    <row r="23" spans="1:9" ht="38.4" x14ac:dyDescent="0.3">
      <c r="A23" s="36"/>
      <c r="B23" s="36"/>
      <c r="C23" s="36"/>
      <c r="D23" s="36"/>
      <c r="E23" s="36"/>
      <c r="F23" s="21" t="s">
        <v>139</v>
      </c>
      <c r="G23" s="22">
        <f>'CH4 Tier 2'!B13</f>
        <v>25.162199471999998</v>
      </c>
      <c r="H23" s="21" t="s">
        <v>141</v>
      </c>
      <c r="I23" s="21" t="s">
        <v>97</v>
      </c>
    </row>
    <row r="24" spans="1:9" ht="38.549999999999997" customHeight="1" x14ac:dyDescent="0.3">
      <c r="A24" s="36"/>
      <c r="B24" s="36"/>
      <c r="C24" s="36"/>
      <c r="D24" s="36" t="s">
        <v>96</v>
      </c>
      <c r="E24" s="36" t="s">
        <v>131</v>
      </c>
      <c r="F24" s="21" t="s">
        <v>140</v>
      </c>
      <c r="G24" s="22">
        <f>'N lixiviado'!C12</f>
        <v>0</v>
      </c>
      <c r="H24" s="21" t="s">
        <v>141</v>
      </c>
      <c r="I24" s="21" t="s">
        <v>97</v>
      </c>
    </row>
    <row r="25" spans="1:9" ht="70.8" x14ac:dyDescent="0.3">
      <c r="A25" s="36"/>
      <c r="B25" s="36"/>
      <c r="C25" s="36"/>
      <c r="D25" s="36"/>
      <c r="E25" s="36"/>
      <c r="F25" s="21" t="s">
        <v>142</v>
      </c>
      <c r="G25" s="22">
        <f>'N volatilization '!C12</f>
        <v>2.6250000000000002E-2</v>
      </c>
      <c r="H25" s="21" t="s">
        <v>141</v>
      </c>
      <c r="I25" s="21" t="s">
        <v>97</v>
      </c>
    </row>
    <row r="26" spans="1:9" ht="70.8" x14ac:dyDescent="0.3">
      <c r="A26" s="36"/>
      <c r="B26" s="36"/>
      <c r="C26" s="36"/>
      <c r="D26" s="36"/>
      <c r="E26" s="36" t="s">
        <v>95</v>
      </c>
      <c r="F26" s="21" t="s">
        <v>143</v>
      </c>
      <c r="G26" s="22">
        <f>'N20 inidrecto'!B38</f>
        <v>0</v>
      </c>
      <c r="H26" s="21" t="s">
        <v>141</v>
      </c>
      <c r="I26" s="21" t="s">
        <v>97</v>
      </c>
    </row>
    <row r="27" spans="1:9" ht="70.8" x14ac:dyDescent="0.3">
      <c r="A27" s="36"/>
      <c r="B27" s="36"/>
      <c r="C27" s="36"/>
      <c r="D27" s="36"/>
      <c r="E27" s="36"/>
      <c r="F27" s="21" t="s">
        <v>144</v>
      </c>
      <c r="G27" s="22">
        <f>'N volatilization '!B11</f>
        <v>0.3</v>
      </c>
      <c r="H27" s="21" t="s">
        <v>141</v>
      </c>
      <c r="I27" s="21" t="s">
        <v>97</v>
      </c>
    </row>
    <row r="28" spans="1:9" ht="38.4" x14ac:dyDescent="0.3">
      <c r="A28" s="36"/>
      <c r="B28" s="36"/>
      <c r="C28" s="36"/>
      <c r="D28" s="36"/>
      <c r="E28" s="36" t="s">
        <v>115</v>
      </c>
      <c r="F28" s="21" t="s">
        <v>145</v>
      </c>
      <c r="G28" s="22">
        <f>(G24-G26)*0.5+(G25-G27)*0.5</f>
        <v>-0.136875</v>
      </c>
      <c r="H28" s="21" t="s">
        <v>147</v>
      </c>
      <c r="I28" s="21" t="s">
        <v>97</v>
      </c>
    </row>
    <row r="29" spans="1:9" ht="40.200000000000003" x14ac:dyDescent="0.3">
      <c r="A29" s="36"/>
      <c r="B29" s="36"/>
      <c r="C29" s="36"/>
      <c r="D29" s="36"/>
      <c r="E29" s="36"/>
      <c r="F29" s="24" t="s">
        <v>146</v>
      </c>
      <c r="G29" s="22">
        <f>(G24-G26)*0.5+(G25-G27)*0.5</f>
        <v>-0.136875</v>
      </c>
      <c r="H29" s="21" t="s">
        <v>148</v>
      </c>
      <c r="I29" s="21" t="s">
        <v>97</v>
      </c>
    </row>
    <row r="30" spans="1:9" ht="38.4" x14ac:dyDescent="0.3">
      <c r="A30" s="36" t="s">
        <v>178</v>
      </c>
      <c r="B30" s="36" t="s">
        <v>121</v>
      </c>
      <c r="C30" s="36" t="s">
        <v>175</v>
      </c>
      <c r="D30" s="36" t="s">
        <v>94</v>
      </c>
      <c r="E30" s="36" t="s">
        <v>95</v>
      </c>
      <c r="F30" s="21" t="s">
        <v>137</v>
      </c>
      <c r="G30" s="22">
        <f>'CH4 Tier 2'!B14</f>
        <v>654.21718627199994</v>
      </c>
      <c r="H30" s="21" t="s">
        <v>141</v>
      </c>
      <c r="I30" s="21" t="s">
        <v>97</v>
      </c>
    </row>
    <row r="31" spans="1:9" ht="38.4" x14ac:dyDescent="0.3">
      <c r="A31" s="36"/>
      <c r="B31" s="36"/>
      <c r="C31" s="36"/>
      <c r="D31" s="36"/>
      <c r="E31" s="36"/>
      <c r="F31" s="21" t="s">
        <v>139</v>
      </c>
      <c r="G31" s="22">
        <f>'direct N2O manure manag'!C15</f>
        <v>2.9464285714285712E-3</v>
      </c>
      <c r="H31" s="21" t="s">
        <v>141</v>
      </c>
      <c r="I31" s="21" t="s">
        <v>97</v>
      </c>
    </row>
    <row r="32" spans="1:9" ht="38.549999999999997" customHeight="1" x14ac:dyDescent="0.3">
      <c r="A32" s="36"/>
      <c r="B32" s="36"/>
      <c r="C32" s="36"/>
      <c r="D32" s="36" t="s">
        <v>96</v>
      </c>
      <c r="E32" s="36" t="s">
        <v>131</v>
      </c>
      <c r="F32" s="21" t="s">
        <v>140</v>
      </c>
      <c r="G32" s="22">
        <f>'N lixiviado'!C13</f>
        <v>0</v>
      </c>
      <c r="H32" s="21" t="s">
        <v>141</v>
      </c>
      <c r="I32" s="21" t="s">
        <v>97</v>
      </c>
    </row>
    <row r="33" spans="1:9" ht="70.8" x14ac:dyDescent="0.3">
      <c r="A33" s="36"/>
      <c r="B33" s="36"/>
      <c r="C33" s="36"/>
      <c r="D33" s="36"/>
      <c r="E33" s="36"/>
      <c r="F33" s="21" t="s">
        <v>142</v>
      </c>
      <c r="G33" s="22">
        <f>'N volatilization '!C13</f>
        <v>3.7500000000000006E-2</v>
      </c>
      <c r="H33" s="21" t="s">
        <v>141</v>
      </c>
      <c r="I33" s="21" t="s">
        <v>97</v>
      </c>
    </row>
    <row r="34" spans="1:9" ht="70.8" x14ac:dyDescent="0.3">
      <c r="A34" s="36"/>
      <c r="B34" s="36"/>
      <c r="C34" s="36"/>
      <c r="D34" s="36"/>
      <c r="E34" s="36" t="s">
        <v>95</v>
      </c>
      <c r="F34" s="21" t="s">
        <v>143</v>
      </c>
      <c r="G34" s="22">
        <f>'N20 inidrecto'!B39</f>
        <v>0</v>
      </c>
      <c r="H34" s="21" t="s">
        <v>141</v>
      </c>
      <c r="I34" s="21" t="s">
        <v>97</v>
      </c>
    </row>
    <row r="35" spans="1:9" ht="70.8" x14ac:dyDescent="0.3">
      <c r="A35" s="36"/>
      <c r="B35" s="36"/>
      <c r="C35" s="36"/>
      <c r="D35" s="36"/>
      <c r="E35" s="36"/>
      <c r="F35" s="21" t="s">
        <v>144</v>
      </c>
      <c r="G35" s="22">
        <f>'N20 inidrecto'!B12</f>
        <v>8.250000000000001E-4</v>
      </c>
      <c r="H35" s="21" t="s">
        <v>141</v>
      </c>
      <c r="I35" s="21" t="s">
        <v>97</v>
      </c>
    </row>
    <row r="36" spans="1:9" ht="38.4" x14ac:dyDescent="0.3">
      <c r="A36" s="36"/>
      <c r="B36" s="36"/>
      <c r="C36" s="36"/>
      <c r="D36" s="36"/>
      <c r="E36" s="36" t="s">
        <v>115</v>
      </c>
      <c r="F36" s="21" t="s">
        <v>145</v>
      </c>
      <c r="G36" s="22">
        <f>(G32-G34)*0.5+(G33-G35)*0.5</f>
        <v>1.8337500000000003E-2</v>
      </c>
      <c r="H36" s="21" t="s">
        <v>141</v>
      </c>
      <c r="I36" s="21" t="s">
        <v>97</v>
      </c>
    </row>
    <row r="37" spans="1:9" ht="40.200000000000003" x14ac:dyDescent="0.3">
      <c r="A37" s="37"/>
      <c r="B37" s="37"/>
      <c r="C37" s="37"/>
      <c r="D37" s="37"/>
      <c r="E37" s="37"/>
      <c r="F37" s="26" t="s">
        <v>146</v>
      </c>
      <c r="G37" s="27">
        <f>(G32-G34)*0.5+(G33-G35)*0.5</f>
        <v>1.8337500000000003E-2</v>
      </c>
      <c r="H37" s="25" t="s">
        <v>141</v>
      </c>
      <c r="I37" s="25" t="s">
        <v>97</v>
      </c>
    </row>
    <row r="38" spans="1:9" ht="37.950000000000003" customHeight="1" x14ac:dyDescent="0.3">
      <c r="A38" s="36" t="s">
        <v>177</v>
      </c>
      <c r="B38" s="41" t="s">
        <v>121</v>
      </c>
      <c r="C38" s="36" t="s">
        <v>175</v>
      </c>
      <c r="D38" s="36" t="s">
        <v>94</v>
      </c>
      <c r="E38" s="36" t="s">
        <v>95</v>
      </c>
      <c r="F38" s="21" t="s">
        <v>137</v>
      </c>
      <c r="G38" s="22">
        <f>'CH4 Tier 2'!B15</f>
        <v>0</v>
      </c>
      <c r="H38" s="21" t="s">
        <v>141</v>
      </c>
      <c r="I38" s="21" t="s">
        <v>97</v>
      </c>
    </row>
    <row r="39" spans="1:9" ht="38.4" x14ac:dyDescent="0.3">
      <c r="A39" s="36"/>
      <c r="B39" s="36"/>
      <c r="C39" s="36"/>
      <c r="D39" s="36"/>
      <c r="E39" s="36"/>
      <c r="F39" s="21" t="s">
        <v>139</v>
      </c>
      <c r="G39" s="22">
        <f>'direct N2O manure manag'!C16</f>
        <v>5.8928571428571424E-3</v>
      </c>
      <c r="H39" s="21" t="s">
        <v>141</v>
      </c>
      <c r="I39" s="21" t="s">
        <v>97</v>
      </c>
    </row>
    <row r="40" spans="1:9" ht="38.4" x14ac:dyDescent="0.3">
      <c r="A40" s="36"/>
      <c r="B40" s="36"/>
      <c r="C40" s="36"/>
      <c r="D40" s="36" t="s">
        <v>96</v>
      </c>
      <c r="E40" s="36" t="s">
        <v>131</v>
      </c>
      <c r="F40" s="21" t="s">
        <v>140</v>
      </c>
      <c r="G40" s="22">
        <f>'N lixiviado'!C14</f>
        <v>0</v>
      </c>
      <c r="H40" s="21" t="s">
        <v>141</v>
      </c>
      <c r="I40" s="21" t="s">
        <v>97</v>
      </c>
    </row>
    <row r="41" spans="1:9" ht="70.8" x14ac:dyDescent="0.3">
      <c r="A41" s="36"/>
      <c r="B41" s="36"/>
      <c r="C41" s="36"/>
      <c r="D41" s="36"/>
      <c r="E41" s="36"/>
      <c r="F41" s="21" t="s">
        <v>142</v>
      </c>
      <c r="G41" s="22">
        <f>'N volatilization '!C14</f>
        <v>3.7500000000000006E-2</v>
      </c>
      <c r="H41" s="21" t="s">
        <v>141</v>
      </c>
      <c r="I41" s="21" t="s">
        <v>97</v>
      </c>
    </row>
    <row r="42" spans="1:9" ht="70.8" x14ac:dyDescent="0.3">
      <c r="A42" s="36"/>
      <c r="B42" s="36"/>
      <c r="C42" s="36"/>
      <c r="D42" s="36"/>
      <c r="E42" s="36" t="s">
        <v>95</v>
      </c>
      <c r="F42" s="21" t="s">
        <v>143</v>
      </c>
      <c r="G42" s="22">
        <f>'N20 inidrecto'!B40</f>
        <v>0</v>
      </c>
      <c r="H42" s="21" t="s">
        <v>141</v>
      </c>
      <c r="I42" s="21" t="s">
        <v>97</v>
      </c>
    </row>
    <row r="43" spans="1:9" ht="70.8" x14ac:dyDescent="0.3">
      <c r="A43" s="36"/>
      <c r="B43" s="36"/>
      <c r="C43" s="36"/>
      <c r="D43" s="36"/>
      <c r="E43" s="36"/>
      <c r="F43" s="21" t="s">
        <v>144</v>
      </c>
      <c r="G43" s="22">
        <f>'N20 inidrecto'!B13</f>
        <v>8.250000000000001E-4</v>
      </c>
      <c r="H43" s="21" t="s">
        <v>141</v>
      </c>
      <c r="I43" s="21" t="s">
        <v>97</v>
      </c>
    </row>
    <row r="44" spans="1:9" ht="38.4" x14ac:dyDescent="0.3">
      <c r="A44" s="36"/>
      <c r="B44" s="36"/>
      <c r="C44" s="36"/>
      <c r="D44" s="36"/>
      <c r="E44" s="36" t="s">
        <v>115</v>
      </c>
      <c r="F44" s="21" t="s">
        <v>145</v>
      </c>
      <c r="G44" s="22">
        <f>(G40-G42)*0.5+(G41-G43)*0.5</f>
        <v>1.8337500000000003E-2</v>
      </c>
      <c r="H44" s="21" t="s">
        <v>141</v>
      </c>
      <c r="I44" s="21" t="s">
        <v>97</v>
      </c>
    </row>
    <row r="45" spans="1:9" ht="40.200000000000003" x14ac:dyDescent="0.3">
      <c r="A45" s="37"/>
      <c r="B45" s="37"/>
      <c r="C45" s="37"/>
      <c r="D45" s="37"/>
      <c r="E45" s="37"/>
      <c r="F45" s="26" t="s">
        <v>146</v>
      </c>
      <c r="G45" s="27">
        <f>(G40-G42)*0.5+(G41-G43)*0.5</f>
        <v>1.8337500000000003E-2</v>
      </c>
      <c r="H45" s="25" t="s">
        <v>141</v>
      </c>
      <c r="I45" s="25" t="s">
        <v>97</v>
      </c>
    </row>
    <row r="46" spans="1:9" ht="64.8" x14ac:dyDescent="0.3">
      <c r="A46" s="36" t="s">
        <v>181</v>
      </c>
      <c r="B46" s="41" t="s">
        <v>119</v>
      </c>
      <c r="C46" s="36" t="s">
        <v>180</v>
      </c>
      <c r="D46" s="30" t="s">
        <v>94</v>
      </c>
      <c r="E46" s="21" t="s">
        <v>95</v>
      </c>
      <c r="F46" s="24" t="s">
        <v>139</v>
      </c>
      <c r="G46" s="22">
        <f>suelo_N20directo!C4</f>
        <v>3.3171428571428575E-3</v>
      </c>
      <c r="H46" s="21" t="s">
        <v>141</v>
      </c>
      <c r="I46" s="25" t="s">
        <v>97</v>
      </c>
    </row>
    <row r="47" spans="1:9" ht="38.4" x14ac:dyDescent="0.3">
      <c r="A47" s="36"/>
      <c r="B47" s="36"/>
      <c r="C47" s="36"/>
      <c r="D47" s="36" t="s">
        <v>96</v>
      </c>
      <c r="E47" s="36" t="s">
        <v>131</v>
      </c>
      <c r="F47" s="21" t="s">
        <v>140</v>
      </c>
      <c r="G47" s="22">
        <f>suelo_N20indirecto!C5/suelo_N20indirecto!B6</f>
        <v>0.13268571428571427</v>
      </c>
      <c r="H47" s="21" t="s">
        <v>141</v>
      </c>
      <c r="I47" s="25" t="s">
        <v>97</v>
      </c>
    </row>
    <row r="48" spans="1:9" ht="70.8" x14ac:dyDescent="0.3">
      <c r="A48" s="36"/>
      <c r="B48" s="36"/>
      <c r="C48" s="36"/>
      <c r="D48" s="36"/>
      <c r="E48" s="36"/>
      <c r="F48" s="21" t="s">
        <v>142</v>
      </c>
      <c r="G48" s="22">
        <f>suelo_N20indirecto!B18/suelo_N20indirecto!B19</f>
        <v>6.7724999999999994E-2</v>
      </c>
      <c r="H48" s="21" t="s">
        <v>141</v>
      </c>
      <c r="I48" s="25" t="s">
        <v>97</v>
      </c>
    </row>
    <row r="49" spans="1:9" ht="70.8" x14ac:dyDescent="0.3">
      <c r="A49" s="36"/>
      <c r="B49" s="36"/>
      <c r="C49" s="36"/>
      <c r="D49" s="36"/>
      <c r="E49" s="36" t="s">
        <v>95</v>
      </c>
      <c r="F49" s="21" t="s">
        <v>143</v>
      </c>
      <c r="G49" s="22">
        <f>suelo_N20indirecto!C5</f>
        <v>1.4595428571428568E-3</v>
      </c>
      <c r="H49" s="21" t="s">
        <v>141</v>
      </c>
      <c r="I49" s="25" t="s">
        <v>97</v>
      </c>
    </row>
    <row r="50" spans="1:9" ht="70.8" x14ac:dyDescent="0.3">
      <c r="A50" s="36"/>
      <c r="B50" s="36"/>
      <c r="C50" s="36"/>
      <c r="D50" s="36"/>
      <c r="E50" s="36"/>
      <c r="F50" s="21" t="s">
        <v>144</v>
      </c>
      <c r="G50" s="22">
        <f>suelo_N20indirecto!B18</f>
        <v>9.4814999999999993E-4</v>
      </c>
      <c r="H50" s="21" t="s">
        <v>141</v>
      </c>
      <c r="I50" s="25" t="s">
        <v>97</v>
      </c>
    </row>
    <row r="51" spans="1:9" ht="38.4" x14ac:dyDescent="0.3">
      <c r="A51" s="36"/>
      <c r="B51" s="36"/>
      <c r="C51" s="36"/>
      <c r="D51" s="36"/>
      <c r="E51" s="36" t="s">
        <v>115</v>
      </c>
      <c r="F51" s="21" t="s">
        <v>145</v>
      </c>
      <c r="G51" s="22">
        <f>(G47-G49)*0.5+(G48-G50)*0.5</f>
        <v>9.9001510714285701E-2</v>
      </c>
      <c r="H51" s="21" t="s">
        <v>141</v>
      </c>
      <c r="I51" s="25" t="s">
        <v>97</v>
      </c>
    </row>
    <row r="52" spans="1:9" ht="40.200000000000003" x14ac:dyDescent="0.3">
      <c r="A52" s="37"/>
      <c r="B52" s="37"/>
      <c r="C52" s="37"/>
      <c r="D52" s="37"/>
      <c r="E52" s="37"/>
      <c r="F52" s="26" t="s">
        <v>146</v>
      </c>
      <c r="G52" s="27">
        <f>(G47-G49)*0.5+(G48-G50)*0.5</f>
        <v>9.9001510714285701E-2</v>
      </c>
      <c r="H52" s="25" t="s">
        <v>141</v>
      </c>
      <c r="I52" s="25" t="s">
        <v>97</v>
      </c>
    </row>
  </sheetData>
  <mergeCells count="53">
    <mergeCell ref="A2:I2"/>
    <mergeCell ref="E12:E13"/>
    <mergeCell ref="A14:A21"/>
    <mergeCell ref="E20:E21"/>
    <mergeCell ref="E18:E19"/>
    <mergeCell ref="E16:E17"/>
    <mergeCell ref="C6:C13"/>
    <mergeCell ref="E10:E11"/>
    <mergeCell ref="E8:E9"/>
    <mergeCell ref="C14:C21"/>
    <mergeCell ref="A6:A13"/>
    <mergeCell ref="E6:E7"/>
    <mergeCell ref="B6:B13"/>
    <mergeCell ref="E14:E15"/>
    <mergeCell ref="D6:D7"/>
    <mergeCell ref="D8:D13"/>
    <mergeCell ref="A22:A29"/>
    <mergeCell ref="C22:C29"/>
    <mergeCell ref="E22:E23"/>
    <mergeCell ref="E30:E31"/>
    <mergeCell ref="E28:E29"/>
    <mergeCell ref="E26:E27"/>
    <mergeCell ref="E24:E25"/>
    <mergeCell ref="B22:B29"/>
    <mergeCell ref="B30:B37"/>
    <mergeCell ref="E36:E37"/>
    <mergeCell ref="D22:D23"/>
    <mergeCell ref="D24:D29"/>
    <mergeCell ref="A30:A37"/>
    <mergeCell ref="C30:C37"/>
    <mergeCell ref="A38:A45"/>
    <mergeCell ref="D38:D39"/>
    <mergeCell ref="B38:B45"/>
    <mergeCell ref="C38:C45"/>
    <mergeCell ref="E34:E35"/>
    <mergeCell ref="B14:B21"/>
    <mergeCell ref="D14:D15"/>
    <mergeCell ref="D16:D21"/>
    <mergeCell ref="E38:E39"/>
    <mergeCell ref="D40:D45"/>
    <mergeCell ref="E40:E41"/>
    <mergeCell ref="E42:E43"/>
    <mergeCell ref="E44:E45"/>
    <mergeCell ref="D30:D31"/>
    <mergeCell ref="D32:D37"/>
    <mergeCell ref="E32:E33"/>
    <mergeCell ref="A46:A52"/>
    <mergeCell ref="B46:B52"/>
    <mergeCell ref="C46:C52"/>
    <mergeCell ref="D47:D52"/>
    <mergeCell ref="E47:E48"/>
    <mergeCell ref="E49:E50"/>
    <mergeCell ref="E51:E52"/>
  </mergeCells>
  <phoneticPr fontId="5" type="noConversion"/>
  <pageMargins left="0.7" right="0.7" top="0.75" bottom="0.75" header="0.3" footer="0.3"/>
  <pageSetup orientation="portrait" r:id="rId1"/>
  <ignoredErrors>
    <ignoredError sqref="G9:G10" formula="1"/>
  </ignoredError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FEB2FB-7EAF-4B53-9F5F-A7748674024B}">
  <dimension ref="A2:N52"/>
  <sheetViews>
    <sheetView topLeftCell="A4" zoomScale="55" zoomScaleNormal="55" workbookViewId="0">
      <selection activeCell="H34" sqref="H34"/>
    </sheetView>
  </sheetViews>
  <sheetFormatPr baseColWidth="10" defaultRowHeight="14.4" x14ac:dyDescent="0.3"/>
  <cols>
    <col min="1" max="1" width="60.77734375" customWidth="1"/>
    <col min="2" max="2" width="21.44140625" customWidth="1"/>
    <col min="3" max="3" width="36.33203125" customWidth="1"/>
    <col min="4" max="4" width="17.77734375" customWidth="1"/>
    <col min="5" max="5" width="33.21875" customWidth="1"/>
    <col min="6" max="6" width="24.6640625" customWidth="1"/>
    <col min="7" max="7" width="18.5546875" bestFit="1" customWidth="1"/>
    <col min="8" max="8" width="42.44140625" customWidth="1"/>
    <col min="9" max="9" width="46.5546875" customWidth="1"/>
  </cols>
  <sheetData>
    <row r="2" spans="1:14" ht="25.2" x14ac:dyDescent="0.3">
      <c r="A2" s="38" t="s">
        <v>135</v>
      </c>
      <c r="B2" s="38"/>
      <c r="C2" s="38"/>
      <c r="D2" s="38"/>
      <c r="E2" s="38"/>
      <c r="F2" s="38"/>
      <c r="G2" s="38"/>
      <c r="H2" s="38"/>
      <c r="I2" s="38"/>
    </row>
    <row r="3" spans="1:14" ht="64.8" x14ac:dyDescent="0.3">
      <c r="A3" s="20" t="s">
        <v>132</v>
      </c>
      <c r="B3" s="20" t="s">
        <v>116</v>
      </c>
      <c r="C3" s="20" t="s">
        <v>112</v>
      </c>
      <c r="D3" s="20" t="s">
        <v>128</v>
      </c>
      <c r="E3" s="20" t="s">
        <v>92</v>
      </c>
      <c r="F3" s="20" t="s">
        <v>100</v>
      </c>
      <c r="G3" s="20" t="s">
        <v>99</v>
      </c>
      <c r="H3" s="20" t="s">
        <v>98</v>
      </c>
      <c r="I3" s="20" t="s">
        <v>89</v>
      </c>
      <c r="J3" s="17"/>
      <c r="K3" s="17"/>
      <c r="L3" s="17"/>
      <c r="M3" s="17"/>
      <c r="N3" s="17"/>
    </row>
    <row r="4" spans="1:14" ht="69.599999999999994" x14ac:dyDescent="0.3">
      <c r="A4" s="21" t="s">
        <v>176</v>
      </c>
      <c r="B4" s="21" t="s">
        <v>119</v>
      </c>
      <c r="C4" s="21" t="s">
        <v>113</v>
      </c>
      <c r="D4" s="21" t="s">
        <v>93</v>
      </c>
      <c r="E4" s="21" t="s">
        <v>93</v>
      </c>
      <c r="F4" s="21" t="s">
        <v>93</v>
      </c>
      <c r="G4" s="22">
        <v>25</v>
      </c>
      <c r="H4" s="21" t="s">
        <v>136</v>
      </c>
      <c r="I4" s="21" t="s">
        <v>90</v>
      </c>
    </row>
    <row r="5" spans="1:14" ht="67.5" customHeight="1" x14ac:dyDescent="0.3">
      <c r="A5" s="21" t="s">
        <v>129</v>
      </c>
      <c r="B5" s="21" t="s">
        <v>120</v>
      </c>
      <c r="C5" s="21" t="s">
        <v>113</v>
      </c>
      <c r="D5" s="21" t="s">
        <v>93</v>
      </c>
      <c r="E5" s="21" t="s">
        <v>93</v>
      </c>
      <c r="F5" s="21" t="s">
        <v>93</v>
      </c>
      <c r="G5" s="22">
        <v>13.6</v>
      </c>
      <c r="H5" s="21" t="s">
        <v>118</v>
      </c>
      <c r="I5" s="21" t="s">
        <v>117</v>
      </c>
    </row>
    <row r="6" spans="1:14" ht="74.400000000000006" x14ac:dyDescent="0.3">
      <c r="A6" s="36" t="s">
        <v>173</v>
      </c>
      <c r="B6" s="36" t="s">
        <v>120</v>
      </c>
      <c r="C6" s="36" t="s">
        <v>114</v>
      </c>
      <c r="D6" s="36" t="s">
        <v>94</v>
      </c>
      <c r="E6" s="36" t="s">
        <v>95</v>
      </c>
      <c r="F6" s="21" t="s">
        <v>137</v>
      </c>
      <c r="G6" s="22">
        <f>7.6*365/(12*7)</f>
        <v>33.023809523809526</v>
      </c>
      <c r="H6" s="21" t="s">
        <v>138</v>
      </c>
      <c r="I6" s="21" t="s">
        <v>91</v>
      </c>
    </row>
    <row r="7" spans="1:14" ht="74.400000000000006" x14ac:dyDescent="0.3">
      <c r="A7" s="36"/>
      <c r="B7" s="36"/>
      <c r="C7" s="36"/>
      <c r="D7" s="36"/>
      <c r="E7" s="36"/>
      <c r="F7" s="21" t="s">
        <v>139</v>
      </c>
      <c r="G7" s="23">
        <f>0.00003943*365/(12*7)</f>
        <v>1.7133273809523809E-4</v>
      </c>
      <c r="H7" s="21" t="s">
        <v>138</v>
      </c>
      <c r="I7" s="21" t="s">
        <v>91</v>
      </c>
      <c r="K7" s="14"/>
    </row>
    <row r="8" spans="1:14" ht="38.549999999999997" customHeight="1" x14ac:dyDescent="0.3">
      <c r="A8" s="36"/>
      <c r="B8" s="36"/>
      <c r="C8" s="36"/>
      <c r="D8" s="36" t="s">
        <v>96</v>
      </c>
      <c r="E8" s="36" t="s">
        <v>131</v>
      </c>
      <c r="F8" s="21" t="s">
        <v>140</v>
      </c>
      <c r="G8" s="22">
        <f>G16</f>
        <v>1.3125000000000001E-2</v>
      </c>
      <c r="H8" s="21" t="s">
        <v>141</v>
      </c>
      <c r="I8" s="21" t="s">
        <v>97</v>
      </c>
      <c r="K8" s="14"/>
    </row>
    <row r="9" spans="1:14" ht="70.8" x14ac:dyDescent="0.3">
      <c r="A9" s="36"/>
      <c r="B9" s="36"/>
      <c r="C9" s="36"/>
      <c r="D9" s="36"/>
      <c r="E9" s="36"/>
      <c r="F9" s="21" t="s">
        <v>142</v>
      </c>
      <c r="G9" s="22">
        <f>0</f>
        <v>0</v>
      </c>
      <c r="H9" s="21" t="s">
        <v>141</v>
      </c>
      <c r="I9" s="21" t="s">
        <v>133</v>
      </c>
      <c r="K9" s="14"/>
    </row>
    <row r="10" spans="1:14" ht="70.8" x14ac:dyDescent="0.3">
      <c r="A10" s="36"/>
      <c r="B10" s="36"/>
      <c r="C10" s="36"/>
      <c r="D10" s="36"/>
      <c r="E10" s="36" t="s">
        <v>95</v>
      </c>
      <c r="F10" s="21" t="s">
        <v>143</v>
      </c>
      <c r="G10" s="22">
        <f t="shared" ref="G10" si="0">G18</f>
        <v>2.26875E-4</v>
      </c>
      <c r="H10" s="21" t="s">
        <v>141</v>
      </c>
      <c r="I10" s="21" t="s">
        <v>97</v>
      </c>
      <c r="K10" s="14"/>
    </row>
    <row r="11" spans="1:14" ht="70.8" x14ac:dyDescent="0.3">
      <c r="A11" s="36"/>
      <c r="B11" s="36"/>
      <c r="C11" s="36"/>
      <c r="D11" s="36"/>
      <c r="E11" s="36"/>
      <c r="F11" s="21" t="s">
        <v>144</v>
      </c>
      <c r="G11" s="22">
        <f>0</f>
        <v>0</v>
      </c>
      <c r="H11" s="21" t="s">
        <v>141</v>
      </c>
      <c r="I11" s="21" t="s">
        <v>97</v>
      </c>
      <c r="K11" s="14"/>
    </row>
    <row r="12" spans="1:14" ht="74.400000000000006" x14ac:dyDescent="0.3">
      <c r="A12" s="36"/>
      <c r="B12" s="36"/>
      <c r="C12" s="36"/>
      <c r="D12" s="36"/>
      <c r="E12" s="36" t="s">
        <v>115</v>
      </c>
      <c r="F12" s="21" t="s">
        <v>145</v>
      </c>
      <c r="G12" s="22">
        <f>(G9-G11)*0.5+(G8-G10)*0.5</f>
        <v>6.4490625000000008E-3</v>
      </c>
      <c r="H12" s="21" t="s">
        <v>138</v>
      </c>
      <c r="I12" s="21" t="s">
        <v>97</v>
      </c>
      <c r="K12" s="14"/>
    </row>
    <row r="13" spans="1:14" ht="40.200000000000003" x14ac:dyDescent="0.3">
      <c r="A13" s="36"/>
      <c r="B13" s="36"/>
      <c r="C13" s="36"/>
      <c r="D13" s="36"/>
      <c r="E13" s="36"/>
      <c r="F13" s="24" t="s">
        <v>146</v>
      </c>
      <c r="G13" s="22">
        <f>(G8-G10)*0.5+(G9-G11)*0.5</f>
        <v>6.4490625000000008E-3</v>
      </c>
      <c r="H13" s="21" t="s">
        <v>141</v>
      </c>
      <c r="I13" s="21" t="s">
        <v>97</v>
      </c>
    </row>
    <row r="14" spans="1:14" ht="38.4" x14ac:dyDescent="0.3">
      <c r="A14" s="36" t="s">
        <v>179</v>
      </c>
      <c r="B14" s="36" t="s">
        <v>120</v>
      </c>
      <c r="C14" s="36" t="s">
        <v>134</v>
      </c>
      <c r="D14" s="36" t="s">
        <v>94</v>
      </c>
      <c r="E14" s="36" t="s">
        <v>95</v>
      </c>
      <c r="F14" s="21" t="s">
        <v>137</v>
      </c>
      <c r="G14" s="22">
        <f>'CH4 Tier 2'!B12</f>
        <v>75.486598415999993</v>
      </c>
      <c r="H14" s="21" t="s">
        <v>141</v>
      </c>
      <c r="I14" s="21" t="s">
        <v>97</v>
      </c>
    </row>
    <row r="15" spans="1:14" ht="38.4" x14ac:dyDescent="0.3">
      <c r="A15" s="36"/>
      <c r="B15" s="36"/>
      <c r="C15" s="36"/>
      <c r="D15" s="36"/>
      <c r="E15" s="36"/>
      <c r="F15" s="21" t="s">
        <v>139</v>
      </c>
      <c r="G15" s="22">
        <f>'direct N2O manure manag'!C13</f>
        <v>1.1785714285714285E-2</v>
      </c>
      <c r="H15" s="21" t="s">
        <v>141</v>
      </c>
      <c r="I15" s="21" t="s">
        <v>97</v>
      </c>
    </row>
    <row r="16" spans="1:14" ht="38.549999999999997" customHeight="1" x14ac:dyDescent="0.3">
      <c r="A16" s="36"/>
      <c r="B16" s="36"/>
      <c r="C16" s="36"/>
      <c r="D16" s="36" t="s">
        <v>96</v>
      </c>
      <c r="E16" s="36" t="s">
        <v>131</v>
      </c>
      <c r="F16" s="21" t="s">
        <v>140</v>
      </c>
      <c r="G16" s="22">
        <f>'N lixiviado'!C11</f>
        <v>1.3125000000000001E-2</v>
      </c>
      <c r="H16" s="21" t="s">
        <v>141</v>
      </c>
      <c r="I16" s="21" t="s">
        <v>97</v>
      </c>
    </row>
    <row r="17" spans="1:9" ht="70.8" x14ac:dyDescent="0.3">
      <c r="A17" s="36"/>
      <c r="B17" s="36"/>
      <c r="C17" s="36"/>
      <c r="D17" s="36"/>
      <c r="E17" s="36"/>
      <c r="F17" s="21" t="s">
        <v>142</v>
      </c>
      <c r="G17" s="22">
        <f>'N volatilization '!C11</f>
        <v>0.11249999999999999</v>
      </c>
      <c r="H17" s="21" t="s">
        <v>141</v>
      </c>
      <c r="I17" s="21" t="s">
        <v>97</v>
      </c>
    </row>
    <row r="18" spans="1:9" ht="70.8" x14ac:dyDescent="0.3">
      <c r="A18" s="36"/>
      <c r="B18" s="36"/>
      <c r="C18" s="36"/>
      <c r="D18" s="36"/>
      <c r="E18" s="36" t="s">
        <v>95</v>
      </c>
      <c r="F18" s="21" t="s">
        <v>143</v>
      </c>
      <c r="G18" s="22">
        <f>'N20 inidrecto'!B37</f>
        <v>2.26875E-4</v>
      </c>
      <c r="H18" s="21" t="s">
        <v>141</v>
      </c>
      <c r="I18" s="21" t="s">
        <v>97</v>
      </c>
    </row>
    <row r="19" spans="1:9" ht="70.8" x14ac:dyDescent="0.3">
      <c r="A19" s="36"/>
      <c r="B19" s="36"/>
      <c r="C19" s="36"/>
      <c r="D19" s="36"/>
      <c r="E19" s="36"/>
      <c r="F19" s="21" t="s">
        <v>144</v>
      </c>
      <c r="G19" s="22">
        <f>'N20 inidrecto'!B10</f>
        <v>2.4749999999999993E-3</v>
      </c>
      <c r="H19" s="21" t="s">
        <v>141</v>
      </c>
      <c r="I19" s="21" t="s">
        <v>97</v>
      </c>
    </row>
    <row r="20" spans="1:9" ht="38.4" x14ac:dyDescent="0.3">
      <c r="A20" s="36"/>
      <c r="B20" s="36"/>
      <c r="C20" s="36"/>
      <c r="D20" s="36"/>
      <c r="E20" s="36" t="s">
        <v>115</v>
      </c>
      <c r="F20" s="21" t="s">
        <v>145</v>
      </c>
      <c r="G20" s="22">
        <f>(G16-G18)*0.5+(G17-G19)*0.5</f>
        <v>6.146156249999999E-2</v>
      </c>
      <c r="H20" s="21" t="s">
        <v>141</v>
      </c>
      <c r="I20" s="21" t="s">
        <v>97</v>
      </c>
    </row>
    <row r="21" spans="1:9" ht="40.200000000000003" x14ac:dyDescent="0.3">
      <c r="A21" s="36"/>
      <c r="B21" s="36"/>
      <c r="C21" s="36"/>
      <c r="D21" s="36"/>
      <c r="E21" s="36"/>
      <c r="F21" s="24" t="s">
        <v>146</v>
      </c>
      <c r="G21" s="22">
        <f>(G16-G18)*0.5+(G17-G19)*0.5</f>
        <v>6.146156249999999E-2</v>
      </c>
      <c r="H21" s="21" t="s">
        <v>141</v>
      </c>
      <c r="I21" s="21" t="s">
        <v>97</v>
      </c>
    </row>
    <row r="22" spans="1:9" ht="38.4" x14ac:dyDescent="0.3">
      <c r="A22" s="36" t="s">
        <v>174</v>
      </c>
      <c r="B22" s="36" t="s">
        <v>120</v>
      </c>
      <c r="C22" s="36" t="s">
        <v>130</v>
      </c>
      <c r="D22" s="36" t="s">
        <v>94</v>
      </c>
      <c r="E22" s="36" t="s">
        <v>95</v>
      </c>
      <c r="F22" s="21" t="s">
        <v>137</v>
      </c>
      <c r="G22" s="22">
        <f>'CH4 manure manag'!C12</f>
        <v>0.51830000000000009</v>
      </c>
      <c r="H22" s="21" t="s">
        <v>141</v>
      </c>
      <c r="I22" s="21" t="s">
        <v>97</v>
      </c>
    </row>
    <row r="23" spans="1:9" ht="38.4" x14ac:dyDescent="0.3">
      <c r="A23" s="36"/>
      <c r="B23" s="36"/>
      <c r="C23" s="36"/>
      <c r="D23" s="36"/>
      <c r="E23" s="36"/>
      <c r="F23" s="21" t="s">
        <v>139</v>
      </c>
      <c r="G23" s="22">
        <f>'CH4 Tier 2'!B13</f>
        <v>25.162199471999998</v>
      </c>
      <c r="H23" s="21" t="s">
        <v>141</v>
      </c>
      <c r="I23" s="21" t="s">
        <v>97</v>
      </c>
    </row>
    <row r="24" spans="1:9" ht="38.549999999999997" customHeight="1" x14ac:dyDescent="0.3">
      <c r="A24" s="36"/>
      <c r="B24" s="36"/>
      <c r="C24" s="36"/>
      <c r="D24" s="36" t="s">
        <v>96</v>
      </c>
      <c r="E24" s="36" t="s">
        <v>131</v>
      </c>
      <c r="F24" s="21" t="s">
        <v>140</v>
      </c>
      <c r="G24" s="22">
        <f>'N lixiviado'!C12</f>
        <v>0</v>
      </c>
      <c r="H24" s="21" t="s">
        <v>141</v>
      </c>
      <c r="I24" s="21" t="s">
        <v>97</v>
      </c>
    </row>
    <row r="25" spans="1:9" ht="70.8" x14ac:dyDescent="0.3">
      <c r="A25" s="36"/>
      <c r="B25" s="36"/>
      <c r="C25" s="36"/>
      <c r="D25" s="36"/>
      <c r="E25" s="36"/>
      <c r="F25" s="21" t="s">
        <v>142</v>
      </c>
      <c r="G25" s="22">
        <f>'N volatilization '!C12</f>
        <v>2.6250000000000002E-2</v>
      </c>
      <c r="H25" s="21" t="s">
        <v>141</v>
      </c>
      <c r="I25" s="21" t="s">
        <v>97</v>
      </c>
    </row>
    <row r="26" spans="1:9" ht="70.8" x14ac:dyDescent="0.3">
      <c r="A26" s="36"/>
      <c r="B26" s="36"/>
      <c r="C26" s="36"/>
      <c r="D26" s="36"/>
      <c r="E26" s="36" t="s">
        <v>95</v>
      </c>
      <c r="F26" s="21" t="s">
        <v>143</v>
      </c>
      <c r="G26" s="22">
        <f>'N20 inidrecto'!B38</f>
        <v>0</v>
      </c>
      <c r="H26" s="21" t="s">
        <v>141</v>
      </c>
      <c r="I26" s="21" t="s">
        <v>97</v>
      </c>
    </row>
    <row r="27" spans="1:9" ht="70.8" x14ac:dyDescent="0.3">
      <c r="A27" s="36"/>
      <c r="B27" s="36"/>
      <c r="C27" s="36"/>
      <c r="D27" s="36"/>
      <c r="E27" s="36"/>
      <c r="F27" s="21" t="s">
        <v>144</v>
      </c>
      <c r="G27" s="22">
        <f>'N volatilization '!B11</f>
        <v>0.3</v>
      </c>
      <c r="H27" s="21" t="s">
        <v>141</v>
      </c>
      <c r="I27" s="21" t="s">
        <v>97</v>
      </c>
    </row>
    <row r="28" spans="1:9" ht="38.4" x14ac:dyDescent="0.3">
      <c r="A28" s="36"/>
      <c r="B28" s="36"/>
      <c r="C28" s="36"/>
      <c r="D28" s="36"/>
      <c r="E28" s="36" t="s">
        <v>115</v>
      </c>
      <c r="F28" s="21" t="s">
        <v>145</v>
      </c>
      <c r="G28" s="22">
        <f>(G24-G26)*0.5+(G25-G27)*0.5</f>
        <v>-0.136875</v>
      </c>
      <c r="H28" s="21" t="s">
        <v>147</v>
      </c>
      <c r="I28" s="21" t="s">
        <v>97</v>
      </c>
    </row>
    <row r="29" spans="1:9" ht="40.200000000000003" x14ac:dyDescent="0.3">
      <c r="A29" s="36"/>
      <c r="B29" s="36"/>
      <c r="C29" s="36"/>
      <c r="D29" s="36"/>
      <c r="E29" s="36"/>
      <c r="F29" s="24" t="s">
        <v>146</v>
      </c>
      <c r="G29" s="22">
        <f>(G24-G26)*0.5+(G25-G27)*0.5</f>
        <v>-0.136875</v>
      </c>
      <c r="H29" s="21" t="s">
        <v>148</v>
      </c>
      <c r="I29" s="21" t="s">
        <v>97</v>
      </c>
    </row>
    <row r="30" spans="1:9" ht="38.4" x14ac:dyDescent="0.3">
      <c r="A30" s="36" t="s">
        <v>178</v>
      </c>
      <c r="B30" s="36" t="s">
        <v>121</v>
      </c>
      <c r="C30" s="36" t="s">
        <v>175</v>
      </c>
      <c r="D30" s="36" t="s">
        <v>94</v>
      </c>
      <c r="E30" s="36" t="s">
        <v>95</v>
      </c>
      <c r="F30" s="21" t="s">
        <v>137</v>
      </c>
      <c r="G30" s="22">
        <f>'CH4 Tier 2'!B14</f>
        <v>654.21718627199994</v>
      </c>
      <c r="H30" s="21" t="s">
        <v>141</v>
      </c>
      <c r="I30" s="21" t="s">
        <v>97</v>
      </c>
    </row>
    <row r="31" spans="1:9" ht="38.4" x14ac:dyDescent="0.3">
      <c r="A31" s="36"/>
      <c r="B31" s="36"/>
      <c r="C31" s="36"/>
      <c r="D31" s="36"/>
      <c r="E31" s="36"/>
      <c r="F31" s="21" t="s">
        <v>139</v>
      </c>
      <c r="G31" s="22">
        <f>'direct N2O manure manag'!C15</f>
        <v>2.9464285714285712E-3</v>
      </c>
      <c r="H31" s="21" t="s">
        <v>141</v>
      </c>
      <c r="I31" s="21" t="s">
        <v>97</v>
      </c>
    </row>
    <row r="32" spans="1:9" ht="38.549999999999997" customHeight="1" x14ac:dyDescent="0.3">
      <c r="A32" s="36"/>
      <c r="B32" s="36"/>
      <c r="C32" s="36"/>
      <c r="D32" s="36" t="s">
        <v>96</v>
      </c>
      <c r="E32" s="36" t="s">
        <v>131</v>
      </c>
      <c r="F32" s="21" t="s">
        <v>140</v>
      </c>
      <c r="G32" s="22">
        <f>'N lixiviado'!C13</f>
        <v>0</v>
      </c>
      <c r="H32" s="21" t="s">
        <v>141</v>
      </c>
      <c r="I32" s="21" t="s">
        <v>97</v>
      </c>
    </row>
    <row r="33" spans="1:9" ht="70.8" x14ac:dyDescent="0.3">
      <c r="A33" s="36"/>
      <c r="B33" s="36"/>
      <c r="C33" s="36"/>
      <c r="D33" s="36"/>
      <c r="E33" s="36"/>
      <c r="F33" s="21" t="s">
        <v>142</v>
      </c>
      <c r="G33" s="22">
        <f>'N volatilization '!C13</f>
        <v>3.7500000000000006E-2</v>
      </c>
      <c r="H33" s="21" t="s">
        <v>141</v>
      </c>
      <c r="I33" s="21" t="s">
        <v>97</v>
      </c>
    </row>
    <row r="34" spans="1:9" ht="70.8" x14ac:dyDescent="0.3">
      <c r="A34" s="36"/>
      <c r="B34" s="36"/>
      <c r="C34" s="36"/>
      <c r="D34" s="36"/>
      <c r="E34" s="36" t="s">
        <v>95</v>
      </c>
      <c r="F34" s="21" t="s">
        <v>143</v>
      </c>
      <c r="G34" s="22">
        <f>'N20 inidrecto'!B39</f>
        <v>0</v>
      </c>
      <c r="H34" s="21" t="s">
        <v>141</v>
      </c>
      <c r="I34" s="21" t="s">
        <v>97</v>
      </c>
    </row>
    <row r="35" spans="1:9" ht="70.8" x14ac:dyDescent="0.3">
      <c r="A35" s="36"/>
      <c r="B35" s="36"/>
      <c r="C35" s="36"/>
      <c r="D35" s="36"/>
      <c r="E35" s="36"/>
      <c r="F35" s="21" t="s">
        <v>144</v>
      </c>
      <c r="G35" s="22">
        <f>'N20 inidrecto'!B12</f>
        <v>8.250000000000001E-4</v>
      </c>
      <c r="H35" s="21" t="s">
        <v>141</v>
      </c>
      <c r="I35" s="21" t="s">
        <v>97</v>
      </c>
    </row>
    <row r="36" spans="1:9" ht="38.4" x14ac:dyDescent="0.3">
      <c r="A36" s="36"/>
      <c r="B36" s="36"/>
      <c r="C36" s="36"/>
      <c r="D36" s="36"/>
      <c r="E36" s="36" t="s">
        <v>115</v>
      </c>
      <c r="F36" s="21" t="s">
        <v>145</v>
      </c>
      <c r="G36" s="22">
        <f>(G32-G34)*0.5+(G33-G35)*0.5</f>
        <v>1.8337500000000003E-2</v>
      </c>
      <c r="H36" s="21" t="s">
        <v>141</v>
      </c>
      <c r="I36" s="21" t="s">
        <v>97</v>
      </c>
    </row>
    <row r="37" spans="1:9" ht="40.200000000000003" x14ac:dyDescent="0.3">
      <c r="A37" s="36"/>
      <c r="B37" s="36"/>
      <c r="C37" s="36"/>
      <c r="D37" s="36"/>
      <c r="E37" s="36"/>
      <c r="F37" s="24" t="s">
        <v>146</v>
      </c>
      <c r="G37" s="22">
        <f>(G32-G34)*0.5+(G33-G35)*0.5</f>
        <v>1.8337500000000003E-2</v>
      </c>
      <c r="H37" s="21" t="s">
        <v>141</v>
      </c>
      <c r="I37" s="21" t="s">
        <v>97</v>
      </c>
    </row>
    <row r="38" spans="1:9" ht="37.950000000000003" customHeight="1" x14ac:dyDescent="0.3">
      <c r="A38" s="36" t="s">
        <v>177</v>
      </c>
      <c r="B38" s="36" t="s">
        <v>119</v>
      </c>
      <c r="C38" s="36" t="s">
        <v>182</v>
      </c>
      <c r="D38" s="36" t="s">
        <v>94</v>
      </c>
      <c r="E38" s="36" t="s">
        <v>95</v>
      </c>
      <c r="F38" s="21" t="s">
        <v>137</v>
      </c>
      <c r="G38" s="22">
        <f>'CH4 Tier 2'!B15</f>
        <v>0</v>
      </c>
      <c r="H38" s="21" t="s">
        <v>141</v>
      </c>
      <c r="I38" s="21" t="s">
        <v>97</v>
      </c>
    </row>
    <row r="39" spans="1:9" ht="38.4" x14ac:dyDescent="0.3">
      <c r="A39" s="36"/>
      <c r="B39" s="36"/>
      <c r="C39" s="36"/>
      <c r="D39" s="36"/>
      <c r="E39" s="36"/>
      <c r="F39" s="21" t="s">
        <v>139</v>
      </c>
      <c r="G39" s="22">
        <f>'direct N2O manure manag'!C16</f>
        <v>5.8928571428571424E-3</v>
      </c>
      <c r="H39" s="21" t="s">
        <v>141</v>
      </c>
      <c r="I39" s="21" t="s">
        <v>97</v>
      </c>
    </row>
    <row r="40" spans="1:9" ht="38.4" x14ac:dyDescent="0.3">
      <c r="A40" s="36"/>
      <c r="B40" s="36"/>
      <c r="C40" s="36"/>
      <c r="D40" s="36" t="s">
        <v>96</v>
      </c>
      <c r="E40" s="36" t="s">
        <v>131</v>
      </c>
      <c r="F40" s="21" t="s">
        <v>140</v>
      </c>
      <c r="G40" s="22">
        <f>'N lixiviado'!C14</f>
        <v>0</v>
      </c>
      <c r="H40" s="21" t="s">
        <v>141</v>
      </c>
      <c r="I40" s="21" t="s">
        <v>97</v>
      </c>
    </row>
    <row r="41" spans="1:9" ht="70.8" x14ac:dyDescent="0.3">
      <c r="A41" s="36"/>
      <c r="B41" s="36"/>
      <c r="C41" s="36"/>
      <c r="D41" s="36"/>
      <c r="E41" s="36"/>
      <c r="F41" s="21" t="s">
        <v>142</v>
      </c>
      <c r="G41" s="22">
        <f>'N volatilization '!C14</f>
        <v>3.7500000000000006E-2</v>
      </c>
      <c r="H41" s="21" t="s">
        <v>141</v>
      </c>
      <c r="I41" s="21" t="s">
        <v>97</v>
      </c>
    </row>
    <row r="42" spans="1:9" ht="70.8" x14ac:dyDescent="0.3">
      <c r="A42" s="36"/>
      <c r="B42" s="36"/>
      <c r="C42" s="36"/>
      <c r="D42" s="36"/>
      <c r="E42" s="36" t="s">
        <v>95</v>
      </c>
      <c r="F42" s="21" t="s">
        <v>143</v>
      </c>
      <c r="G42" s="22">
        <f>'N20 inidrecto'!B40</f>
        <v>0</v>
      </c>
      <c r="H42" s="21" t="s">
        <v>141</v>
      </c>
      <c r="I42" s="21" t="s">
        <v>97</v>
      </c>
    </row>
    <row r="43" spans="1:9" ht="70.8" x14ac:dyDescent="0.3">
      <c r="A43" s="36"/>
      <c r="B43" s="36"/>
      <c r="C43" s="36"/>
      <c r="D43" s="36"/>
      <c r="E43" s="36"/>
      <c r="F43" s="21" t="s">
        <v>144</v>
      </c>
      <c r="G43" s="22">
        <f>'N20 inidrecto'!B13</f>
        <v>8.250000000000001E-4</v>
      </c>
      <c r="H43" s="21" t="s">
        <v>141</v>
      </c>
      <c r="I43" s="21" t="s">
        <v>97</v>
      </c>
    </row>
    <row r="44" spans="1:9" ht="38.4" x14ac:dyDescent="0.3">
      <c r="A44" s="36"/>
      <c r="B44" s="36"/>
      <c r="C44" s="36"/>
      <c r="D44" s="36"/>
      <c r="E44" s="36" t="s">
        <v>115</v>
      </c>
      <c r="F44" s="21" t="s">
        <v>145</v>
      </c>
      <c r="G44" s="22">
        <f>(G40-G42)*0.5+(G41-G43)*0.5</f>
        <v>1.8337500000000003E-2</v>
      </c>
      <c r="H44" s="21" t="s">
        <v>141</v>
      </c>
      <c r="I44" s="21" t="s">
        <v>97</v>
      </c>
    </row>
    <row r="45" spans="1:9" ht="40.200000000000003" x14ac:dyDescent="0.3">
      <c r="A45" s="36"/>
      <c r="B45" s="36"/>
      <c r="C45" s="36"/>
      <c r="D45" s="36"/>
      <c r="E45" s="36"/>
      <c r="F45" s="24" t="s">
        <v>146</v>
      </c>
      <c r="G45" s="22">
        <f>(G40-G42)*0.5+(G41-G43)*0.5</f>
        <v>1.8337500000000003E-2</v>
      </c>
      <c r="H45" s="21" t="s">
        <v>141</v>
      </c>
      <c r="I45" s="21" t="s">
        <v>97</v>
      </c>
    </row>
    <row r="46" spans="1:9" ht="64.8" x14ac:dyDescent="0.3">
      <c r="A46" s="36" t="s">
        <v>181</v>
      </c>
      <c r="B46" s="36" t="s">
        <v>119</v>
      </c>
      <c r="C46" s="36" t="s">
        <v>180</v>
      </c>
      <c r="D46" s="30" t="s">
        <v>94</v>
      </c>
      <c r="E46" s="21" t="s">
        <v>95</v>
      </c>
      <c r="F46" s="24" t="s">
        <v>139</v>
      </c>
      <c r="G46" s="22">
        <f>suelo_N20directo!C4</f>
        <v>3.3171428571428575E-3</v>
      </c>
      <c r="H46" s="21" t="s">
        <v>141</v>
      </c>
      <c r="I46" s="21" t="s">
        <v>97</v>
      </c>
    </row>
    <row r="47" spans="1:9" ht="38.4" x14ac:dyDescent="0.3">
      <c r="A47" s="36"/>
      <c r="B47" s="36"/>
      <c r="C47" s="36"/>
      <c r="D47" s="36" t="s">
        <v>96</v>
      </c>
      <c r="E47" s="36" t="s">
        <v>131</v>
      </c>
      <c r="F47" s="21" t="s">
        <v>140</v>
      </c>
      <c r="G47" s="22">
        <f>suelo_N20indirecto!C5/suelo_N20indirecto!B6</f>
        <v>0.13268571428571427</v>
      </c>
      <c r="H47" s="21" t="s">
        <v>141</v>
      </c>
      <c r="I47" s="21" t="s">
        <v>97</v>
      </c>
    </row>
    <row r="48" spans="1:9" ht="70.8" x14ac:dyDescent="0.3">
      <c r="A48" s="36"/>
      <c r="B48" s="36"/>
      <c r="C48" s="36"/>
      <c r="D48" s="36"/>
      <c r="E48" s="36"/>
      <c r="F48" s="21" t="s">
        <v>142</v>
      </c>
      <c r="G48" s="22">
        <f>suelo_N20indirecto!B18/suelo_N20indirecto!B19</f>
        <v>6.7724999999999994E-2</v>
      </c>
      <c r="H48" s="21" t="s">
        <v>141</v>
      </c>
      <c r="I48" s="21" t="s">
        <v>97</v>
      </c>
    </row>
    <row r="49" spans="1:9" ht="70.8" x14ac:dyDescent="0.3">
      <c r="A49" s="36"/>
      <c r="B49" s="36"/>
      <c r="C49" s="36"/>
      <c r="D49" s="36"/>
      <c r="E49" s="36" t="s">
        <v>95</v>
      </c>
      <c r="F49" s="21" t="s">
        <v>143</v>
      </c>
      <c r="G49" s="22">
        <f>suelo_N20indirecto!C5</f>
        <v>1.4595428571428568E-3</v>
      </c>
      <c r="H49" s="21" t="s">
        <v>141</v>
      </c>
      <c r="I49" s="21" t="s">
        <v>97</v>
      </c>
    </row>
    <row r="50" spans="1:9" ht="70.8" x14ac:dyDescent="0.3">
      <c r="A50" s="36"/>
      <c r="B50" s="36"/>
      <c r="C50" s="36"/>
      <c r="D50" s="36"/>
      <c r="E50" s="36"/>
      <c r="F50" s="21" t="s">
        <v>144</v>
      </c>
      <c r="G50" s="22">
        <f>suelo_N20indirecto!B18</f>
        <v>9.4814999999999993E-4</v>
      </c>
      <c r="H50" s="21" t="s">
        <v>141</v>
      </c>
      <c r="I50" s="21" t="s">
        <v>97</v>
      </c>
    </row>
    <row r="51" spans="1:9" ht="38.4" x14ac:dyDescent="0.3">
      <c r="A51" s="36"/>
      <c r="B51" s="36"/>
      <c r="C51" s="36"/>
      <c r="D51" s="36"/>
      <c r="E51" s="36" t="s">
        <v>115</v>
      </c>
      <c r="F51" s="21" t="s">
        <v>145</v>
      </c>
      <c r="G51" s="22">
        <f>(G47-G49)*0.5+(G48-G50)*0.5</f>
        <v>9.9001510714285701E-2</v>
      </c>
      <c r="H51" s="21" t="s">
        <v>141</v>
      </c>
      <c r="I51" s="21" t="s">
        <v>97</v>
      </c>
    </row>
    <row r="52" spans="1:9" ht="40.200000000000003" x14ac:dyDescent="0.3">
      <c r="A52" s="37"/>
      <c r="B52" s="37"/>
      <c r="C52" s="37"/>
      <c r="D52" s="37"/>
      <c r="E52" s="37"/>
      <c r="F52" s="26" t="s">
        <v>146</v>
      </c>
      <c r="G52" s="27">
        <f>(G47-G49)*0.5+(G48-G50)*0.5</f>
        <v>9.9001510714285701E-2</v>
      </c>
      <c r="H52" s="25" t="s">
        <v>141</v>
      </c>
      <c r="I52" s="25" t="s">
        <v>97</v>
      </c>
    </row>
  </sheetData>
  <mergeCells count="53">
    <mergeCell ref="A2:I2"/>
    <mergeCell ref="A6:A13"/>
    <mergeCell ref="B6:B13"/>
    <mergeCell ref="C6:C13"/>
    <mergeCell ref="D6:D7"/>
    <mergeCell ref="E6:E7"/>
    <mergeCell ref="D8:D13"/>
    <mergeCell ref="E8:E9"/>
    <mergeCell ref="E10:E11"/>
    <mergeCell ref="E12:E13"/>
    <mergeCell ref="A14:A21"/>
    <mergeCell ref="B14:B21"/>
    <mergeCell ref="C14:C21"/>
    <mergeCell ref="D14:D15"/>
    <mergeCell ref="E14:E15"/>
    <mergeCell ref="D16:D21"/>
    <mergeCell ref="E16:E17"/>
    <mergeCell ref="E18:E19"/>
    <mergeCell ref="E20:E21"/>
    <mergeCell ref="A22:A29"/>
    <mergeCell ref="B22:B29"/>
    <mergeCell ref="C22:C29"/>
    <mergeCell ref="D22:D23"/>
    <mergeCell ref="E22:E23"/>
    <mergeCell ref="D24:D29"/>
    <mergeCell ref="E24:E25"/>
    <mergeCell ref="E26:E27"/>
    <mergeCell ref="E28:E29"/>
    <mergeCell ref="A30:A37"/>
    <mergeCell ref="B30:B37"/>
    <mergeCell ref="C30:C37"/>
    <mergeCell ref="D30:D31"/>
    <mergeCell ref="E30:E31"/>
    <mergeCell ref="D32:D37"/>
    <mergeCell ref="E32:E33"/>
    <mergeCell ref="E34:E35"/>
    <mergeCell ref="E36:E37"/>
    <mergeCell ref="A38:A45"/>
    <mergeCell ref="B38:B45"/>
    <mergeCell ref="C38:C45"/>
    <mergeCell ref="D38:D39"/>
    <mergeCell ref="E38:E39"/>
    <mergeCell ref="D40:D45"/>
    <mergeCell ref="E40:E41"/>
    <mergeCell ref="E42:E43"/>
    <mergeCell ref="E44:E45"/>
    <mergeCell ref="A46:A52"/>
    <mergeCell ref="B46:B52"/>
    <mergeCell ref="C46:C52"/>
    <mergeCell ref="D47:D52"/>
    <mergeCell ref="E47:E48"/>
    <mergeCell ref="E49:E50"/>
    <mergeCell ref="E51:E52"/>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4BD64-1BE3-47BC-81B7-F705D9B1A43C}">
  <dimension ref="A1"/>
  <sheetViews>
    <sheetView workbookViewId="0">
      <selection activeCell="H21" sqref="H21"/>
    </sheetView>
  </sheetViews>
  <sheetFormatPr baseColWidth="10" defaultRowHeight="14.4" x14ac:dyDescent="0.3"/>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34B04-AD20-4E52-BC93-E57CA8AE89DF}">
  <dimension ref="A1"/>
  <sheetViews>
    <sheetView workbookViewId="0"/>
  </sheetViews>
  <sheetFormatPr baseColWidth="10" defaultRowHeight="14.4" x14ac:dyDescent="0.3"/>
  <sheetData/>
  <pageMargins left="0.7" right="0.7" top="0.75" bottom="0.75" header="0.3" footer="0.3"/>
</worksheet>
</file>

<file path=docMetadata/LabelInfo.xml><?xml version="1.0" encoding="utf-8"?>
<clbl:labelList xmlns:clbl="http://schemas.microsoft.com/office/2020/mipLabelMetadata">
  <clbl:label id="{c8f49a32-fde3-48a5-9266-b5b0972a22dc}" enabled="1" method="Standard" siteId="{5ae1af62-9505-4097-a69a-c1553ef7840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18</vt:i4>
      </vt:variant>
    </vt:vector>
  </HeadingPairs>
  <TitlesOfParts>
    <vt:vector size="18" baseType="lpstr">
      <vt:lpstr>Hoja1</vt:lpstr>
      <vt:lpstr>Hoja2</vt:lpstr>
      <vt:lpstr>CH4 manure manag</vt:lpstr>
      <vt:lpstr>CH4 Tier 2</vt:lpstr>
      <vt:lpstr>direct N2O manure manag</vt:lpstr>
      <vt:lpstr>N volatilization </vt:lpstr>
      <vt:lpstr>N lixiviado</vt:lpstr>
      <vt:lpstr>N20 inidrecto</vt:lpstr>
      <vt:lpstr>Molecular mass calc</vt:lpstr>
      <vt:lpstr>suelo_N20directo</vt:lpstr>
      <vt:lpstr>suelo_N20indirecto</vt:lpstr>
      <vt:lpstr>Summary (3)</vt:lpstr>
      <vt:lpstr>GWP and EPP</vt:lpstr>
      <vt:lpstr>TS avg</vt:lpstr>
      <vt:lpstr>Summary</vt:lpstr>
      <vt:lpstr>Summary (2)</vt:lpstr>
      <vt:lpstr>Hoja4</vt:lpstr>
      <vt:lpstr>Hoja5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Mateo Antonio Cerdas Barboza -X (mcerdasb)</dc:creator>
  <cp:lastModifiedBy>Mateo Cerdas</cp:lastModifiedBy>
  <dcterms:created xsi:type="dcterms:W3CDTF">2015-06-05T18:19:34Z</dcterms:created>
  <dcterms:modified xsi:type="dcterms:W3CDTF">2026-04-23T00:52:27Z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f49a32-fde3-48a5-9266-b5b0972a22dc_Enabled">
    <vt:lpwstr>true</vt:lpwstr>
  </property>
  <property fmtid="{D5CDD505-2E9C-101B-9397-08002B2CF9AE}" pid="3" name="MSIP_Label_c8f49a32-fde3-48a5-9266-b5b0972a22dc_SetDate">
    <vt:lpwstr>2024-10-13T18:04:34Z</vt:lpwstr>
  </property>
  <property fmtid="{D5CDD505-2E9C-101B-9397-08002B2CF9AE}" pid="4" name="MSIP_Label_c8f49a32-fde3-48a5-9266-b5b0972a22dc_Method">
    <vt:lpwstr>Standard</vt:lpwstr>
  </property>
  <property fmtid="{D5CDD505-2E9C-101B-9397-08002B2CF9AE}" pid="5" name="MSIP_Label_c8f49a32-fde3-48a5-9266-b5b0972a22dc_Name">
    <vt:lpwstr>Cisco Confidential</vt:lpwstr>
  </property>
  <property fmtid="{D5CDD505-2E9C-101B-9397-08002B2CF9AE}" pid="6" name="MSIP_Label_c8f49a32-fde3-48a5-9266-b5b0972a22dc_SiteId">
    <vt:lpwstr>5ae1af62-9505-4097-a69a-c1553ef7840e</vt:lpwstr>
  </property>
  <property fmtid="{D5CDD505-2E9C-101B-9397-08002B2CF9AE}" pid="7" name="MSIP_Label_c8f49a32-fde3-48a5-9266-b5b0972a22dc_ActionId">
    <vt:lpwstr>d9ea0682-9346-41b4-abc7-f7313809521e</vt:lpwstr>
  </property>
  <property fmtid="{D5CDD505-2E9C-101B-9397-08002B2CF9AE}" pid="8" name="MSIP_Label_c8f49a32-fde3-48a5-9266-b5b0972a22dc_ContentBits">
    <vt:lpwstr>2</vt:lpwstr>
  </property>
</Properties>
</file>