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eo\OneDrive\Escritorio\"/>
    </mc:Choice>
  </mc:AlternateContent>
  <xr:revisionPtr revIDLastSave="0" documentId="8_{02A3139C-1BB0-4122-A2EE-5CFEF767A346}" xr6:coauthVersionLast="47" xr6:coauthVersionMax="47" xr10:uidLastSave="{00000000-0000-0000-0000-000000000000}"/>
  <bookViews>
    <workbookView xWindow="-120" yWindow="-120" windowWidth="29040" windowHeight="15720" activeTab="4" xr2:uid="{B93BBCC4-67E1-468F-8628-A3AED8B2CA94}"/>
  </bookViews>
  <sheets>
    <sheet name="Hoja1" sheetId="1" r:id="rId1"/>
    <sheet name="METODO" sheetId="2" r:id="rId2"/>
    <sheet name="22.5.25" sheetId="3" r:id="rId3"/>
    <sheet name="27.5.25" sheetId="5" r:id="rId4"/>
    <sheet name="Repaso final" sheetId="4" r:id="rId5"/>
  </sheets>
  <calcPr calcId="191029" concurrentCalc="0" concurrentManualCount="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9" i="4" l="1"/>
  <c r="R35" i="4"/>
  <c r="R34" i="4"/>
  <c r="J37" i="4"/>
  <c r="J20" i="4"/>
  <c r="J15" i="4"/>
  <c r="J18" i="4"/>
  <c r="J17" i="4"/>
  <c r="E45" i="3"/>
  <c r="B48" i="5"/>
  <c r="E9" i="2"/>
  <c r="D9" i="2"/>
  <c r="Q59" i="5"/>
  <c r="G58" i="5"/>
  <c r="G59" i="5"/>
  <c r="O59" i="5"/>
  <c r="O49" i="5"/>
  <c r="O48" i="5"/>
  <c r="N49" i="5"/>
  <c r="Q49" i="5"/>
  <c r="Q48" i="5"/>
  <c r="N48" i="5"/>
  <c r="R48" i="5"/>
  <c r="L48" i="5"/>
  <c r="L49" i="5"/>
  <c r="L50" i="5"/>
  <c r="L51" i="5"/>
  <c r="L52" i="5"/>
  <c r="L53" i="5"/>
  <c r="L54" i="5"/>
  <c r="L55" i="5"/>
  <c r="L56" i="5"/>
  <c r="L57" i="5"/>
  <c r="L58" i="5"/>
  <c r="R43" i="5"/>
  <c r="R42" i="5"/>
  <c r="R41" i="5"/>
  <c r="R40" i="5"/>
  <c r="R39" i="5"/>
  <c r="R38" i="5"/>
  <c r="N38" i="5"/>
  <c r="M49" i="5"/>
  <c r="R37" i="5"/>
  <c r="G60" i="5"/>
  <c r="E59" i="5"/>
  <c r="E49" i="5"/>
  <c r="E48" i="5"/>
  <c r="D49" i="5"/>
  <c r="E50" i="5"/>
  <c r="E51" i="5"/>
  <c r="B49" i="5"/>
  <c r="B50" i="5"/>
  <c r="B51" i="5"/>
  <c r="B52" i="5"/>
  <c r="B53" i="5"/>
  <c r="B54" i="5"/>
  <c r="B55" i="5"/>
  <c r="B56" i="5"/>
  <c r="B57" i="5"/>
  <c r="B58" i="5"/>
  <c r="D48" i="5"/>
  <c r="H48" i="5"/>
  <c r="H43" i="5"/>
  <c r="H42" i="5"/>
  <c r="H41" i="5"/>
  <c r="H40" i="5"/>
  <c r="H39" i="5"/>
  <c r="H38" i="5"/>
  <c r="D38" i="5"/>
  <c r="C48" i="5"/>
  <c r="F48" i="5"/>
  <c r="H37" i="5"/>
  <c r="H30" i="5"/>
  <c r="I30" i="5"/>
  <c r="R30" i="5"/>
  <c r="S30" i="5"/>
  <c r="O22" i="5"/>
  <c r="O21" i="5"/>
  <c r="Q21" i="5"/>
  <c r="L21" i="5"/>
  <c r="L22" i="5"/>
  <c r="L23" i="5"/>
  <c r="L24" i="5"/>
  <c r="L25" i="5"/>
  <c r="L26" i="5"/>
  <c r="L27" i="5"/>
  <c r="L28" i="5"/>
  <c r="L29" i="5"/>
  <c r="R20" i="5"/>
  <c r="N20" i="5"/>
  <c r="N21" i="5"/>
  <c r="L20" i="5"/>
  <c r="R19" i="5"/>
  <c r="N19" i="5"/>
  <c r="L19" i="5"/>
  <c r="R14" i="5"/>
  <c r="M21" i="5"/>
  <c r="M22" i="5"/>
  <c r="M23" i="5"/>
  <c r="M24" i="5"/>
  <c r="M25" i="5"/>
  <c r="M26" i="5"/>
  <c r="M27" i="5"/>
  <c r="M28" i="5"/>
  <c r="M29" i="5"/>
  <c r="R13" i="5"/>
  <c r="R12" i="5"/>
  <c r="R11" i="5"/>
  <c r="R10" i="5"/>
  <c r="R9" i="5"/>
  <c r="N9" i="5"/>
  <c r="M20" i="5"/>
  <c r="R8" i="5"/>
  <c r="I20" i="5"/>
  <c r="I21" i="5"/>
  <c r="I22" i="5"/>
  <c r="I23" i="5"/>
  <c r="I24" i="5"/>
  <c r="I25" i="5"/>
  <c r="I26" i="5"/>
  <c r="I27" i="5"/>
  <c r="I28" i="5"/>
  <c r="I29" i="5"/>
  <c r="I19" i="5"/>
  <c r="H19" i="5"/>
  <c r="H21" i="5"/>
  <c r="H22" i="5"/>
  <c r="H23" i="5"/>
  <c r="H24" i="5"/>
  <c r="H25" i="5"/>
  <c r="H26" i="5"/>
  <c r="H27" i="5"/>
  <c r="H28" i="5"/>
  <c r="H29" i="5"/>
  <c r="H20" i="5"/>
  <c r="F30" i="5"/>
  <c r="G30" i="5"/>
  <c r="E30" i="5"/>
  <c r="D23" i="5"/>
  <c r="F23" i="5"/>
  <c r="G23" i="5"/>
  <c r="E23" i="5"/>
  <c r="D24" i="5"/>
  <c r="D25" i="5"/>
  <c r="E24" i="5"/>
  <c r="E25" i="5"/>
  <c r="F24" i="5"/>
  <c r="G24" i="5"/>
  <c r="G22" i="5"/>
  <c r="F22" i="5"/>
  <c r="E22" i="5"/>
  <c r="E21" i="5"/>
  <c r="D22" i="5"/>
  <c r="G21" i="5"/>
  <c r="F21" i="5"/>
  <c r="D21" i="5"/>
  <c r="G20" i="5"/>
  <c r="D20" i="5"/>
  <c r="F20" i="5"/>
  <c r="G19" i="5"/>
  <c r="F19" i="5"/>
  <c r="D19" i="5"/>
  <c r="D31" i="4"/>
  <c r="C19" i="5"/>
  <c r="B19" i="5"/>
  <c r="B20" i="5"/>
  <c r="B21" i="5"/>
  <c r="B22" i="5"/>
  <c r="B23" i="5"/>
  <c r="B24" i="5"/>
  <c r="B25" i="5"/>
  <c r="B26" i="5"/>
  <c r="B27" i="5"/>
  <c r="B28" i="5"/>
  <c r="B29" i="5"/>
  <c r="H8" i="5"/>
  <c r="H9" i="5"/>
  <c r="H10" i="5"/>
  <c r="H11" i="5"/>
  <c r="H12" i="5"/>
  <c r="C20" i="5"/>
  <c r="H13" i="5"/>
  <c r="H14" i="5"/>
  <c r="C21" i="5"/>
  <c r="C22" i="5"/>
  <c r="C23" i="5"/>
  <c r="C24" i="5"/>
  <c r="C25" i="5"/>
  <c r="C26" i="5"/>
  <c r="C27" i="5"/>
  <c r="C28" i="5"/>
  <c r="C29" i="5"/>
  <c r="D9" i="5"/>
  <c r="D24" i="4"/>
  <c r="C17" i="4"/>
  <c r="F11" i="4"/>
  <c r="F8" i="4"/>
  <c r="E13" i="4"/>
  <c r="F10" i="4"/>
  <c r="D4" i="4"/>
  <c r="I39" i="2"/>
  <c r="J39" i="2"/>
  <c r="K39" i="2"/>
  <c r="H39" i="2"/>
  <c r="J35" i="2"/>
  <c r="K35" i="2"/>
  <c r="Q13" i="3"/>
  <c r="O13" i="3"/>
  <c r="N14" i="3"/>
  <c r="N13" i="3"/>
  <c r="K9" i="2"/>
  <c r="P13" i="3"/>
  <c r="P54" i="3"/>
  <c r="Q47" i="3"/>
  <c r="Q46" i="3"/>
  <c r="O46" i="3"/>
  <c r="O45" i="3"/>
  <c r="S45" i="3"/>
  <c r="Q45" i="3"/>
  <c r="R43" i="3"/>
  <c r="R44" i="3"/>
  <c r="R42" i="3"/>
  <c r="R41" i="3"/>
  <c r="R13" i="3"/>
  <c r="Q41" i="3"/>
  <c r="P49" i="5"/>
  <c r="R49" i="5"/>
  <c r="M48" i="5"/>
  <c r="P48" i="5"/>
  <c r="M50" i="5"/>
  <c r="N50" i="5"/>
  <c r="Q50" i="5"/>
  <c r="E52" i="5"/>
  <c r="G48" i="5"/>
  <c r="I48" i="5"/>
  <c r="H49" i="5"/>
  <c r="C50" i="5"/>
  <c r="C51" i="5"/>
  <c r="C52" i="5"/>
  <c r="C53" i="5"/>
  <c r="C54" i="5"/>
  <c r="C55" i="5"/>
  <c r="C56" i="5"/>
  <c r="C57" i="5"/>
  <c r="C58" i="5"/>
  <c r="C49" i="5"/>
  <c r="F49" i="5"/>
  <c r="D50" i="5"/>
  <c r="N22" i="5"/>
  <c r="Q22" i="5"/>
  <c r="R21" i="5"/>
  <c r="P21" i="5"/>
  <c r="S21" i="5"/>
  <c r="M19" i="5"/>
  <c r="P19" i="5"/>
  <c r="P20" i="5"/>
  <c r="Q20" i="5"/>
  <c r="S20" i="5"/>
  <c r="G25" i="5"/>
  <c r="E26" i="5"/>
  <c r="F25" i="5"/>
  <c r="D26" i="5"/>
  <c r="Q14" i="3"/>
  <c r="R14" i="3"/>
  <c r="S13" i="3"/>
  <c r="N46" i="3"/>
  <c r="S49" i="5"/>
  <c r="M51" i="5"/>
  <c r="P50" i="5"/>
  <c r="R50" i="5"/>
  <c r="S48" i="5"/>
  <c r="G49" i="5"/>
  <c r="I49" i="5"/>
  <c r="F50" i="5"/>
  <c r="G50" i="5"/>
  <c r="D51" i="5"/>
  <c r="H50" i="5"/>
  <c r="E53" i="5"/>
  <c r="Q19" i="5"/>
  <c r="S19" i="5"/>
  <c r="N23" i="5"/>
  <c r="Q23" i="5"/>
  <c r="R22" i="5"/>
  <c r="P22" i="5"/>
  <c r="D27" i="5"/>
  <c r="F26" i="5"/>
  <c r="G26" i="5"/>
  <c r="E27" i="5"/>
  <c r="S14" i="3"/>
  <c r="M52" i="5"/>
  <c r="O50" i="5"/>
  <c r="S50" i="5"/>
  <c r="E54" i="5"/>
  <c r="F51" i="5"/>
  <c r="D52" i="5"/>
  <c r="H51" i="5"/>
  <c r="I50" i="5"/>
  <c r="R23" i="5"/>
  <c r="P23" i="5"/>
  <c r="O23" i="5"/>
  <c r="N24" i="5"/>
  <c r="Q24" i="5"/>
  <c r="S23" i="5"/>
  <c r="S22" i="5"/>
  <c r="F27" i="5"/>
  <c r="G27" i="5"/>
  <c r="D28" i="5"/>
  <c r="E28" i="5"/>
  <c r="I9" i="2"/>
  <c r="J9" i="2"/>
  <c r="L9" i="2"/>
  <c r="N41" i="3"/>
  <c r="L41" i="3"/>
  <c r="L42" i="3"/>
  <c r="L43" i="3"/>
  <c r="L44" i="3"/>
  <c r="L45" i="3"/>
  <c r="L46" i="3"/>
  <c r="L47" i="3"/>
  <c r="L48" i="3"/>
  <c r="L49" i="3"/>
  <c r="L50" i="3"/>
  <c r="L51" i="3"/>
  <c r="L52" i="3"/>
  <c r="R37" i="3"/>
  <c r="R36" i="3"/>
  <c r="R35" i="3"/>
  <c r="R34" i="3"/>
  <c r="N34" i="3"/>
  <c r="R33" i="3"/>
  <c r="R32" i="3"/>
  <c r="N32" i="3"/>
  <c r="R31" i="3"/>
  <c r="D34" i="3"/>
  <c r="D41" i="3"/>
  <c r="B41" i="3"/>
  <c r="B42" i="3"/>
  <c r="B43" i="3"/>
  <c r="B44" i="3"/>
  <c r="B45" i="3"/>
  <c r="B46" i="3"/>
  <c r="B47" i="3"/>
  <c r="B48" i="3"/>
  <c r="B49" i="3"/>
  <c r="B50" i="3"/>
  <c r="B51" i="3"/>
  <c r="B52" i="3"/>
  <c r="H36" i="3"/>
  <c r="H35" i="3"/>
  <c r="H34" i="3"/>
  <c r="H33" i="3"/>
  <c r="D33" i="3"/>
  <c r="H32" i="3"/>
  <c r="H31" i="3"/>
  <c r="D31" i="3"/>
  <c r="H30" i="3"/>
  <c r="J10" i="2"/>
  <c r="L14" i="3"/>
  <c r="L13" i="3"/>
  <c r="R9" i="3"/>
  <c r="R8" i="3"/>
  <c r="R7" i="3"/>
  <c r="R6" i="3"/>
  <c r="R5" i="3"/>
  <c r="R4" i="3"/>
  <c r="R3" i="3"/>
  <c r="N6" i="3"/>
  <c r="N4" i="3"/>
  <c r="M13" i="3"/>
  <c r="H4" i="3"/>
  <c r="H5" i="3"/>
  <c r="H6" i="3"/>
  <c r="H7" i="3"/>
  <c r="H8" i="3"/>
  <c r="H9" i="3"/>
  <c r="H3" i="3"/>
  <c r="B13" i="3"/>
  <c r="B14" i="3"/>
  <c r="B15" i="3"/>
  <c r="B16" i="3"/>
  <c r="B17" i="3"/>
  <c r="B18" i="3"/>
  <c r="B19" i="3"/>
  <c r="B20" i="3"/>
  <c r="B21" i="3"/>
  <c r="B22" i="3"/>
  <c r="B23" i="3"/>
  <c r="B24" i="3"/>
  <c r="D13" i="3"/>
  <c r="D6" i="3"/>
  <c r="E13" i="3"/>
  <c r="D4" i="3"/>
  <c r="C13" i="3"/>
  <c r="H41" i="2"/>
  <c r="I41" i="2"/>
  <c r="J41" i="2"/>
  <c r="K41" i="2"/>
  <c r="K40" i="2"/>
  <c r="K42" i="2"/>
  <c r="K43" i="2"/>
  <c r="K44" i="2"/>
  <c r="K45" i="2"/>
  <c r="K46" i="2"/>
  <c r="L39" i="2"/>
  <c r="H40" i="2"/>
  <c r="J40" i="2"/>
  <c r="K38" i="2"/>
  <c r="J38" i="2"/>
  <c r="K36" i="2"/>
  <c r="J36" i="2"/>
  <c r="K37" i="2"/>
  <c r="J37" i="2"/>
  <c r="H35" i="2"/>
  <c r="J30" i="2"/>
  <c r="J28" i="2"/>
  <c r="C39" i="2"/>
  <c r="D35" i="2"/>
  <c r="E35" i="2"/>
  <c r="D36" i="2"/>
  <c r="D37" i="2"/>
  <c r="D38" i="2"/>
  <c r="D39" i="2"/>
  <c r="B35" i="2"/>
  <c r="D30" i="2"/>
  <c r="D28" i="2"/>
  <c r="O20" i="2"/>
  <c r="O10" i="2"/>
  <c r="O11" i="2"/>
  <c r="O12" i="2"/>
  <c r="O13" i="2"/>
  <c r="O14" i="2"/>
  <c r="Q14" i="2"/>
  <c r="R14" i="2"/>
  <c r="O15" i="2"/>
  <c r="Q15" i="2"/>
  <c r="R15" i="2"/>
  <c r="O16" i="2"/>
  <c r="O17" i="2"/>
  <c r="O18" i="2"/>
  <c r="O19" i="2"/>
  <c r="O9" i="2"/>
  <c r="P20" i="2"/>
  <c r="Q13" i="2"/>
  <c r="R13" i="2"/>
  <c r="Q6" i="2"/>
  <c r="Q4" i="2"/>
  <c r="K18" i="2"/>
  <c r="K19" i="2"/>
  <c r="H9" i="2"/>
  <c r="J6" i="2"/>
  <c r="K17" i="2"/>
  <c r="J4" i="2"/>
  <c r="K11" i="2"/>
  <c r="B9" i="2"/>
  <c r="D6" i="2"/>
  <c r="C9" i="2"/>
  <c r="D4" i="2"/>
  <c r="H36" i="1"/>
  <c r="G36" i="1"/>
  <c r="F36" i="1"/>
  <c r="G26" i="1"/>
  <c r="F26" i="1"/>
  <c r="H26" i="1"/>
  <c r="H13" i="1"/>
  <c r="E12" i="1"/>
  <c r="E10" i="1"/>
  <c r="E11" i="1"/>
  <c r="E9" i="1"/>
  <c r="H9" i="1"/>
  <c r="H10" i="1"/>
  <c r="H11" i="1"/>
  <c r="H12" i="1"/>
  <c r="H8" i="1"/>
  <c r="F13" i="1"/>
  <c r="G13" i="1"/>
  <c r="C41" i="3"/>
  <c r="F41" i="3"/>
  <c r="G41" i="3"/>
  <c r="I41" i="3"/>
  <c r="M53" i="5"/>
  <c r="N51" i="5"/>
  <c r="Q51" i="5"/>
  <c r="F52" i="5"/>
  <c r="G52" i="5"/>
  <c r="D53" i="5"/>
  <c r="H52" i="5"/>
  <c r="E55" i="5"/>
  <c r="G51" i="5"/>
  <c r="I51" i="5"/>
  <c r="O24" i="5"/>
  <c r="N25" i="5"/>
  <c r="Q25" i="5"/>
  <c r="R24" i="5"/>
  <c r="P24" i="5"/>
  <c r="S24" i="5"/>
  <c r="D29" i="5"/>
  <c r="F29" i="5"/>
  <c r="F28" i="5"/>
  <c r="G28" i="5"/>
  <c r="E29" i="5"/>
  <c r="M41" i="3"/>
  <c r="P41" i="3"/>
  <c r="M42" i="3"/>
  <c r="M16" i="3"/>
  <c r="M17" i="3"/>
  <c r="M18" i="3"/>
  <c r="M19" i="3"/>
  <c r="M20" i="3"/>
  <c r="M21" i="3"/>
  <c r="M22" i="3"/>
  <c r="M23" i="3"/>
  <c r="M24" i="3"/>
  <c r="L15" i="3"/>
  <c r="L16" i="3"/>
  <c r="L17" i="3"/>
  <c r="L18" i="3"/>
  <c r="L19" i="3"/>
  <c r="L20" i="3"/>
  <c r="L21" i="3"/>
  <c r="L22" i="3"/>
  <c r="L23" i="3"/>
  <c r="L24" i="3"/>
  <c r="M14" i="3"/>
  <c r="M15" i="3"/>
  <c r="C42" i="3"/>
  <c r="C43" i="3"/>
  <c r="C44" i="3"/>
  <c r="C45" i="3"/>
  <c r="C46" i="3"/>
  <c r="C47" i="3"/>
  <c r="C48" i="3"/>
  <c r="C49" i="3"/>
  <c r="C50" i="3"/>
  <c r="C51" i="3"/>
  <c r="C52" i="3"/>
  <c r="H41" i="3"/>
  <c r="D42" i="3"/>
  <c r="F13" i="3"/>
  <c r="G13" i="3"/>
  <c r="H13" i="3"/>
  <c r="C14" i="3"/>
  <c r="C15" i="3"/>
  <c r="D14" i="3"/>
  <c r="H14" i="3"/>
  <c r="E14" i="3"/>
  <c r="I40" i="2"/>
  <c r="H36" i="2"/>
  <c r="K12" i="2"/>
  <c r="Q10" i="2"/>
  <c r="R10" i="2"/>
  <c r="K16" i="2"/>
  <c r="Q12" i="2"/>
  <c r="R12" i="2"/>
  <c r="K10" i="2"/>
  <c r="Q11" i="2"/>
  <c r="R11" i="2"/>
  <c r="K14" i="2"/>
  <c r="Q20" i="2"/>
  <c r="B10" i="2"/>
  <c r="K15" i="2"/>
  <c r="H10" i="2"/>
  <c r="K13" i="2"/>
  <c r="Q16" i="2"/>
  <c r="R16" i="2"/>
  <c r="Q9" i="2"/>
  <c r="R9" i="2"/>
  <c r="K20" i="2"/>
  <c r="B36" i="2"/>
  <c r="B37" i="2"/>
  <c r="R20" i="2"/>
  <c r="Q18" i="2"/>
  <c r="R18" i="2"/>
  <c r="Q17" i="2"/>
  <c r="R17" i="2"/>
  <c r="Q19" i="2"/>
  <c r="R19" i="2"/>
  <c r="D10" i="2"/>
  <c r="C10" i="2"/>
  <c r="M54" i="5"/>
  <c r="P51" i="5"/>
  <c r="R51" i="5"/>
  <c r="E56" i="5"/>
  <c r="F53" i="5"/>
  <c r="D54" i="5"/>
  <c r="H53" i="5"/>
  <c r="I52" i="5"/>
  <c r="R25" i="5"/>
  <c r="P25" i="5"/>
  <c r="O25" i="5"/>
  <c r="N26" i="5"/>
  <c r="Q26" i="5"/>
  <c r="G29" i="5"/>
  <c r="M43" i="3"/>
  <c r="I13" i="3"/>
  <c r="F42" i="3"/>
  <c r="D43" i="3"/>
  <c r="H42" i="3"/>
  <c r="F14" i="3"/>
  <c r="C16" i="3"/>
  <c r="D15" i="3"/>
  <c r="H15" i="3"/>
  <c r="E15" i="3"/>
  <c r="H42" i="2"/>
  <c r="B11" i="2"/>
  <c r="B12" i="2"/>
  <c r="E10" i="2"/>
  <c r="I10" i="2"/>
  <c r="H11" i="2"/>
  <c r="C11" i="2"/>
  <c r="C12" i="2"/>
  <c r="B38" i="2"/>
  <c r="E36" i="2"/>
  <c r="M55" i="5"/>
  <c r="O51" i="5"/>
  <c r="S51" i="5"/>
  <c r="E57" i="5"/>
  <c r="F54" i="5"/>
  <c r="G54" i="5"/>
  <c r="D55" i="5"/>
  <c r="H54" i="5"/>
  <c r="G53" i="5"/>
  <c r="I53" i="5"/>
  <c r="S25" i="5"/>
  <c r="P26" i="5"/>
  <c r="O26" i="5"/>
  <c r="N27" i="5"/>
  <c r="Q27" i="5"/>
  <c r="R26" i="5"/>
  <c r="S26" i="5"/>
  <c r="M44" i="3"/>
  <c r="G42" i="3"/>
  <c r="I42" i="3"/>
  <c r="F43" i="3"/>
  <c r="G43" i="3"/>
  <c r="D44" i="3"/>
  <c r="H43" i="3"/>
  <c r="F15" i="3"/>
  <c r="C17" i="3"/>
  <c r="E16" i="3"/>
  <c r="G15" i="3"/>
  <c r="I15" i="3"/>
  <c r="D16" i="3"/>
  <c r="H16" i="3"/>
  <c r="G14" i="3"/>
  <c r="I14" i="3"/>
  <c r="J42" i="2"/>
  <c r="I42" i="2"/>
  <c r="H43" i="2"/>
  <c r="D11" i="2"/>
  <c r="E11" i="2"/>
  <c r="J11" i="2"/>
  <c r="I11" i="2"/>
  <c r="H12" i="2"/>
  <c r="C13" i="2"/>
  <c r="D12" i="2"/>
  <c r="E12" i="2"/>
  <c r="B13" i="2"/>
  <c r="E37" i="2"/>
  <c r="N52" i="5"/>
  <c r="Q52" i="5"/>
  <c r="M56" i="5"/>
  <c r="I54" i="5"/>
  <c r="E58" i="5"/>
  <c r="F55" i="5"/>
  <c r="G55" i="5"/>
  <c r="D56" i="5"/>
  <c r="H55" i="5"/>
  <c r="O27" i="5"/>
  <c r="N28" i="5"/>
  <c r="Q28" i="5"/>
  <c r="P27" i="5"/>
  <c r="R27" i="5"/>
  <c r="S27" i="5"/>
  <c r="M45" i="3"/>
  <c r="I43" i="3"/>
  <c r="F44" i="3"/>
  <c r="D45" i="3"/>
  <c r="H44" i="3"/>
  <c r="G44" i="3"/>
  <c r="F16" i="3"/>
  <c r="C18" i="3"/>
  <c r="F17" i="3"/>
  <c r="E17" i="3"/>
  <c r="D17" i="3"/>
  <c r="H17" i="3"/>
  <c r="J43" i="2"/>
  <c r="I43" i="2"/>
  <c r="H44" i="2"/>
  <c r="H37" i="2"/>
  <c r="H13" i="2"/>
  <c r="J13" i="2"/>
  <c r="I13" i="2"/>
  <c r="H14" i="2"/>
  <c r="J14" i="2"/>
  <c r="I14" i="2"/>
  <c r="H15" i="2"/>
  <c r="J12" i="2"/>
  <c r="I12" i="2"/>
  <c r="B14" i="2"/>
  <c r="D13" i="2"/>
  <c r="E13" i="2"/>
  <c r="C14" i="2"/>
  <c r="E38" i="2"/>
  <c r="B39" i="2"/>
  <c r="M57" i="5"/>
  <c r="P52" i="5"/>
  <c r="R52" i="5"/>
  <c r="I55" i="5"/>
  <c r="F56" i="5"/>
  <c r="G56" i="5"/>
  <c r="D57" i="5"/>
  <c r="H56" i="5"/>
  <c r="R28" i="5"/>
  <c r="P28" i="5"/>
  <c r="O28" i="5"/>
  <c r="N29" i="5"/>
  <c r="Q29" i="5"/>
  <c r="M46" i="3"/>
  <c r="E46" i="3"/>
  <c r="F45" i="3"/>
  <c r="G45" i="3"/>
  <c r="D46" i="3"/>
  <c r="H45" i="3"/>
  <c r="I44" i="3"/>
  <c r="C19" i="3"/>
  <c r="G16" i="3"/>
  <c r="I16" i="3"/>
  <c r="G17" i="3"/>
  <c r="I17" i="3"/>
  <c r="D18" i="3"/>
  <c r="H18" i="3"/>
  <c r="E18" i="3"/>
  <c r="J44" i="2"/>
  <c r="I44" i="2"/>
  <c r="H45" i="2"/>
  <c r="C15" i="2"/>
  <c r="B15" i="2"/>
  <c r="D14" i="2"/>
  <c r="E14" i="2"/>
  <c r="B40" i="2"/>
  <c r="D40" i="2"/>
  <c r="E39" i="2"/>
  <c r="C40" i="2"/>
  <c r="J15" i="2"/>
  <c r="I15" i="2"/>
  <c r="H16" i="2"/>
  <c r="O52" i="5"/>
  <c r="S52" i="5"/>
  <c r="M58" i="5"/>
  <c r="I56" i="5"/>
  <c r="F57" i="5"/>
  <c r="G57" i="5"/>
  <c r="D58" i="5"/>
  <c r="H57" i="5"/>
  <c r="S28" i="5"/>
  <c r="R29" i="5"/>
  <c r="P29" i="5"/>
  <c r="P30" i="5"/>
  <c r="M47" i="3"/>
  <c r="I45" i="3"/>
  <c r="F46" i="3"/>
  <c r="G46" i="3"/>
  <c r="D47" i="3"/>
  <c r="H46" i="3"/>
  <c r="E47" i="3"/>
  <c r="F18" i="3"/>
  <c r="G18" i="3"/>
  <c r="I18" i="3"/>
  <c r="C20" i="3"/>
  <c r="E19" i="3"/>
  <c r="D19" i="3"/>
  <c r="H19" i="3"/>
  <c r="J45" i="2"/>
  <c r="I45" i="2"/>
  <c r="H46" i="2"/>
  <c r="J46" i="2"/>
  <c r="I46" i="2"/>
  <c r="B16" i="2"/>
  <c r="D15" i="2"/>
  <c r="E15" i="2"/>
  <c r="C16" i="2"/>
  <c r="C41" i="2"/>
  <c r="B41" i="2"/>
  <c r="D41" i="2"/>
  <c r="E40" i="2"/>
  <c r="J16" i="2"/>
  <c r="I16" i="2"/>
  <c r="H17" i="2"/>
  <c r="N53" i="5"/>
  <c r="Q53" i="5"/>
  <c r="F58" i="5"/>
  <c r="H58" i="5"/>
  <c r="H59" i="5"/>
  <c r="I57" i="5"/>
  <c r="O29" i="5"/>
  <c r="O30" i="5"/>
  <c r="Q30" i="5"/>
  <c r="S29" i="5"/>
  <c r="M48" i="3"/>
  <c r="I46" i="3"/>
  <c r="F47" i="3"/>
  <c r="G47" i="3"/>
  <c r="D48" i="3"/>
  <c r="H47" i="3"/>
  <c r="E48" i="3"/>
  <c r="F19" i="3"/>
  <c r="G19" i="3"/>
  <c r="I19" i="3"/>
  <c r="C21" i="3"/>
  <c r="E20" i="3"/>
  <c r="D20" i="3"/>
  <c r="H20" i="3"/>
  <c r="H38" i="2"/>
  <c r="C17" i="2"/>
  <c r="D16" i="2"/>
  <c r="E16" i="2"/>
  <c r="B17" i="2"/>
  <c r="B42" i="2"/>
  <c r="D42" i="2"/>
  <c r="E41" i="2"/>
  <c r="C42" i="2"/>
  <c r="J17" i="2"/>
  <c r="I17" i="2"/>
  <c r="H18" i="2"/>
  <c r="P53" i="5"/>
  <c r="R53" i="5"/>
  <c r="F59" i="5"/>
  <c r="I59" i="5"/>
  <c r="I58" i="5"/>
  <c r="M49" i="3"/>
  <c r="I47" i="3"/>
  <c r="F48" i="3"/>
  <c r="G48" i="3"/>
  <c r="D49" i="3"/>
  <c r="H48" i="3"/>
  <c r="E49" i="3"/>
  <c r="F20" i="3"/>
  <c r="G20" i="3"/>
  <c r="I20" i="3"/>
  <c r="C22" i="3"/>
  <c r="D21" i="3"/>
  <c r="H21" i="3"/>
  <c r="E21" i="3"/>
  <c r="B18" i="2"/>
  <c r="D17" i="2"/>
  <c r="C18" i="2"/>
  <c r="E17" i="2"/>
  <c r="C43" i="2"/>
  <c r="B43" i="2"/>
  <c r="D43" i="2"/>
  <c r="E42" i="2"/>
  <c r="J18" i="2"/>
  <c r="I18" i="2"/>
  <c r="H19" i="2"/>
  <c r="O53" i="5"/>
  <c r="S53" i="5"/>
  <c r="M50" i="3"/>
  <c r="I48" i="3"/>
  <c r="F49" i="3"/>
  <c r="G49" i="3"/>
  <c r="I49" i="3"/>
  <c r="D50" i="3"/>
  <c r="H49" i="3"/>
  <c r="E50" i="3"/>
  <c r="F21" i="3"/>
  <c r="C23" i="3"/>
  <c r="G21" i="3"/>
  <c r="I21" i="3"/>
  <c r="D22" i="3"/>
  <c r="H22" i="3"/>
  <c r="E22" i="3"/>
  <c r="E18" i="2"/>
  <c r="C19" i="2"/>
  <c r="B19" i="2"/>
  <c r="D18" i="2"/>
  <c r="B44" i="2"/>
  <c r="D44" i="2"/>
  <c r="E43" i="2"/>
  <c r="C44" i="2"/>
  <c r="J19" i="2"/>
  <c r="I19" i="2"/>
  <c r="I21" i="2"/>
  <c r="H20" i="2"/>
  <c r="J20" i="2"/>
  <c r="I20" i="2"/>
  <c r="N54" i="5"/>
  <c r="Q54" i="5"/>
  <c r="M51" i="3"/>
  <c r="E51" i="3"/>
  <c r="F50" i="3"/>
  <c r="G50" i="3"/>
  <c r="D51" i="3"/>
  <c r="H50" i="3"/>
  <c r="F22" i="3"/>
  <c r="C24" i="3"/>
  <c r="D23" i="3"/>
  <c r="H23" i="3"/>
  <c r="G22" i="3"/>
  <c r="I22" i="3"/>
  <c r="E23" i="3"/>
  <c r="C20" i="2"/>
  <c r="D19" i="2"/>
  <c r="E19" i="2"/>
  <c r="B20" i="2"/>
  <c r="D20" i="2"/>
  <c r="C45" i="2"/>
  <c r="B45" i="2"/>
  <c r="D45" i="2"/>
  <c r="E44" i="2"/>
  <c r="J21" i="2"/>
  <c r="K21" i="2"/>
  <c r="P54" i="5"/>
  <c r="R54" i="5"/>
  <c r="M52" i="3"/>
  <c r="I50" i="3"/>
  <c r="F51" i="3"/>
  <c r="G51" i="3"/>
  <c r="D52" i="3"/>
  <c r="H51" i="3"/>
  <c r="E52" i="3"/>
  <c r="F23" i="3"/>
  <c r="G23" i="3"/>
  <c r="I23" i="3"/>
  <c r="D24" i="3"/>
  <c r="H24" i="3"/>
  <c r="H25" i="3"/>
  <c r="E24" i="3"/>
  <c r="D21" i="2"/>
  <c r="E20" i="2"/>
  <c r="C21" i="2"/>
  <c r="E21" i="2"/>
  <c r="B46" i="2"/>
  <c r="D46" i="2"/>
  <c r="C46" i="2"/>
  <c r="E45" i="2"/>
  <c r="P21" i="2"/>
  <c r="Q21" i="2"/>
  <c r="O54" i="5"/>
  <c r="S54" i="5"/>
  <c r="I51" i="3"/>
  <c r="F24" i="3"/>
  <c r="E53" i="3"/>
  <c r="F52" i="3"/>
  <c r="F53" i="3"/>
  <c r="H52" i="3"/>
  <c r="H53" i="3"/>
  <c r="G24" i="3"/>
  <c r="I24" i="3"/>
  <c r="E25" i="3"/>
  <c r="E46" i="2"/>
  <c r="C47" i="2"/>
  <c r="D47" i="2"/>
  <c r="R21" i="2"/>
  <c r="N55" i="5"/>
  <c r="Q55" i="5"/>
  <c r="G53" i="3"/>
  <c r="I53" i="3"/>
  <c r="G52" i="3"/>
  <c r="I52" i="3"/>
  <c r="F25" i="3"/>
  <c r="G25" i="3"/>
  <c r="I25" i="3"/>
  <c r="E47" i="2"/>
  <c r="P55" i="5"/>
  <c r="R55" i="5"/>
  <c r="I47" i="2"/>
  <c r="J47" i="2"/>
  <c r="O55" i="5"/>
  <c r="N56" i="5"/>
  <c r="Q56" i="5"/>
  <c r="S55" i="5"/>
  <c r="K47" i="2"/>
  <c r="P14" i="3"/>
  <c r="O14" i="3"/>
  <c r="N15" i="3"/>
  <c r="P15" i="3"/>
  <c r="P56" i="5"/>
  <c r="R56" i="5"/>
  <c r="Q15" i="3"/>
  <c r="O15" i="3"/>
  <c r="R15" i="3"/>
  <c r="O56" i="5"/>
  <c r="N57" i="5"/>
  <c r="Q57" i="5"/>
  <c r="S56" i="5"/>
  <c r="N16" i="3"/>
  <c r="S15" i="3"/>
  <c r="Q16" i="3"/>
  <c r="P16" i="3"/>
  <c r="R16" i="3"/>
  <c r="P57" i="5"/>
  <c r="R57" i="5"/>
  <c r="O16" i="3"/>
  <c r="N17" i="3"/>
  <c r="S16" i="3"/>
  <c r="Q17" i="3"/>
  <c r="R17" i="3"/>
  <c r="P17" i="3"/>
  <c r="O57" i="5"/>
  <c r="N58" i="5"/>
  <c r="Q58" i="5"/>
  <c r="S57" i="5"/>
  <c r="O17" i="3"/>
  <c r="N18" i="3"/>
  <c r="Q18" i="3"/>
  <c r="S17" i="3"/>
  <c r="P58" i="5"/>
  <c r="P59" i="5"/>
  <c r="R58" i="5"/>
  <c r="R59" i="5"/>
  <c r="R18" i="3"/>
  <c r="S18" i="3"/>
  <c r="P18" i="3"/>
  <c r="O18" i="3"/>
  <c r="N19" i="3"/>
  <c r="O58" i="5"/>
  <c r="S58" i="5"/>
  <c r="Q19" i="3"/>
  <c r="P19" i="3"/>
  <c r="R19" i="3"/>
  <c r="S59" i="5"/>
  <c r="S19" i="3"/>
  <c r="O19" i="3"/>
  <c r="N20" i="3"/>
  <c r="Q20" i="3"/>
  <c r="R20" i="3"/>
  <c r="P20" i="3"/>
  <c r="S20" i="3"/>
  <c r="O20" i="3"/>
  <c r="N21" i="3"/>
  <c r="Q21" i="3"/>
  <c r="R21" i="3"/>
  <c r="P21" i="3"/>
  <c r="S21" i="3"/>
  <c r="O21" i="3"/>
  <c r="N22" i="3"/>
  <c r="Q22" i="3"/>
  <c r="R22" i="3"/>
  <c r="P22" i="3"/>
  <c r="S22" i="3"/>
  <c r="O22" i="3"/>
  <c r="N23" i="3"/>
  <c r="Q23" i="3"/>
  <c r="P23" i="3"/>
  <c r="R23" i="3"/>
  <c r="S23" i="3"/>
  <c r="O23" i="3"/>
  <c r="N24" i="3"/>
  <c r="Q24" i="3"/>
  <c r="P24" i="3"/>
  <c r="P25" i="3"/>
  <c r="R24" i="3"/>
  <c r="R25" i="3"/>
  <c r="S24" i="3"/>
  <c r="O24" i="3"/>
  <c r="O25" i="3"/>
  <c r="Q25" i="3"/>
  <c r="S25" i="3"/>
  <c r="S41" i="3"/>
  <c r="N42" i="3"/>
  <c r="P42" i="3"/>
  <c r="Q42" i="3"/>
  <c r="S42" i="3"/>
  <c r="N43" i="3"/>
  <c r="N44" i="3"/>
  <c r="P43" i="3"/>
  <c r="Q43" i="3"/>
  <c r="S43" i="3"/>
  <c r="N45" i="3"/>
  <c r="P44" i="3"/>
  <c r="Q44" i="3"/>
  <c r="S44" i="3"/>
  <c r="R45" i="3"/>
  <c r="P45" i="3"/>
  <c r="R46" i="3"/>
  <c r="N47" i="3"/>
  <c r="P46" i="3"/>
  <c r="S46" i="3"/>
  <c r="P47" i="3"/>
  <c r="R47" i="3"/>
  <c r="S47" i="3"/>
  <c r="O47" i="3"/>
  <c r="N48" i="3"/>
  <c r="Q48" i="3"/>
  <c r="P48" i="3"/>
  <c r="R48" i="3"/>
  <c r="O48" i="3"/>
  <c r="S48" i="3"/>
  <c r="N49" i="3"/>
  <c r="Q49" i="3"/>
  <c r="R49" i="3"/>
  <c r="P49" i="3"/>
  <c r="S49" i="3"/>
  <c r="O49" i="3"/>
  <c r="N50" i="3"/>
  <c r="Q50" i="3"/>
  <c r="P50" i="3"/>
  <c r="R50" i="3"/>
  <c r="O50" i="3"/>
  <c r="S50" i="3"/>
  <c r="N51" i="3"/>
  <c r="Q51" i="3"/>
  <c r="R51" i="3"/>
  <c r="P51" i="3"/>
  <c r="S51" i="3"/>
  <c r="O51" i="3"/>
  <c r="N52" i="3"/>
  <c r="Q52" i="3"/>
  <c r="R52" i="3"/>
  <c r="R53" i="3"/>
  <c r="P52" i="3"/>
  <c r="P53" i="3"/>
  <c r="O52" i="3"/>
  <c r="O53" i="3"/>
  <c r="Q53" i="3"/>
  <c r="S53" i="3"/>
  <c r="S5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Sanguino Estrada</author>
  </authors>
  <commentList>
    <comment ref="A9" authorId="0" shapeId="0" xr:uid="{A793A502-BA69-4589-9422-6E52734D3A9D}">
      <text>
        <r>
          <rPr>
            <b/>
            <sz val="9"/>
            <color indexed="81"/>
            <rFont val="Tahoma"/>
            <family val="2"/>
          </rPr>
          <t>Lucas Sanguino Estrada:</t>
        </r>
        <r>
          <rPr>
            <sz val="9"/>
            <color indexed="81"/>
            <rFont val="Tahoma"/>
            <family val="2"/>
          </rPr>
          <t xml:space="preserve">
Este manda por ende todo tiene que estar en años</t>
        </r>
      </text>
    </comment>
    <comment ref="A23" authorId="0" shapeId="0" xr:uid="{4D48EED7-C213-404C-82E9-427B3E76F59F}">
      <text>
        <r>
          <rPr>
            <b/>
            <sz val="9"/>
            <color indexed="81"/>
            <rFont val="Tahoma"/>
            <family val="2"/>
          </rPr>
          <t>Lucas Sanguino Estrada:</t>
        </r>
        <r>
          <rPr>
            <sz val="9"/>
            <color indexed="81"/>
            <rFont val="Tahoma"/>
            <family val="2"/>
          </rPr>
          <t xml:space="preserve">
Este manda por ende todo tiene que estar en años</t>
        </r>
      </text>
    </comment>
    <comment ref="A35" authorId="0" shapeId="0" xr:uid="{9EB7DBA6-DF48-400A-9755-7CEB33144210}">
      <text>
        <r>
          <rPr>
            <b/>
            <sz val="9"/>
            <color indexed="81"/>
            <rFont val="Tahoma"/>
            <family val="2"/>
          </rPr>
          <t>Lucas Sanguino Estrada:</t>
        </r>
        <r>
          <rPr>
            <sz val="9"/>
            <color indexed="81"/>
            <rFont val="Tahoma"/>
            <family val="2"/>
          </rPr>
          <t xml:space="preserve">
Este manda por ende todo tiene que estar en años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Sanguino Estrada</author>
  </authors>
  <commentList>
    <comment ref="C8" authorId="0" shapeId="0" xr:uid="{3B764D88-74A8-43A8-8527-BB3F65FA7ABF}">
      <text>
        <r>
          <rPr>
            <b/>
            <sz val="9"/>
            <color indexed="81"/>
            <rFont val="Tahoma"/>
            <family val="2"/>
          </rPr>
          <t>Lucas Sanguino Estrada:</t>
        </r>
        <r>
          <rPr>
            <sz val="9"/>
            <color indexed="81"/>
            <rFont val="Tahoma"/>
            <family val="2"/>
          </rPr>
          <t xml:space="preserve">
ALEMAN SIEMPRE IGUAL LA AMORTIZACION</t>
        </r>
      </text>
    </comment>
    <comment ref="K8" authorId="0" shapeId="0" xr:uid="{CB393794-0232-46E8-81B5-65482FDC0A58}">
      <text>
        <r>
          <rPr>
            <b/>
            <sz val="9"/>
            <color indexed="81"/>
            <rFont val="Tahoma"/>
            <family val="2"/>
          </rPr>
          <t xml:space="preserve">Lucas Sanguino Estrada:FRANCES TODAS LAS CUOTAS SON IGUALES
</t>
        </r>
      </text>
    </comment>
    <comment ref="R8" authorId="0" shapeId="0" xr:uid="{3A5B488F-81D7-40E8-9EBA-F19F00B730F2}">
      <text>
        <r>
          <rPr>
            <b/>
            <sz val="9"/>
            <color indexed="81"/>
            <rFont val="Tahoma"/>
            <family val="2"/>
          </rPr>
          <t xml:space="preserve">Lucas Sanguino Estrada:FRANCES TODAS LAS CUOTAS SON IGUALES
</t>
        </r>
      </text>
    </comment>
    <comment ref="C34" authorId="0" shapeId="0" xr:uid="{28D4648A-1E40-4D99-A91F-0E77CDFAD9E9}">
      <text>
        <r>
          <rPr>
            <b/>
            <sz val="9"/>
            <color indexed="81"/>
            <rFont val="Tahoma"/>
            <family val="2"/>
          </rPr>
          <t>Lucas Sanguino Estrada:</t>
        </r>
        <r>
          <rPr>
            <sz val="9"/>
            <color indexed="81"/>
            <rFont val="Tahoma"/>
            <family val="2"/>
          </rPr>
          <t xml:space="preserve">
ALEMAN SIEMPRE IGUAL LA AMORTIZACION</t>
        </r>
      </text>
    </comment>
    <comment ref="K34" authorId="0" shapeId="0" xr:uid="{1178517A-5B2D-4354-A27A-D88E7154F9C5}">
      <text>
        <r>
          <rPr>
            <b/>
            <sz val="9"/>
            <color indexed="81"/>
            <rFont val="Tahoma"/>
            <family val="2"/>
          </rPr>
          <t xml:space="preserve">Lucas Sanguino Estrada:FRANCES TODAS LAS CUOTAS SON IGUALES
</t>
        </r>
      </text>
    </comment>
    <comment ref="C39" authorId="0" shapeId="0" xr:uid="{28418673-6CDF-47B2-8544-F78B54ECC10D}">
      <text>
        <r>
          <rPr>
            <b/>
            <sz val="9"/>
            <color indexed="81"/>
            <rFont val="Tahoma"/>
            <family val="2"/>
          </rPr>
          <t>Lucas Sanguino Estrada:</t>
        </r>
        <r>
          <rPr>
            <sz val="9"/>
            <color indexed="81"/>
            <rFont val="Tahoma"/>
            <family val="2"/>
          </rPr>
          <t xml:space="preserve">
5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Sanguino Estrada</author>
  </authors>
  <commentList>
    <comment ref="E12" authorId="0" shapeId="0" xr:uid="{FC74D339-ECC3-482B-9C81-99AE310433F4}">
      <text>
        <r>
          <rPr>
            <b/>
            <sz val="9"/>
            <color indexed="81"/>
            <rFont val="Tahoma"/>
            <family val="2"/>
          </rPr>
          <t>Lucas Sanguino Estrada:</t>
        </r>
        <r>
          <rPr>
            <sz val="9"/>
            <color indexed="81"/>
            <rFont val="Tahoma"/>
            <family val="2"/>
          </rPr>
          <t xml:space="preserve">
ALEMAN SIEMPRE IGUAL LA AMORTIZACION</t>
        </r>
      </text>
    </comment>
    <comment ref="O12" authorId="0" shapeId="0" xr:uid="{22426714-ECB4-43B9-BD07-D65AED2AB90E}">
      <text>
        <r>
          <rPr>
            <b/>
            <sz val="9"/>
            <color indexed="81"/>
            <rFont val="Tahoma"/>
            <family val="2"/>
          </rPr>
          <t>Lucas Sanguino Estrada:</t>
        </r>
        <r>
          <rPr>
            <sz val="9"/>
            <color indexed="81"/>
            <rFont val="Tahoma"/>
            <family val="2"/>
          </rPr>
          <t xml:space="preserve">
ALEMAN SIEMPRE IGUAL LA AMORTIZACION</t>
        </r>
      </text>
    </comment>
    <comment ref="E40" authorId="0" shapeId="0" xr:uid="{5D5F34C2-F9AF-43F4-A4FB-3114F3A1AC4C}">
      <text>
        <r>
          <rPr>
            <b/>
            <sz val="9"/>
            <color indexed="81"/>
            <rFont val="Tahoma"/>
            <family val="2"/>
          </rPr>
          <t>Lucas Sanguino Estrada:</t>
        </r>
        <r>
          <rPr>
            <sz val="9"/>
            <color indexed="81"/>
            <rFont val="Tahoma"/>
            <family val="2"/>
          </rPr>
          <t xml:space="preserve">
ALEMAN SIEMPRE IGUAL LA AMORTIZACION</t>
        </r>
      </text>
    </comment>
    <comment ref="O40" authorId="0" shapeId="0" xr:uid="{2297E353-36C6-42AF-82CA-0213E6449F49}">
      <text>
        <r>
          <rPr>
            <b/>
            <sz val="9"/>
            <color indexed="81"/>
            <rFont val="Tahoma"/>
            <family val="2"/>
          </rPr>
          <t>Lucas Sanguino Estrada:</t>
        </r>
        <r>
          <rPr>
            <sz val="9"/>
            <color indexed="81"/>
            <rFont val="Tahoma"/>
            <family val="2"/>
          </rPr>
          <t xml:space="preserve">
ALEMAN SIEMPRE IGUAL LA AMORTIZACION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Lucas Sanguino Estrada</author>
  </authors>
  <commentList>
    <comment ref="B18" authorId="0" shapeId="0" xr:uid="{6BD5F62D-2B88-41AA-BEAF-4039066860E8}">
      <text>
        <r>
          <rPr>
            <b/>
            <sz val="9"/>
            <color indexed="81"/>
            <rFont val="Tahoma"/>
            <family val="2"/>
          </rPr>
          <t>Lucas Sanguino Estrada:RESALTADO EN AZUL ES NORMATIVA BOLIVIANA</t>
        </r>
      </text>
    </comment>
    <comment ref="H18" authorId="0" shapeId="0" xr:uid="{583F70B7-C82A-44A5-A008-7AE956EC1C45}">
      <text>
        <r>
          <rPr>
            <b/>
            <sz val="9"/>
            <color indexed="81"/>
            <rFont val="Tahoma"/>
            <family val="2"/>
          </rPr>
          <t>Lucas Sanguino Estrada:</t>
        </r>
        <r>
          <rPr>
            <sz val="9"/>
            <color indexed="81"/>
            <rFont val="Tahoma"/>
            <family val="2"/>
          </rPr>
          <t xml:space="preserve">
Poliza de seguro</t>
        </r>
      </text>
    </comment>
    <comment ref="L18" authorId="0" shapeId="0" xr:uid="{BE559FE4-5C37-4417-9258-A10390EBAB36}">
      <text>
        <r>
          <rPr>
            <b/>
            <sz val="9"/>
            <color indexed="81"/>
            <rFont val="Tahoma"/>
            <family val="2"/>
          </rPr>
          <t>Lucas Sanguino Estrada:RESALTADO EN AZUL ES NORMATIVA BOLIVIANA</t>
        </r>
      </text>
    </comment>
    <comment ref="R18" authorId="0" shapeId="0" xr:uid="{742D5CEA-2541-4514-9AC6-C9A3EF6BC501}">
      <text>
        <r>
          <rPr>
            <b/>
            <sz val="9"/>
            <color indexed="81"/>
            <rFont val="Tahoma"/>
            <family val="2"/>
          </rPr>
          <t>Lucas Sanguino Estrada:</t>
        </r>
        <r>
          <rPr>
            <sz val="9"/>
            <color indexed="81"/>
            <rFont val="Tahoma"/>
            <family val="2"/>
          </rPr>
          <t xml:space="preserve">
Poliza de seguro</t>
        </r>
      </text>
    </comment>
    <comment ref="B47" authorId="0" shapeId="0" xr:uid="{51DD001F-60CC-4211-A1AF-0516B8443955}">
      <text>
        <r>
          <rPr>
            <b/>
            <sz val="9"/>
            <color indexed="81"/>
            <rFont val="Tahoma"/>
            <family val="2"/>
          </rPr>
          <t>Lucas Sanguino Estrada:RESALTADO EN AZUL ES NORMATIVA BOLIVIANA</t>
        </r>
      </text>
    </comment>
    <comment ref="E47" authorId="0" shapeId="0" xr:uid="{5D335E83-197A-4B91-A428-5DF1EF2C0777}">
      <text>
        <r>
          <rPr>
            <b/>
            <sz val="9"/>
            <color indexed="81"/>
            <rFont val="Tahoma"/>
            <family val="2"/>
          </rPr>
          <t xml:space="preserve">Lucas Sanguino Estrada: 
Todas las amortizaciones iguales
</t>
        </r>
      </text>
    </comment>
    <comment ref="H47" authorId="0" shapeId="0" xr:uid="{88D910C2-E9D3-4EC3-BC0E-BFD5DD52C5E0}">
      <text>
        <r>
          <rPr>
            <b/>
            <sz val="9"/>
            <color indexed="81"/>
            <rFont val="Tahoma"/>
            <family val="2"/>
          </rPr>
          <t>Lucas Sanguino Estrada:</t>
        </r>
        <r>
          <rPr>
            <sz val="9"/>
            <color indexed="81"/>
            <rFont val="Tahoma"/>
            <family val="2"/>
          </rPr>
          <t xml:space="preserve">
Poliza de seguro</t>
        </r>
      </text>
    </comment>
    <comment ref="L47" authorId="0" shapeId="0" xr:uid="{65AE71E9-CD36-44F3-B2A3-7BD3FDEC7C4D}">
      <text>
        <r>
          <rPr>
            <b/>
            <sz val="9"/>
            <color indexed="81"/>
            <rFont val="Tahoma"/>
            <family val="2"/>
          </rPr>
          <t>Lucas Sanguino Estrada:RESALTADO EN AZUL ES NORMATIVA BOLIVIANA</t>
        </r>
      </text>
    </comment>
    <comment ref="R47" authorId="0" shapeId="0" xr:uid="{591463CD-F979-4725-B5D0-9AD1857F695A}">
      <text>
        <r>
          <rPr>
            <b/>
            <sz val="9"/>
            <color indexed="81"/>
            <rFont val="Tahoma"/>
            <family val="2"/>
          </rPr>
          <t>Lucas Sanguino Estrada:</t>
        </r>
        <r>
          <rPr>
            <sz val="9"/>
            <color indexed="81"/>
            <rFont val="Tahoma"/>
            <family val="2"/>
          </rPr>
          <t xml:space="preserve">
Poliza de seguro</t>
        </r>
      </text>
    </comment>
  </commentList>
</comments>
</file>

<file path=xl/sharedStrings.xml><?xml version="1.0" encoding="utf-8"?>
<sst xmlns="http://schemas.openxmlformats.org/spreadsheetml/2006/main" count="575" uniqueCount="131">
  <si>
    <t>Aleman</t>
  </si>
  <si>
    <t>Las amotizaciones son constantes</t>
  </si>
  <si>
    <t>Datos</t>
  </si>
  <si>
    <t>C=</t>
  </si>
  <si>
    <t>k=</t>
  </si>
  <si>
    <t>T=</t>
  </si>
  <si>
    <t>t=</t>
  </si>
  <si>
    <t>C=10000</t>
  </si>
  <si>
    <t>k=5% semestral</t>
  </si>
  <si>
    <t>T= 5 años</t>
  </si>
  <si>
    <t>t= anuales</t>
  </si>
  <si>
    <t>METODO AMORTIZACIÓN</t>
  </si>
  <si>
    <t>5 periodos</t>
  </si>
  <si>
    <t>10% anual</t>
  </si>
  <si>
    <t>Nro</t>
  </si>
  <si>
    <t>Capital</t>
  </si>
  <si>
    <t>Amort-.</t>
  </si>
  <si>
    <t>Intereses</t>
  </si>
  <si>
    <t>Cuotas</t>
  </si>
  <si>
    <t>TOTALES</t>
  </si>
  <si>
    <t>tD= 2 años</t>
  </si>
  <si>
    <t>2 periodos</t>
  </si>
  <si>
    <t>Metodo Frances</t>
  </si>
  <si>
    <t>Metodo amerciano</t>
  </si>
  <si>
    <t>Todos los periodos son diferentes</t>
  </si>
  <si>
    <t>METODO ALEMAN</t>
  </si>
  <si>
    <t>DATOS</t>
  </si>
  <si>
    <t>años</t>
  </si>
  <si>
    <t>trimestrales</t>
  </si>
  <si>
    <t>anual</t>
  </si>
  <si>
    <t>transformar "k" y "t"</t>
  </si>
  <si>
    <t>trimestral</t>
  </si>
  <si>
    <t>trimestres</t>
  </si>
  <si>
    <t>No.</t>
  </si>
  <si>
    <t>CAPITAL</t>
  </si>
  <si>
    <t>INTERESES</t>
  </si>
  <si>
    <t>CUOTAS</t>
  </si>
  <si>
    <t>AMORTIZACIÓN</t>
  </si>
  <si>
    <t xml:space="preserve">METODO FRANCES </t>
  </si>
  <si>
    <t xml:space="preserve">METODO AMERICANO </t>
  </si>
  <si>
    <t>tD=</t>
  </si>
  <si>
    <t xml:space="preserve">año </t>
  </si>
  <si>
    <t>A=</t>
  </si>
  <si>
    <t>CK</t>
  </si>
  <si>
    <t>1-(1-k)^-(t-tg)</t>
  </si>
  <si>
    <t>&lt;-SE COPIO ACA EL DE ARRIBA</t>
  </si>
  <si>
    <t>FECHA. VCTO.</t>
  </si>
  <si>
    <t>Tre+K</t>
  </si>
  <si>
    <t>Deembolso</t>
  </si>
  <si>
    <t>Kd=</t>
  </si>
  <si>
    <t>Pr=</t>
  </si>
  <si>
    <t>Proyeccion</t>
  </si>
  <si>
    <t>actual</t>
  </si>
  <si>
    <t>1 mes</t>
  </si>
  <si>
    <t>2 meses</t>
  </si>
  <si>
    <t>3 meses</t>
  </si>
  <si>
    <t>4 meses</t>
  </si>
  <si>
    <t>5 meses</t>
  </si>
  <si>
    <t>6 meses</t>
  </si>
  <si>
    <t>transformar "Tre"</t>
  </si>
  <si>
    <t>tR=</t>
  </si>
  <si>
    <t>DESGRAVAMEN</t>
  </si>
  <si>
    <t>TOTAL</t>
  </si>
  <si>
    <t>Desembolso</t>
  </si>
  <si>
    <t>kd=</t>
  </si>
  <si>
    <t>PR=</t>
  </si>
  <si>
    <t>td=</t>
  </si>
  <si>
    <t>año</t>
  </si>
  <si>
    <t>2. EJERCICIO</t>
  </si>
  <si>
    <t>DATOS P TASA</t>
  </si>
  <si>
    <t>K1</t>
  </si>
  <si>
    <t>m</t>
  </si>
  <si>
    <t>?</t>
  </si>
  <si>
    <t>bimestral</t>
  </si>
  <si>
    <t>CG´</t>
  </si>
  <si>
    <t xml:space="preserve">CG </t>
  </si>
  <si>
    <t>A</t>
  </si>
  <si>
    <t>G</t>
  </si>
  <si>
    <t>k</t>
  </si>
  <si>
    <t>t</t>
  </si>
  <si>
    <t>T</t>
  </si>
  <si>
    <t>60 bimestres</t>
  </si>
  <si>
    <t xml:space="preserve">k </t>
  </si>
  <si>
    <t>---------------</t>
  </si>
  <si>
    <t xml:space="preserve">igual a </t>
  </si>
  <si>
    <t xml:space="preserve"> bimestral</t>
  </si>
  <si>
    <t>A=?</t>
  </si>
  <si>
    <t>a</t>
  </si>
  <si>
    <t>b</t>
  </si>
  <si>
    <t>C42</t>
  </si>
  <si>
    <t>3) Anualidad variable aritmetica</t>
  </si>
  <si>
    <t>2)Anualidades variable geometrica</t>
  </si>
  <si>
    <t>Datos p/ tasa</t>
  </si>
  <si>
    <t xml:space="preserve">K   </t>
  </si>
  <si>
    <t>m=</t>
  </si>
  <si>
    <t>k1=?</t>
  </si>
  <si>
    <t>J</t>
  </si>
  <si>
    <t>4% trimestral</t>
  </si>
  <si>
    <t>24 trimestres</t>
  </si>
  <si>
    <t>C</t>
  </si>
  <si>
    <r>
      <t>K</t>
    </r>
    <r>
      <rPr>
        <vertAlign val="subscript"/>
        <sz val="11"/>
        <color rgb="FFFF0000"/>
        <rFont val="Aptos Narrow"/>
        <family val="2"/>
        <scheme val="minor"/>
      </rPr>
      <t>D</t>
    </r>
    <r>
      <rPr>
        <sz val="11"/>
        <color rgb="FFFF0000"/>
        <rFont val="Aptos Narrow"/>
        <family val="2"/>
        <scheme val="minor"/>
      </rPr>
      <t>=</t>
    </r>
  </si>
  <si>
    <r>
      <t>t</t>
    </r>
    <r>
      <rPr>
        <vertAlign val="subscript"/>
        <sz val="11"/>
        <color rgb="FFFF0000"/>
        <rFont val="Aptos Narrow"/>
        <family val="2"/>
        <scheme val="minor"/>
      </rPr>
      <t>a</t>
    </r>
    <r>
      <rPr>
        <sz val="11"/>
        <color rgb="FFFF0000"/>
        <rFont val="Aptos Narrow"/>
        <family val="2"/>
        <scheme val="minor"/>
      </rPr>
      <t>=</t>
    </r>
  </si>
  <si>
    <t>cuatrimestral</t>
  </si>
  <si>
    <t>3 años y 8 meses</t>
  </si>
  <si>
    <t>desemb.=</t>
  </si>
  <si>
    <t>¿Cuántos periodos de pago hay en un año?</t>
  </si>
  <si>
    <t xml:space="preserve">trasformar "k" y "t" </t>
  </si>
  <si>
    <t>cuatrimestres</t>
  </si>
  <si>
    <t>proyeccion</t>
  </si>
  <si>
    <t>9 meses</t>
  </si>
  <si>
    <t>1 año</t>
  </si>
  <si>
    <t>No</t>
  </si>
  <si>
    <t>fecha vcto</t>
  </si>
  <si>
    <t>TRE+K</t>
  </si>
  <si>
    <t>amortizacion</t>
  </si>
  <si>
    <t>intereses</t>
  </si>
  <si>
    <t>cuota</t>
  </si>
  <si>
    <t>desgravament</t>
  </si>
  <si>
    <t>total</t>
  </si>
  <si>
    <t>tasa</t>
  </si>
  <si>
    <r>
      <t>t</t>
    </r>
    <r>
      <rPr>
        <vertAlign val="subscript"/>
        <sz val="11"/>
        <color theme="1"/>
        <rFont val="Aptos Narrow"/>
        <family val="2"/>
        <scheme val="minor"/>
      </rPr>
      <t>D</t>
    </r>
  </si>
  <si>
    <t>meses</t>
  </si>
  <si>
    <t>METODO FRANCES</t>
  </si>
  <si>
    <t>EL TIEMPO DIFERIDO SE CALCULA IGUAL QUE EL ALEMAN</t>
  </si>
  <si>
    <t>EJERCICIO 5 EJERCICIOS DE AMORTIZACION CON NORMA BOLIVIANA</t>
  </si>
  <si>
    <t>METODO</t>
  </si>
  <si>
    <t>NORMA BOLIVIANA</t>
  </si>
  <si>
    <t>SIN TIEMPO DIFERIDO</t>
  </si>
  <si>
    <t>mensual</t>
  </si>
  <si>
    <t>Ct</t>
  </si>
  <si>
    <t>C'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</si>
</sst>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Bs&quot;#,##0.00;[Red]\-&quot;Bs&quot;#,##0.0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vertAlign val="subscript"/>
      <sz val="11"/>
      <color rgb="FFFF0000"/>
      <name val="Aptos Narrow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indexed="64"/>
      </right>
      <top/>
      <bottom/>
      <diagonal/>
    </border>
    <border>
      <left style="thin">
        <color rgb="FFFF0000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rgb="FFFF0000"/>
      </top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/>
      <bottom style="medium">
        <color rgb="FFFF000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7">
    <xf numFmtId="0" fontId="0" fillId="0" borderId="0" xfId="0"/>
    <xf numFmtId="0" fontId="3" fillId="0" borderId="0" xfId="0" applyFont="1"/>
    <xf numFmtId="0" fontId="6" fillId="0" borderId="0" xfId="0" applyFont="1"/>
    <xf numFmtId="0" fontId="0" fillId="0" borderId="1" xfId="0" applyBorder="1"/>
    <xf numFmtId="0" fontId="8" fillId="0" borderId="0" xfId="0" applyFont="1"/>
    <xf numFmtId="9" fontId="0" fillId="0" borderId="0" xfId="0" applyNumberFormat="1"/>
    <xf numFmtId="10" fontId="0" fillId="0" borderId="0" xfId="1" applyNumberFormat="1" applyFont="1"/>
    <xf numFmtId="0" fontId="7" fillId="2" borderId="1" xfId="0" applyFont="1" applyFill="1" applyBorder="1"/>
    <xf numFmtId="4" fontId="0" fillId="0" borderId="1" xfId="0" applyNumberFormat="1" applyBorder="1"/>
    <xf numFmtId="4" fontId="0" fillId="0" borderId="0" xfId="0" applyNumberFormat="1"/>
    <xf numFmtId="4" fontId="0" fillId="2" borderId="1" xfId="0" applyNumberFormat="1" applyFill="1" applyBorder="1"/>
    <xf numFmtId="4" fontId="0" fillId="3" borderId="1" xfId="0" applyNumberFormat="1" applyFill="1" applyBorder="1"/>
    <xf numFmtId="4" fontId="0" fillId="3" borderId="6" xfId="0" applyNumberFormat="1" applyFill="1" applyBorder="1"/>
    <xf numFmtId="4" fontId="0" fillId="0" borderId="6" xfId="0" applyNumberFormat="1" applyBorder="1"/>
    <xf numFmtId="4" fontId="0" fillId="0" borderId="7" xfId="0" applyNumberFormat="1" applyBorder="1"/>
    <xf numFmtId="4" fontId="0" fillId="0" borderId="8" xfId="0" applyNumberFormat="1" applyBorder="1"/>
    <xf numFmtId="4" fontId="0" fillId="2" borderId="4" xfId="0" applyNumberFormat="1" applyFill="1" applyBorder="1"/>
    <xf numFmtId="164" fontId="0" fillId="0" borderId="0" xfId="0" applyNumberFormat="1"/>
    <xf numFmtId="0" fontId="0" fillId="4" borderId="1" xfId="0" applyFill="1" applyBorder="1"/>
    <xf numFmtId="4" fontId="0" fillId="4" borderId="1" xfId="0" applyNumberFormat="1" applyFill="1" applyBorder="1"/>
    <xf numFmtId="0" fontId="0" fillId="5" borderId="1" xfId="0" applyFill="1" applyBorder="1"/>
    <xf numFmtId="4" fontId="0" fillId="5" borderId="1" xfId="0" applyNumberFormat="1" applyFill="1" applyBorder="1"/>
    <xf numFmtId="0" fontId="0" fillId="0" borderId="10" xfId="0" applyBorder="1"/>
    <xf numFmtId="0" fontId="0" fillId="0" borderId="2" xfId="0" applyBorder="1"/>
    <xf numFmtId="10" fontId="0" fillId="0" borderId="0" xfId="0" applyNumberFormat="1"/>
    <xf numFmtId="0" fontId="2" fillId="0" borderId="0" xfId="0" applyFont="1"/>
    <xf numFmtId="14" fontId="2" fillId="0" borderId="0" xfId="0" applyNumberFormat="1" applyFont="1"/>
    <xf numFmtId="10" fontId="2" fillId="0" borderId="0" xfId="0" applyNumberFormat="1" applyFont="1"/>
    <xf numFmtId="0" fontId="9" fillId="6" borderId="11" xfId="0" applyFont="1" applyFill="1" applyBorder="1"/>
    <xf numFmtId="0" fontId="10" fillId="6" borderId="1" xfId="0" applyFont="1" applyFill="1" applyBorder="1"/>
    <xf numFmtId="0" fontId="9" fillId="6" borderId="1" xfId="0" applyFont="1" applyFill="1" applyBorder="1"/>
    <xf numFmtId="14" fontId="0" fillId="0" borderId="1" xfId="0" applyNumberFormat="1" applyBorder="1"/>
    <xf numFmtId="10" fontId="0" fillId="0" borderId="1" xfId="0" applyNumberFormat="1" applyBorder="1"/>
    <xf numFmtId="4" fontId="0" fillId="2" borderId="12" xfId="0" applyNumberFormat="1" applyFill="1" applyBorder="1"/>
    <xf numFmtId="4" fontId="0" fillId="0" borderId="13" xfId="0" applyNumberFormat="1" applyBorder="1"/>
    <xf numFmtId="0" fontId="0" fillId="0" borderId="5" xfId="0" applyBorder="1"/>
    <xf numFmtId="164" fontId="0" fillId="0" borderId="1" xfId="0" applyNumberFormat="1" applyBorder="1"/>
    <xf numFmtId="0" fontId="0" fillId="7" borderId="1" xfId="0" applyFill="1" applyBorder="1"/>
    <xf numFmtId="14" fontId="0" fillId="7" borderId="1" xfId="0" applyNumberFormat="1" applyFill="1" applyBorder="1"/>
    <xf numFmtId="10" fontId="0" fillId="7" borderId="1" xfId="0" applyNumberFormat="1" applyFill="1" applyBorder="1"/>
    <xf numFmtId="4" fontId="0" fillId="7" borderId="1" xfId="0" applyNumberFormat="1" applyFill="1" applyBorder="1"/>
    <xf numFmtId="4" fontId="0" fillId="7" borderId="0" xfId="0" applyNumberFormat="1" applyFill="1"/>
    <xf numFmtId="0" fontId="2" fillId="2" borderId="1" xfId="0" applyFont="1" applyFill="1" applyBorder="1" applyAlignment="1">
      <alignment horizontal="center" vertical="center"/>
    </xf>
    <xf numFmtId="14" fontId="0" fillId="4" borderId="1" xfId="0" applyNumberFormat="1" applyFill="1" applyBorder="1"/>
    <xf numFmtId="10" fontId="0" fillId="4" borderId="1" xfId="0" applyNumberFormat="1" applyFill="1" applyBorder="1"/>
    <xf numFmtId="164" fontId="0" fillId="4" borderId="1" xfId="0" applyNumberFormat="1" applyFill="1" applyBorder="1"/>
    <xf numFmtId="4" fontId="0" fillId="8" borderId="0" xfId="0" applyNumberFormat="1" applyFill="1"/>
    <xf numFmtId="0" fontId="3" fillId="0" borderId="5" xfId="0" applyFont="1" applyBorder="1"/>
    <xf numFmtId="4" fontId="3" fillId="0" borderId="1" xfId="0" applyNumberFormat="1" applyFont="1" applyBorder="1"/>
    <xf numFmtId="0" fontId="0" fillId="0" borderId="0" xfId="0" quotePrefix="1"/>
    <xf numFmtId="0" fontId="11" fillId="0" borderId="0" xfId="0" applyFont="1"/>
    <xf numFmtId="0" fontId="2" fillId="2" borderId="0" xfId="0" applyFont="1" applyFill="1"/>
    <xf numFmtId="0" fontId="0" fillId="2" borderId="0" xfId="0" applyFill="1"/>
    <xf numFmtId="0" fontId="2" fillId="2" borderId="1" xfId="0" applyFont="1" applyFill="1" applyBorder="1"/>
    <xf numFmtId="0" fontId="10" fillId="9" borderId="1" xfId="0" applyFont="1" applyFill="1" applyBorder="1"/>
    <xf numFmtId="9" fontId="0" fillId="0" borderId="1" xfId="0" applyNumberFormat="1" applyBorder="1"/>
    <xf numFmtId="0" fontId="3" fillId="0" borderId="1" xfId="0" applyFont="1" applyBorder="1"/>
    <xf numFmtId="0" fontId="0" fillId="10" borderId="1" xfId="0" applyFill="1" applyBorder="1"/>
    <xf numFmtId="0" fontId="0" fillId="2" borderId="1" xfId="0" applyFill="1" applyBorder="1"/>
    <xf numFmtId="0" fontId="0" fillId="0" borderId="3" xfId="0" applyBorder="1"/>
    <xf numFmtId="0" fontId="0" fillId="0" borderId="6" xfId="0" applyBorder="1"/>
    <xf numFmtId="0" fontId="0" fillId="2" borderId="4" xfId="0" applyFill="1" applyBorder="1"/>
    <xf numFmtId="0" fontId="0" fillId="11" borderId="1" xfId="0" applyFill="1" applyBorder="1"/>
    <xf numFmtId="164" fontId="0" fillId="11" borderId="1" xfId="0" applyNumberFormat="1" applyFill="1" applyBorder="1"/>
    <xf numFmtId="0" fontId="10" fillId="12" borderId="0" xfId="0" applyFont="1" applyFill="1"/>
    <xf numFmtId="0" fontId="0" fillId="13" borderId="1" xfId="0" applyFill="1" applyBorder="1"/>
    <xf numFmtId="0" fontId="0" fillId="11" borderId="6" xfId="0" applyFill="1" applyBorder="1"/>
    <xf numFmtId="0" fontId="0" fillId="0" borderId="14" xfId="0" applyBorder="1"/>
    <xf numFmtId="164" fontId="0" fillId="13" borderId="1" xfId="0" applyNumberFormat="1" applyFill="1" applyBorder="1"/>
    <xf numFmtId="164" fontId="0" fillId="2" borderId="4" xfId="0" applyNumberFormat="1" applyFill="1" applyBorder="1"/>
    <xf numFmtId="164" fontId="0" fillId="11" borderId="6" xfId="0" applyNumberFormat="1" applyFill="1" applyBorder="1"/>
    <xf numFmtId="164" fontId="0" fillId="13" borderId="6" xfId="0" applyNumberFormat="1" applyFill="1" applyBorder="1"/>
    <xf numFmtId="0" fontId="0" fillId="0" borderId="15" xfId="0" applyBorder="1"/>
    <xf numFmtId="164" fontId="0" fillId="0" borderId="16" xfId="0" applyNumberFormat="1" applyBorder="1"/>
    <xf numFmtId="0" fontId="0" fillId="0" borderId="17" xfId="0" applyBorder="1"/>
    <xf numFmtId="0" fontId="0" fillId="0" borderId="19" xfId="0" applyBorder="1"/>
    <xf numFmtId="0" fontId="0" fillId="0" borderId="18" xfId="0" applyBorder="1"/>
    <xf numFmtId="0" fontId="0" fillId="0" borderId="16" xfId="0" applyBorder="1"/>
    <xf numFmtId="164" fontId="0" fillId="0" borderId="6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2" fillId="2" borderId="0" xfId="0" applyFont="1" applyFill="1" applyAlignment="1">
      <alignment horizontal="center"/>
    </xf>
    <xf numFmtId="43" fontId="0" fillId="0" borderId="0" xfId="2" applyFont="1"/>
    <xf numFmtId="43" fontId="0" fillId="0" borderId="0" xfId="0" applyNumberFormat="1"/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467285</xdr:colOff>
      <xdr:row>32</xdr:row>
      <xdr:rowOff>108696</xdr:rowOff>
    </xdr:from>
    <xdr:ext cx="1498872" cy="17376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9E86777-243C-295B-0FAA-D9A2F3B70278}"/>
                </a:ext>
              </a:extLst>
            </xdr:cNvPr>
            <xdr:cNvSpPr txBox="1"/>
          </xdr:nvSpPr>
          <xdr:spPr>
            <a:xfrm>
              <a:off x="10048314" y="6339167"/>
              <a:ext cx="14988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a:fld id="{825F15A7-03F4-43D7-82C5-3E23DA2F108C}" type="mathplaceholder">
                      <a:rPr lang="es-US" sz="1100" i="1">
                        <a:latin typeface="Cambria Math" panose="02040503050406030204" pitchFamily="18" charset="0"/>
                      </a:rPr>
                      <a:t>Escriba aquí la ecuación.</a:t>
                    </a:fld>
                  </m:oMath>
                </m:oMathPara>
              </a14:m>
              <a:endParaRPr lang="es-US" sz="11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19E86777-243C-295B-0FAA-D9A2F3B70278}"/>
                </a:ext>
              </a:extLst>
            </xdr:cNvPr>
            <xdr:cNvSpPr txBox="1"/>
          </xdr:nvSpPr>
          <xdr:spPr>
            <a:xfrm>
              <a:off x="10048314" y="6339167"/>
              <a:ext cx="1498872" cy="17376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US" sz="1100" i="0">
                  <a:latin typeface="Cambria Math" panose="02040503050406030204" pitchFamily="18" charset="0"/>
                </a:rPr>
                <a:t>"Escriba aquí la ecuación."</a:t>
              </a:r>
              <a:endParaRPr lang="es-US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257175</xdr:colOff>
      <xdr:row>0</xdr:row>
      <xdr:rowOff>209550</xdr:rowOff>
    </xdr:from>
    <xdr:to>
      <xdr:col>17</xdr:col>
      <xdr:colOff>133350</xdr:colOff>
      <xdr:row>6</xdr:row>
      <xdr:rowOff>104420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811C92-C81C-0772-ADCD-7A2E0F6DA2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19700" y="209550"/>
          <a:ext cx="7943850" cy="1085495"/>
        </a:xfrm>
        <a:prstGeom prst="rect">
          <a:avLst/>
        </a:prstGeom>
      </xdr:spPr>
    </xdr:pic>
    <xdr:clientData/>
  </xdr:twoCellAnchor>
  <xdr:twoCellAnchor editAs="oneCell">
    <xdr:from>
      <xdr:col>7</xdr:col>
      <xdr:colOff>419100</xdr:colOff>
      <xdr:row>21</xdr:row>
      <xdr:rowOff>66675</xdr:rowOff>
    </xdr:from>
    <xdr:to>
      <xdr:col>15</xdr:col>
      <xdr:colOff>600075</xdr:colOff>
      <xdr:row>25</xdr:row>
      <xdr:rowOff>186255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8992FF0F-EC72-223F-18F3-7079E85E61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81625" y="4114800"/>
          <a:ext cx="6724650" cy="929205"/>
        </a:xfrm>
        <a:prstGeom prst="rect">
          <a:avLst/>
        </a:prstGeom>
      </xdr:spPr>
    </xdr:pic>
    <xdr:clientData/>
  </xdr:twoCellAnchor>
  <xdr:twoCellAnchor>
    <xdr:from>
      <xdr:col>12</xdr:col>
      <xdr:colOff>19050</xdr:colOff>
      <xdr:row>31</xdr:row>
      <xdr:rowOff>114300</xdr:rowOff>
    </xdr:from>
    <xdr:to>
      <xdr:col>15</xdr:col>
      <xdr:colOff>190500</xdr:colOff>
      <xdr:row>34</xdr:row>
      <xdr:rowOff>43002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CuadroTexto 8">
              <a:extLst>
                <a:ext uri="{FF2B5EF4-FFF2-40B4-BE49-F238E27FC236}">
                  <a16:creationId xmlns:a16="http://schemas.microsoft.com/office/drawing/2014/main" id="{D18C732E-13D2-4C02-802F-51E705CC8980}"/>
                </a:ext>
              </a:extLst>
            </xdr:cNvPr>
            <xdr:cNvSpPr txBox="1"/>
          </xdr:nvSpPr>
          <xdr:spPr>
            <a:xfrm>
              <a:off x="9239250" y="6115050"/>
              <a:ext cx="2457450" cy="500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defPPr>
                <a:defRPr lang="es-B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14:m>
                <m:oMathPara xmlns:m="http://schemas.openxmlformats.org/officeDocument/2006/math">
                  <m:oMathParaPr>
                    <m:jc m:val="left"/>
                  </m:oMathParaPr>
                  <m:oMath xmlns:m="http://schemas.openxmlformats.org/officeDocument/2006/math">
                    <m:r>
                      <a:rPr lang="es-ES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n-US" sz="110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n-US" sz="110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𝐶</m:t>
                                </m:r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´</m:t>
                                </m:r>
                              </m:e>
                              <m:sub>
                                <m:r>
                                  <a:rPr lang="es-ES" sz="1100" b="0" i="1">
                                    <a:latin typeface="Cambria Math" panose="02040503050406030204" pitchFamily="18" charset="0"/>
                                  </a:rPr>
                                  <m:t>𝐺</m:t>
                                </m:r>
                              </m:sub>
                            </m:sSub>
                            <m:r>
                              <a:rPr lang="es-E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f>
                              <m:fPr>
                                <m:ctrlPr>
                                  <a:rPr lang="en-US" sz="11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1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𝐺</m:t>
                                </m:r>
                              </m:num>
                              <m:den>
                                <m:r>
                                  <a:rPr lang="en-US" sz="11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den>
                            </m:f>
                            <m:d>
                              <m:dPr>
                                <m:begChr m:val="["/>
                                <m:endChr m:val="]"/>
                                <m:ctrlPr>
                                  <a:rPr lang="en-US" sz="11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f>
                                  <m:fPr>
                                    <m:ctrlPr>
                                      <a:rPr lang="en-US" sz="11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sSup>
                                      <m:sSupPr>
                                        <m:ctrlPr>
                                          <a:rPr lang="en-US" sz="1100" b="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sSupPr>
                                      <m:e>
                                        <m:d>
                                          <m:dPr>
                                            <m:ctrlPr>
                                              <a:rPr lang="en-US" sz="1100" b="0" i="1" kern="1200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dPr>
                                          <m:e>
                                            <m:r>
                                              <a:rPr lang="en-US" sz="1100" b="0" i="1" kern="1200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1+</m:t>
                                            </m:r>
                                            <m:r>
                                              <a:rPr lang="en-US" sz="1100" b="0" i="1" kern="1200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𝑘</m:t>
                                            </m:r>
                                          </m:e>
                                        </m:d>
                                      </m:e>
                                      <m:sup>
                                        <m:r>
                                          <a:rPr lang="en-US" sz="1100" b="0" i="1" kern="1200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𝑡</m:t>
                                        </m:r>
                                      </m:sup>
                                    </m:sSup>
                                    <m:r>
                                      <a:rPr lang="en-US" sz="11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−1</m:t>
                                    </m:r>
                                  </m:num>
                                  <m:den>
                                    <m:r>
                                      <a:rPr lang="en-US" sz="1100" b="0" i="1" kern="12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𝑘</m:t>
                                    </m:r>
                                  </m:den>
                                </m:f>
                                <m:r>
                                  <a:rPr lang="en-US" sz="11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r>
                                  <a:rPr lang="en-US" sz="1100" b="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𝑡</m:t>
                                </m:r>
                              </m:e>
                            </m:d>
                          </m:e>
                        </m:d>
                        <m:r>
                          <a:rPr lang="es-ES" sz="1100" b="0" i="1">
                            <a:latin typeface="Cambria Math" panose="02040503050406030204" pitchFamily="18" charset="0"/>
                          </a:rPr>
                          <m:t>𝑘</m:t>
                        </m:r>
                      </m:num>
                      <m:den>
                        <m:sSup>
                          <m:sSupPr>
                            <m:ctrlP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en-US" sz="11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US" sz="11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1+</m:t>
                                </m:r>
                                <m:r>
                                  <a:rPr lang="en-US" sz="1100" i="1" kern="120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𝑘</m:t>
                                </m:r>
                              </m:e>
                            </m:d>
                          </m:e>
                          <m:sup>
                            <m:r>
                              <a:rPr lang="en-US" sz="1100" i="1" kern="12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</m:t>
                            </m:r>
                          </m:sup>
                        </m:sSup>
                        <m:r>
                          <a:rPr lang="en-US" sz="1100" b="0" i="1" kern="120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den>
                    </m:f>
                  </m:oMath>
                </m:oMathPara>
              </a14:m>
              <a:endParaRPr lang="es-BO" sz="1100"/>
            </a:p>
          </xdr:txBody>
        </xdr:sp>
      </mc:Choice>
      <mc:Fallback>
        <xdr:sp macro="" textlink="">
          <xdr:nvSpPr>
            <xdr:cNvPr id="5" name="CuadroTexto 8">
              <a:extLst>
                <a:ext uri="{FF2B5EF4-FFF2-40B4-BE49-F238E27FC236}">
                  <a16:creationId xmlns:a16="http://schemas.microsoft.com/office/drawing/2014/main" id="{D18C732E-13D2-4C02-802F-51E705CC8980}"/>
                </a:ext>
              </a:extLst>
            </xdr:cNvPr>
            <xdr:cNvSpPr txBox="1"/>
          </xdr:nvSpPr>
          <xdr:spPr>
            <a:xfrm>
              <a:off x="9239250" y="6115050"/>
              <a:ext cx="2457450" cy="5002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lIns="0" tIns="0" rIns="0" bIns="0" rtlCol="0" anchor="t">
              <a:spAutoFit/>
            </a:bodyPr>
            <a:lstStyle>
              <a:defPPr>
                <a:defRPr lang="es-B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l"/>
              <a:r>
                <a:rPr lang="es-ES" sz="1100" b="0" i="0">
                  <a:latin typeface="Cambria Math" panose="02040503050406030204" pitchFamily="18" charset="0"/>
                </a:rPr>
                <a:t>𝐴</a:t>
              </a:r>
              <a:r>
                <a:rPr lang="en-US" sz="1100" b="0" i="0">
                  <a:latin typeface="Cambria Math" panose="02040503050406030204" pitchFamily="18" charset="0"/>
                </a:rPr>
                <a:t>=</a:t>
              </a:r>
              <a:r>
                <a:rPr lang="en-US" sz="1100" i="0">
                  <a:latin typeface="Cambria Math" panose="02040503050406030204" pitchFamily="18" charset="0"/>
                </a:rPr>
                <a:t>(〖</a:t>
              </a:r>
              <a:r>
                <a:rPr lang="es-ES" sz="1100" b="0" i="0">
                  <a:latin typeface="Cambria Math" panose="02040503050406030204" pitchFamily="18" charset="0"/>
                </a:rPr>
                <a:t>𝐶´</a:t>
              </a:r>
              <a:r>
                <a:rPr lang="en-US" sz="1100" b="0" i="0">
                  <a:latin typeface="Cambria Math" panose="02040503050406030204" pitchFamily="18" charset="0"/>
                </a:rPr>
                <a:t>〗_</a:t>
              </a:r>
              <a:r>
                <a:rPr lang="es-ES" sz="1100" b="0" i="0">
                  <a:latin typeface="Cambria Math" panose="02040503050406030204" pitchFamily="18" charset="0"/>
                </a:rPr>
                <a:t>𝐺−</a:t>
              </a:r>
              <a:r>
                <a:rPr lang="en-US" sz="11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𝐺/𝑘 [((1+𝑘)^𝑡−1)/𝑘−𝑡])</a:t>
              </a:r>
              <a:r>
                <a:rPr lang="es-ES" sz="1100" b="0" i="0">
                  <a:latin typeface="Cambria Math" panose="02040503050406030204" pitchFamily="18" charset="0"/>
                </a:rPr>
                <a:t>𝑘</a:t>
              </a:r>
              <a:r>
                <a:rPr lang="en-US" sz="1100" b="0" i="0">
                  <a:latin typeface="Cambria Math" panose="02040503050406030204" pitchFamily="18" charset="0"/>
                </a:rPr>
                <a:t>/(</a:t>
              </a:r>
              <a:r>
                <a:rPr lang="en-US" sz="11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n-US" sz="110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1+𝑘)^𝑡</a:t>
              </a:r>
              <a:r>
                <a:rPr lang="en-US" sz="1100" b="0" i="0" kern="12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−1)</a:t>
              </a:r>
              <a:endParaRPr lang="es-BO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FCB24-04B0-4969-975C-41487496C4F1}">
  <dimension ref="A2:H50"/>
  <sheetViews>
    <sheetView workbookViewId="0">
      <selection activeCell="E21" sqref="E21"/>
    </sheetView>
  </sheetViews>
  <sheetFormatPr baseColWidth="10" defaultRowHeight="15" x14ac:dyDescent="0.25"/>
  <cols>
    <col min="1" max="1" width="23.7109375" bestFit="1" customWidth="1"/>
  </cols>
  <sheetData>
    <row r="2" spans="1:8" x14ac:dyDescent="0.25">
      <c r="A2" s="2" t="s">
        <v>11</v>
      </c>
    </row>
    <row r="3" spans="1:8" x14ac:dyDescent="0.25">
      <c r="A3" s="1" t="s">
        <v>0</v>
      </c>
      <c r="B3" t="s">
        <v>1</v>
      </c>
    </row>
    <row r="5" spans="1:8" x14ac:dyDescent="0.25">
      <c r="A5" t="s">
        <v>2</v>
      </c>
    </row>
    <row r="6" spans="1:8" x14ac:dyDescent="0.25">
      <c r="A6" t="s">
        <v>7</v>
      </c>
    </row>
    <row r="7" spans="1:8" x14ac:dyDescent="0.25">
      <c r="A7" t="s">
        <v>8</v>
      </c>
      <c r="B7" t="s">
        <v>13</v>
      </c>
      <c r="D7" s="3" t="s">
        <v>14</v>
      </c>
      <c r="E7" s="3" t="s">
        <v>15</v>
      </c>
      <c r="F7" s="3" t="s">
        <v>16</v>
      </c>
      <c r="G7" s="3" t="s">
        <v>17</v>
      </c>
      <c r="H7" s="3" t="s">
        <v>18</v>
      </c>
    </row>
    <row r="8" spans="1:8" x14ac:dyDescent="0.25">
      <c r="A8" t="s">
        <v>9</v>
      </c>
      <c r="D8" s="3">
        <v>1</v>
      </c>
      <c r="E8" s="3">
        <v>10000</v>
      </c>
      <c r="F8" s="3">
        <v>2000</v>
      </c>
      <c r="G8" s="3">
        <v>1000</v>
      </c>
      <c r="H8" s="3">
        <f>F8+G8</f>
        <v>3000</v>
      </c>
    </row>
    <row r="9" spans="1:8" x14ac:dyDescent="0.25">
      <c r="A9" s="1" t="s">
        <v>10</v>
      </c>
      <c r="B9" t="s">
        <v>12</v>
      </c>
      <c r="D9" s="3">
        <v>2</v>
      </c>
      <c r="E9" s="3">
        <f>E8-F8</f>
        <v>8000</v>
      </c>
      <c r="F9" s="3">
        <v>2000</v>
      </c>
      <c r="G9" s="3">
        <v>800</v>
      </c>
      <c r="H9" s="3">
        <f t="shared" ref="H9:H12" si="0">F9+G9</f>
        <v>2800</v>
      </c>
    </row>
    <row r="10" spans="1:8" x14ac:dyDescent="0.25">
      <c r="D10" s="3">
        <v>3</v>
      </c>
      <c r="E10" s="3">
        <f t="shared" ref="E10:E11" si="1">E9-F9</f>
        <v>6000</v>
      </c>
      <c r="F10" s="3">
        <v>2000</v>
      </c>
      <c r="G10" s="3">
        <v>600</v>
      </c>
      <c r="H10" s="3">
        <f t="shared" si="0"/>
        <v>2600</v>
      </c>
    </row>
    <row r="11" spans="1:8" x14ac:dyDescent="0.25">
      <c r="D11" s="3">
        <v>4</v>
      </c>
      <c r="E11" s="3">
        <f t="shared" si="1"/>
        <v>4000</v>
      </c>
      <c r="F11" s="3">
        <v>2000</v>
      </c>
      <c r="G11" s="3">
        <v>400</v>
      </c>
      <c r="H11" s="3">
        <f t="shared" si="0"/>
        <v>2400</v>
      </c>
    </row>
    <row r="12" spans="1:8" x14ac:dyDescent="0.25">
      <c r="D12" s="3">
        <v>5</v>
      </c>
      <c r="E12" s="3">
        <f>E11-F11</f>
        <v>2000</v>
      </c>
      <c r="F12" s="3">
        <v>2000</v>
      </c>
      <c r="G12" s="3">
        <v>200</v>
      </c>
      <c r="H12" s="3">
        <f t="shared" si="0"/>
        <v>2200</v>
      </c>
    </row>
    <row r="13" spans="1:8" x14ac:dyDescent="0.25">
      <c r="D13" s="79" t="s">
        <v>19</v>
      </c>
      <c r="E13" s="80"/>
      <c r="F13" s="3">
        <f t="shared" ref="F13:G13" si="2">SUM(F8:F12)</f>
        <v>10000</v>
      </c>
      <c r="G13" s="3">
        <f t="shared" si="2"/>
        <v>3000</v>
      </c>
      <c r="H13" s="3">
        <f>SUM(H8:H12)</f>
        <v>13000</v>
      </c>
    </row>
    <row r="19" spans="1:8" x14ac:dyDescent="0.25">
      <c r="A19" t="s">
        <v>2</v>
      </c>
    </row>
    <row r="20" spans="1:8" x14ac:dyDescent="0.25">
      <c r="A20" t="s">
        <v>7</v>
      </c>
      <c r="D20" s="3" t="s">
        <v>14</v>
      </c>
      <c r="E20" s="3" t="s">
        <v>15</v>
      </c>
      <c r="F20" s="3" t="s">
        <v>16</v>
      </c>
      <c r="G20" s="3" t="s">
        <v>17</v>
      </c>
      <c r="H20" s="3" t="s">
        <v>18</v>
      </c>
    </row>
    <row r="21" spans="1:8" x14ac:dyDescent="0.25">
      <c r="A21" t="s">
        <v>8</v>
      </c>
      <c r="D21" s="3">
        <v>1</v>
      </c>
      <c r="E21" s="3">
        <v>10000</v>
      </c>
      <c r="F21" s="3"/>
      <c r="G21" s="3"/>
      <c r="H21" s="3"/>
    </row>
    <row r="22" spans="1:8" x14ac:dyDescent="0.25">
      <c r="A22" t="s">
        <v>9</v>
      </c>
      <c r="B22" t="s">
        <v>12</v>
      </c>
      <c r="D22" s="3">
        <v>2</v>
      </c>
      <c r="E22" s="3"/>
      <c r="F22" s="3"/>
      <c r="G22" s="3"/>
      <c r="H22" s="3"/>
    </row>
    <row r="23" spans="1:8" x14ac:dyDescent="0.25">
      <c r="A23" s="1" t="s">
        <v>10</v>
      </c>
      <c r="B23" t="s">
        <v>21</v>
      </c>
      <c r="D23" s="3">
        <v>3</v>
      </c>
      <c r="E23" s="3"/>
      <c r="F23" s="3"/>
      <c r="G23" s="3"/>
      <c r="H23" s="3"/>
    </row>
    <row r="24" spans="1:8" x14ac:dyDescent="0.25">
      <c r="A24" t="s">
        <v>20</v>
      </c>
      <c r="D24" s="3">
        <v>4</v>
      </c>
      <c r="E24" s="3"/>
      <c r="F24" s="3"/>
      <c r="G24" s="3"/>
      <c r="H24" s="3"/>
    </row>
    <row r="25" spans="1:8" x14ac:dyDescent="0.25">
      <c r="D25" s="3">
        <v>5</v>
      </c>
      <c r="E25" s="3"/>
      <c r="F25" s="3"/>
      <c r="G25" s="3"/>
      <c r="H25" s="3"/>
    </row>
    <row r="26" spans="1:8" x14ac:dyDescent="0.25">
      <c r="D26" s="79" t="s">
        <v>19</v>
      </c>
      <c r="E26" s="80"/>
      <c r="F26" s="3">
        <f t="shared" ref="F26" si="3">SUM(F21:F25)</f>
        <v>0</v>
      </c>
      <c r="G26" s="3">
        <f t="shared" ref="G26" si="4">SUM(G21:G25)</f>
        <v>0</v>
      </c>
      <c r="H26" s="3">
        <f>SUM(H21:H25)</f>
        <v>0</v>
      </c>
    </row>
    <row r="30" spans="1:8" x14ac:dyDescent="0.25">
      <c r="A30" t="s">
        <v>22</v>
      </c>
      <c r="D30" s="3" t="s">
        <v>14</v>
      </c>
      <c r="E30" s="3" t="s">
        <v>15</v>
      </c>
      <c r="F30" s="3" t="s">
        <v>16</v>
      </c>
      <c r="G30" s="3" t="s">
        <v>17</v>
      </c>
      <c r="H30" s="3" t="s">
        <v>18</v>
      </c>
    </row>
    <row r="31" spans="1:8" x14ac:dyDescent="0.25">
      <c r="A31" t="s">
        <v>2</v>
      </c>
      <c r="D31" s="3">
        <v>1</v>
      </c>
      <c r="E31" s="3">
        <v>10000</v>
      </c>
      <c r="F31" s="3"/>
      <c r="G31" s="3"/>
      <c r="H31" s="3"/>
    </row>
    <row r="32" spans="1:8" x14ac:dyDescent="0.25">
      <c r="A32" t="s">
        <v>7</v>
      </c>
      <c r="D32" s="3">
        <v>2</v>
      </c>
      <c r="E32" s="3"/>
      <c r="F32" s="3"/>
      <c r="G32" s="3"/>
      <c r="H32" s="3"/>
    </row>
    <row r="33" spans="1:8" x14ac:dyDescent="0.25">
      <c r="A33" t="s">
        <v>8</v>
      </c>
      <c r="D33" s="3">
        <v>3</v>
      </c>
      <c r="E33" s="3"/>
      <c r="F33" s="3"/>
      <c r="G33" s="3"/>
      <c r="H33" s="3"/>
    </row>
    <row r="34" spans="1:8" x14ac:dyDescent="0.25">
      <c r="A34" t="s">
        <v>9</v>
      </c>
      <c r="D34" s="3">
        <v>4</v>
      </c>
      <c r="E34" s="3"/>
      <c r="F34" s="3"/>
      <c r="G34" s="3"/>
      <c r="H34" s="3"/>
    </row>
    <row r="35" spans="1:8" x14ac:dyDescent="0.25">
      <c r="A35" s="1" t="s">
        <v>10</v>
      </c>
      <c r="D35" s="3">
        <v>5</v>
      </c>
      <c r="E35" s="3"/>
      <c r="F35" s="3"/>
      <c r="G35" s="3"/>
      <c r="H35" s="3"/>
    </row>
    <row r="36" spans="1:8" x14ac:dyDescent="0.25">
      <c r="D36" s="79" t="s">
        <v>19</v>
      </c>
      <c r="E36" s="80"/>
      <c r="F36" s="3">
        <f t="shared" ref="F36" si="5">SUM(F31:F35)</f>
        <v>0</v>
      </c>
      <c r="G36" s="3">
        <f t="shared" ref="G36" si="6">SUM(G31:G35)</f>
        <v>0</v>
      </c>
      <c r="H36" s="3">
        <f>SUM(H31:H35)</f>
        <v>0</v>
      </c>
    </row>
    <row r="50" spans="1:2" x14ac:dyDescent="0.25">
      <c r="A50" t="s">
        <v>23</v>
      </c>
      <c r="B50" t="s">
        <v>24</v>
      </c>
    </row>
  </sheetData>
  <mergeCells count="3">
    <mergeCell ref="D13:E13"/>
    <mergeCell ref="D26:E26"/>
    <mergeCell ref="D36:E3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1781B-55E1-431E-B43E-206B40973819}">
  <dimension ref="A1:S47"/>
  <sheetViews>
    <sheetView zoomScale="89" workbookViewId="0">
      <selection activeCell="K35" sqref="K35"/>
    </sheetView>
  </sheetViews>
  <sheetFormatPr baseColWidth="10" defaultRowHeight="15" x14ac:dyDescent="0.25"/>
  <cols>
    <col min="1" max="1" width="4.7109375" customWidth="1"/>
    <col min="3" max="3" width="15" bestFit="1" customWidth="1"/>
    <col min="7" max="7" width="4.42578125" customWidth="1"/>
    <col min="9" max="9" width="15" bestFit="1" customWidth="1"/>
    <col min="12" max="12" width="14.85546875" customWidth="1"/>
    <col min="14" max="14" width="4.7109375" customWidth="1"/>
    <col min="16" max="16" width="15" bestFit="1" customWidth="1"/>
  </cols>
  <sheetData>
    <row r="1" spans="1:19" ht="18.75" x14ac:dyDescent="0.3">
      <c r="A1" s="4" t="s">
        <v>25</v>
      </c>
      <c r="B1" s="4"/>
      <c r="G1" s="4" t="s">
        <v>38</v>
      </c>
      <c r="H1" s="4"/>
      <c r="N1" s="4" t="s">
        <v>39</v>
      </c>
      <c r="O1" s="4"/>
    </row>
    <row r="2" spans="1:19" x14ac:dyDescent="0.25">
      <c r="A2" s="82" t="s">
        <v>26</v>
      </c>
      <c r="B2" s="82"/>
      <c r="C2" s="82"/>
      <c r="D2" s="82" t="s">
        <v>30</v>
      </c>
      <c r="E2" s="82"/>
      <c r="G2" s="82" t="s">
        <v>26</v>
      </c>
      <c r="H2" s="82"/>
      <c r="I2" s="82"/>
      <c r="J2" s="82" t="s">
        <v>30</v>
      </c>
      <c r="K2" s="82"/>
      <c r="N2" s="82" t="s">
        <v>26</v>
      </c>
      <c r="O2" s="82"/>
      <c r="P2" s="82"/>
      <c r="Q2" s="82" t="s">
        <v>30</v>
      </c>
      <c r="R2" s="82"/>
    </row>
    <row r="3" spans="1:19" x14ac:dyDescent="0.25">
      <c r="A3" t="s">
        <v>3</v>
      </c>
      <c r="B3" s="9">
        <v>150000</v>
      </c>
      <c r="G3" t="s">
        <v>3</v>
      </c>
      <c r="H3" s="9">
        <v>150000</v>
      </c>
      <c r="N3" t="s">
        <v>3</v>
      </c>
      <c r="O3" s="9">
        <v>150000</v>
      </c>
    </row>
    <row r="4" spans="1:19" x14ac:dyDescent="0.25">
      <c r="A4" t="s">
        <v>4</v>
      </c>
      <c r="B4" s="5">
        <v>0.08</v>
      </c>
      <c r="C4" t="s">
        <v>29</v>
      </c>
      <c r="D4" s="6">
        <f>B4/4</f>
        <v>0.02</v>
      </c>
      <c r="E4" t="s">
        <v>31</v>
      </c>
      <c r="G4" t="s">
        <v>4</v>
      </c>
      <c r="H4" s="5">
        <v>0.08</v>
      </c>
      <c r="I4" t="s">
        <v>29</v>
      </c>
      <c r="J4" s="6">
        <f>H4/4</f>
        <v>0.02</v>
      </c>
      <c r="K4" t="s">
        <v>31</v>
      </c>
      <c r="N4" t="s">
        <v>4</v>
      </c>
      <c r="O4" s="5">
        <v>0.08</v>
      </c>
      <c r="P4" t="s">
        <v>29</v>
      </c>
      <c r="Q4" s="6">
        <f>O4/4</f>
        <v>0.02</v>
      </c>
      <c r="R4" t="s">
        <v>31</v>
      </c>
    </row>
    <row r="5" spans="1:19" x14ac:dyDescent="0.25">
      <c r="A5" t="s">
        <v>5</v>
      </c>
      <c r="B5">
        <v>3</v>
      </c>
      <c r="C5" t="s">
        <v>27</v>
      </c>
      <c r="G5" t="s">
        <v>5</v>
      </c>
      <c r="H5">
        <v>3</v>
      </c>
      <c r="I5" t="s">
        <v>27</v>
      </c>
      <c r="N5" t="s">
        <v>5</v>
      </c>
      <c r="O5">
        <v>3</v>
      </c>
      <c r="P5" t="s">
        <v>27</v>
      </c>
    </row>
    <row r="6" spans="1:19" x14ac:dyDescent="0.25">
      <c r="A6" t="s">
        <v>6</v>
      </c>
      <c r="B6" t="s">
        <v>28</v>
      </c>
      <c r="D6">
        <f>B5*4</f>
        <v>12</v>
      </c>
      <c r="E6" t="s">
        <v>32</v>
      </c>
      <c r="G6" t="s">
        <v>6</v>
      </c>
      <c r="H6" t="s">
        <v>28</v>
      </c>
      <c r="J6">
        <f>H5*4</f>
        <v>12</v>
      </c>
      <c r="K6" t="s">
        <v>32</v>
      </c>
      <c r="N6" t="s">
        <v>6</v>
      </c>
      <c r="O6" t="s">
        <v>28</v>
      </c>
      <c r="Q6">
        <f>O5*4</f>
        <v>12</v>
      </c>
      <c r="R6" t="s">
        <v>32</v>
      </c>
    </row>
    <row r="7" spans="1:19" x14ac:dyDescent="0.25">
      <c r="B7">
        <v>1</v>
      </c>
      <c r="C7">
        <v>2</v>
      </c>
      <c r="D7">
        <v>3</v>
      </c>
      <c r="E7">
        <v>4</v>
      </c>
      <c r="H7">
        <v>1</v>
      </c>
      <c r="I7">
        <v>4</v>
      </c>
      <c r="J7">
        <v>3</v>
      </c>
      <c r="K7">
        <v>2</v>
      </c>
      <c r="O7">
        <v>1</v>
      </c>
      <c r="Q7">
        <v>2</v>
      </c>
      <c r="R7">
        <v>3</v>
      </c>
    </row>
    <row r="8" spans="1:19" x14ac:dyDescent="0.25">
      <c r="A8" s="7" t="s">
        <v>33</v>
      </c>
      <c r="B8" s="7" t="s">
        <v>34</v>
      </c>
      <c r="C8" s="7" t="s">
        <v>37</v>
      </c>
      <c r="D8" s="7" t="s">
        <v>35</v>
      </c>
      <c r="E8" s="7" t="s">
        <v>36</v>
      </c>
      <c r="G8" s="7" t="s">
        <v>33</v>
      </c>
      <c r="H8" s="7" t="s">
        <v>34</v>
      </c>
      <c r="I8" s="7" t="s">
        <v>37</v>
      </c>
      <c r="J8" s="7" t="s">
        <v>35</v>
      </c>
      <c r="K8" s="7" t="s">
        <v>36</v>
      </c>
      <c r="N8" s="7" t="s">
        <v>33</v>
      </c>
      <c r="O8" s="7" t="s">
        <v>34</v>
      </c>
      <c r="P8" s="7" t="s">
        <v>37</v>
      </c>
      <c r="Q8" s="7" t="s">
        <v>35</v>
      </c>
      <c r="R8" s="7" t="s">
        <v>36</v>
      </c>
    </row>
    <row r="9" spans="1:19" x14ac:dyDescent="0.25">
      <c r="A9" s="3">
        <v>1</v>
      </c>
      <c r="B9" s="10">
        <f>B3</f>
        <v>150000</v>
      </c>
      <c r="C9" s="8">
        <f>B3/D6</f>
        <v>12500</v>
      </c>
      <c r="D9" s="8">
        <f>B9*$D$4</f>
        <v>3000</v>
      </c>
      <c r="E9" s="8">
        <f>C9+D9</f>
        <v>15500</v>
      </c>
      <c r="G9" s="3">
        <v>1</v>
      </c>
      <c r="H9" s="10">
        <f>H3</f>
        <v>150000</v>
      </c>
      <c r="I9" s="8">
        <f>K9-J9</f>
        <v>11183.939493442727</v>
      </c>
      <c r="J9" s="8">
        <f>H9*$J$4</f>
        <v>3000</v>
      </c>
      <c r="K9" s="8">
        <f>(H3*J4)/(1-(1+J4)^-J6)</f>
        <v>14183.939493442727</v>
      </c>
      <c r="L9" s="17">
        <f>-PMT(J4,J6,H3)</f>
        <v>14183.93949344272</v>
      </c>
      <c r="N9" s="3">
        <v>1</v>
      </c>
      <c r="O9" s="10">
        <f>$O$3</f>
        <v>150000</v>
      </c>
      <c r="P9" s="8"/>
      <c r="Q9" s="8">
        <f>O9*$Q$4</f>
        <v>3000</v>
      </c>
      <c r="R9" s="8">
        <f>P9+Q9</f>
        <v>3000</v>
      </c>
      <c r="S9" s="17"/>
    </row>
    <row r="10" spans="1:19" x14ac:dyDescent="0.25">
      <c r="A10" s="3">
        <v>2</v>
      </c>
      <c r="B10" s="8">
        <f>B9-C9</f>
        <v>137500</v>
      </c>
      <c r="C10" s="8">
        <f>C9</f>
        <v>12500</v>
      </c>
      <c r="D10" s="8">
        <f>B10*$D$4</f>
        <v>2750</v>
      </c>
      <c r="E10" s="8">
        <f>C10+D10</f>
        <v>15250</v>
      </c>
      <c r="G10" s="3">
        <v>2</v>
      </c>
      <c r="H10" s="8">
        <f>H9-I9</f>
        <v>138816.06050655726</v>
      </c>
      <c r="I10" s="8">
        <f>K10-J10</f>
        <v>11407.618283311582</v>
      </c>
      <c r="J10" s="8">
        <f>H10*$J$4</f>
        <v>2776.3212101311451</v>
      </c>
      <c r="K10" s="8">
        <f>($H$3*$J$4)/(1-(1+$J$4)^-$J$6)</f>
        <v>14183.939493442727</v>
      </c>
      <c r="N10" s="3">
        <v>2</v>
      </c>
      <c r="O10" s="8">
        <f t="shared" ref="O10:O20" si="0">$O$3</f>
        <v>150000</v>
      </c>
      <c r="P10" s="8"/>
      <c r="Q10" s="8">
        <f>O10*$Q$4</f>
        <v>3000</v>
      </c>
      <c r="R10" s="8">
        <f>P10+Q10</f>
        <v>3000</v>
      </c>
    </row>
    <row r="11" spans="1:19" x14ac:dyDescent="0.25">
      <c r="A11" s="3">
        <v>3</v>
      </c>
      <c r="B11" s="8">
        <f t="shared" ref="B11:B20" si="1">B10-C10</f>
        <v>125000</v>
      </c>
      <c r="C11" s="8">
        <f t="shared" ref="C11:C20" si="2">C10</f>
        <v>12500</v>
      </c>
      <c r="D11" s="8">
        <f t="shared" ref="D11:D20" si="3">B11*$D$4</f>
        <v>2500</v>
      </c>
      <c r="E11" s="8">
        <f>C11+D11</f>
        <v>15000</v>
      </c>
      <c r="G11" s="3">
        <v>3</v>
      </c>
      <c r="H11" s="8">
        <f t="shared" ref="H11:H20" si="4">H10-I10</f>
        <v>127408.44222324569</v>
      </c>
      <c r="I11" s="8">
        <f t="shared" ref="I11:I20" si="5">K11-J11</f>
        <v>11635.770648977814</v>
      </c>
      <c r="J11" s="8">
        <f t="shared" ref="J11:J20" si="6">H11*$J$4</f>
        <v>2548.1688444649139</v>
      </c>
      <c r="K11" s="8">
        <f t="shared" ref="K11:K20" si="7">($H$3*$J$4)/(1-(1+$J$4)^-$J$6)</f>
        <v>14183.939493442727</v>
      </c>
      <c r="N11" s="3">
        <v>3</v>
      </c>
      <c r="O11" s="8">
        <f t="shared" si="0"/>
        <v>150000</v>
      </c>
      <c r="P11" s="8"/>
      <c r="Q11" s="8">
        <f t="shared" ref="Q11:Q20" si="8">O11*$Q$4</f>
        <v>3000</v>
      </c>
      <c r="R11" s="8">
        <f t="shared" ref="R11:R20" si="9">P11+Q11</f>
        <v>3000</v>
      </c>
    </row>
    <row r="12" spans="1:19" x14ac:dyDescent="0.25">
      <c r="A12" s="3">
        <v>4</v>
      </c>
      <c r="B12" s="8">
        <f t="shared" si="1"/>
        <v>112500</v>
      </c>
      <c r="C12" s="8">
        <f t="shared" si="2"/>
        <v>12500</v>
      </c>
      <c r="D12" s="8">
        <f t="shared" si="3"/>
        <v>2250</v>
      </c>
      <c r="E12" s="8">
        <f>C12+D12</f>
        <v>14750</v>
      </c>
      <c r="G12" s="3">
        <v>4</v>
      </c>
      <c r="H12" s="8">
        <f t="shared" si="4"/>
        <v>115772.67157426788</v>
      </c>
      <c r="I12" s="8">
        <f t="shared" si="5"/>
        <v>11868.48606195737</v>
      </c>
      <c r="J12" s="8">
        <f t="shared" si="6"/>
        <v>2315.4534314853577</v>
      </c>
      <c r="K12" s="8">
        <f t="shared" si="7"/>
        <v>14183.939493442727</v>
      </c>
      <c r="N12" s="3">
        <v>4</v>
      </c>
      <c r="O12" s="8">
        <f t="shared" si="0"/>
        <v>150000</v>
      </c>
      <c r="P12" s="8"/>
      <c r="Q12" s="8">
        <f t="shared" si="8"/>
        <v>3000</v>
      </c>
      <c r="R12" s="8">
        <f t="shared" si="9"/>
        <v>3000</v>
      </c>
    </row>
    <row r="13" spans="1:19" x14ac:dyDescent="0.25">
      <c r="A13" s="3">
        <v>5</v>
      </c>
      <c r="B13" s="8">
        <f t="shared" si="1"/>
        <v>100000</v>
      </c>
      <c r="C13" s="8">
        <f t="shared" si="2"/>
        <v>12500</v>
      </c>
      <c r="D13" s="8">
        <f t="shared" si="3"/>
        <v>2000</v>
      </c>
      <c r="E13" s="8">
        <f t="shared" ref="E13:E21" si="10">C13+D13</f>
        <v>14500</v>
      </c>
      <c r="G13" s="3">
        <v>5</v>
      </c>
      <c r="H13" s="8">
        <f t="shared" si="4"/>
        <v>103904.18551231051</v>
      </c>
      <c r="I13" s="8">
        <f t="shared" si="5"/>
        <v>12105.855783196517</v>
      </c>
      <c r="J13" s="8">
        <f t="shared" si="6"/>
        <v>2078.0837102462101</v>
      </c>
      <c r="K13" s="8">
        <f t="shared" si="7"/>
        <v>14183.939493442727</v>
      </c>
      <c r="N13" s="3">
        <v>5</v>
      </c>
      <c r="O13" s="8">
        <f t="shared" si="0"/>
        <v>150000</v>
      </c>
      <c r="P13" s="8"/>
      <c r="Q13" s="8">
        <f t="shared" si="8"/>
        <v>3000</v>
      </c>
      <c r="R13" s="8">
        <f t="shared" si="9"/>
        <v>3000</v>
      </c>
    </row>
    <row r="14" spans="1:19" x14ac:dyDescent="0.25">
      <c r="A14" s="3">
        <v>6</v>
      </c>
      <c r="B14" s="8">
        <f t="shared" si="1"/>
        <v>87500</v>
      </c>
      <c r="C14" s="8">
        <f t="shared" si="2"/>
        <v>12500</v>
      </c>
      <c r="D14" s="8">
        <f t="shared" si="3"/>
        <v>1750</v>
      </c>
      <c r="E14" s="8">
        <f t="shared" si="10"/>
        <v>14250</v>
      </c>
      <c r="G14" s="3">
        <v>6</v>
      </c>
      <c r="H14" s="8">
        <f t="shared" si="4"/>
        <v>91798.32972911399</v>
      </c>
      <c r="I14" s="8">
        <f t="shared" si="5"/>
        <v>12347.972898860447</v>
      </c>
      <c r="J14" s="8">
        <f t="shared" si="6"/>
        <v>1835.9665945822799</v>
      </c>
      <c r="K14" s="8">
        <f t="shared" si="7"/>
        <v>14183.939493442727</v>
      </c>
      <c r="N14" s="3">
        <v>6</v>
      </c>
      <c r="O14" s="8">
        <f t="shared" si="0"/>
        <v>150000</v>
      </c>
      <c r="P14" s="8"/>
      <c r="Q14" s="8">
        <f t="shared" si="8"/>
        <v>3000</v>
      </c>
      <c r="R14" s="8">
        <f t="shared" si="9"/>
        <v>3000</v>
      </c>
    </row>
    <row r="15" spans="1:19" x14ac:dyDescent="0.25">
      <c r="A15" s="3">
        <v>7</v>
      </c>
      <c r="B15" s="8">
        <f t="shared" si="1"/>
        <v>75000</v>
      </c>
      <c r="C15" s="8">
        <f t="shared" si="2"/>
        <v>12500</v>
      </c>
      <c r="D15" s="8">
        <f t="shared" si="3"/>
        <v>1500</v>
      </c>
      <c r="E15" s="8">
        <f t="shared" si="10"/>
        <v>14000</v>
      </c>
      <c r="G15" s="3">
        <v>7</v>
      </c>
      <c r="H15" s="8">
        <f t="shared" si="4"/>
        <v>79450.356830253542</v>
      </c>
      <c r="I15" s="8">
        <f t="shared" si="5"/>
        <v>12594.932356837657</v>
      </c>
      <c r="J15" s="8">
        <f t="shared" si="6"/>
        <v>1589.0071366050709</v>
      </c>
      <c r="K15" s="8">
        <f t="shared" si="7"/>
        <v>14183.939493442727</v>
      </c>
      <c r="N15" s="3">
        <v>7</v>
      </c>
      <c r="O15" s="8">
        <f t="shared" si="0"/>
        <v>150000</v>
      </c>
      <c r="P15" s="8"/>
      <c r="Q15" s="8">
        <f t="shared" si="8"/>
        <v>3000</v>
      </c>
      <c r="R15" s="8">
        <f t="shared" si="9"/>
        <v>3000</v>
      </c>
    </row>
    <row r="16" spans="1:19" x14ac:dyDescent="0.25">
      <c r="A16" s="3">
        <v>8</v>
      </c>
      <c r="B16" s="8">
        <f t="shared" si="1"/>
        <v>62500</v>
      </c>
      <c r="C16" s="8">
        <f t="shared" si="2"/>
        <v>12500</v>
      </c>
      <c r="D16" s="8">
        <f t="shared" si="3"/>
        <v>1250</v>
      </c>
      <c r="E16" s="8">
        <f t="shared" si="10"/>
        <v>13750</v>
      </c>
      <c r="G16" s="3">
        <v>8</v>
      </c>
      <c r="H16" s="8">
        <f t="shared" si="4"/>
        <v>66855.424473415886</v>
      </c>
      <c r="I16" s="8">
        <f t="shared" si="5"/>
        <v>12846.83100397441</v>
      </c>
      <c r="J16" s="8">
        <f t="shared" si="6"/>
        <v>1337.1084894683177</v>
      </c>
      <c r="K16" s="8">
        <f t="shared" si="7"/>
        <v>14183.939493442727</v>
      </c>
      <c r="N16" s="3">
        <v>8</v>
      </c>
      <c r="O16" s="8">
        <f t="shared" si="0"/>
        <v>150000</v>
      </c>
      <c r="P16" s="8"/>
      <c r="Q16" s="8">
        <f t="shared" si="8"/>
        <v>3000</v>
      </c>
      <c r="R16" s="8">
        <f t="shared" si="9"/>
        <v>3000</v>
      </c>
    </row>
    <row r="17" spans="1:18" x14ac:dyDescent="0.25">
      <c r="A17" s="3">
        <v>9</v>
      </c>
      <c r="B17" s="8">
        <f t="shared" si="1"/>
        <v>50000</v>
      </c>
      <c r="C17" s="8">
        <f t="shared" si="2"/>
        <v>12500</v>
      </c>
      <c r="D17" s="8">
        <f t="shared" si="3"/>
        <v>1000</v>
      </c>
      <c r="E17" s="8">
        <f t="shared" si="10"/>
        <v>13500</v>
      </c>
      <c r="G17" s="3">
        <v>9</v>
      </c>
      <c r="H17" s="8">
        <f t="shared" si="4"/>
        <v>54008.593469441475</v>
      </c>
      <c r="I17" s="8">
        <f t="shared" si="5"/>
        <v>13103.767624053899</v>
      </c>
      <c r="J17" s="8">
        <f t="shared" si="6"/>
        <v>1080.1718693888295</v>
      </c>
      <c r="K17" s="8">
        <f t="shared" si="7"/>
        <v>14183.939493442727</v>
      </c>
      <c r="N17" s="3">
        <v>9</v>
      </c>
      <c r="O17" s="8">
        <f t="shared" si="0"/>
        <v>150000</v>
      </c>
      <c r="P17" s="8"/>
      <c r="Q17" s="8">
        <f t="shared" si="8"/>
        <v>3000</v>
      </c>
      <c r="R17" s="8">
        <f t="shared" si="9"/>
        <v>3000</v>
      </c>
    </row>
    <row r="18" spans="1:18" x14ac:dyDescent="0.25">
      <c r="A18" s="3">
        <v>10</v>
      </c>
      <c r="B18" s="8">
        <f t="shared" si="1"/>
        <v>37500</v>
      </c>
      <c r="C18" s="8">
        <f t="shared" si="2"/>
        <v>12500</v>
      </c>
      <c r="D18" s="8">
        <f t="shared" si="3"/>
        <v>750</v>
      </c>
      <c r="E18" s="8">
        <f t="shared" si="10"/>
        <v>13250</v>
      </c>
      <c r="G18" s="3">
        <v>10</v>
      </c>
      <c r="H18" s="8">
        <f t="shared" si="4"/>
        <v>40904.825845387575</v>
      </c>
      <c r="I18" s="8">
        <f t="shared" si="5"/>
        <v>13365.842976534976</v>
      </c>
      <c r="J18" s="8">
        <f t="shared" si="6"/>
        <v>818.09651690775149</v>
      </c>
      <c r="K18" s="8">
        <f t="shared" si="7"/>
        <v>14183.939493442727</v>
      </c>
      <c r="N18" s="3">
        <v>10</v>
      </c>
      <c r="O18" s="8">
        <f t="shared" si="0"/>
        <v>150000</v>
      </c>
      <c r="P18" s="8"/>
      <c r="Q18" s="8">
        <f t="shared" si="8"/>
        <v>3000</v>
      </c>
      <c r="R18" s="8">
        <f t="shared" si="9"/>
        <v>3000</v>
      </c>
    </row>
    <row r="19" spans="1:18" x14ac:dyDescent="0.25">
      <c r="A19" s="3">
        <v>11</v>
      </c>
      <c r="B19" s="8">
        <f t="shared" si="1"/>
        <v>25000</v>
      </c>
      <c r="C19" s="8">
        <f t="shared" si="2"/>
        <v>12500</v>
      </c>
      <c r="D19" s="8">
        <f t="shared" si="3"/>
        <v>500</v>
      </c>
      <c r="E19" s="8">
        <f t="shared" si="10"/>
        <v>13000</v>
      </c>
      <c r="G19" s="3">
        <v>11</v>
      </c>
      <c r="H19" s="8">
        <f t="shared" si="4"/>
        <v>27538.982868852599</v>
      </c>
      <c r="I19" s="8">
        <f t="shared" si="5"/>
        <v>13633.159836065675</v>
      </c>
      <c r="J19" s="8">
        <f t="shared" si="6"/>
        <v>550.77965737705199</v>
      </c>
      <c r="K19" s="8">
        <f t="shared" si="7"/>
        <v>14183.939493442727</v>
      </c>
      <c r="N19" s="3">
        <v>11</v>
      </c>
      <c r="O19" s="8">
        <f t="shared" si="0"/>
        <v>150000</v>
      </c>
      <c r="P19" s="8"/>
      <c r="Q19" s="8">
        <f t="shared" si="8"/>
        <v>3000</v>
      </c>
      <c r="R19" s="8">
        <f t="shared" si="9"/>
        <v>3000</v>
      </c>
    </row>
    <row r="20" spans="1:18" x14ac:dyDescent="0.25">
      <c r="A20" s="3">
        <v>12</v>
      </c>
      <c r="B20" s="11">
        <f t="shared" si="1"/>
        <v>12500</v>
      </c>
      <c r="C20" s="12">
        <f t="shared" si="2"/>
        <v>12500</v>
      </c>
      <c r="D20" s="13">
        <f t="shared" si="3"/>
        <v>250</v>
      </c>
      <c r="E20" s="13">
        <f t="shared" si="10"/>
        <v>12750</v>
      </c>
      <c r="G20" s="3">
        <v>12</v>
      </c>
      <c r="H20" s="11">
        <f t="shared" si="4"/>
        <v>13905.823032786924</v>
      </c>
      <c r="I20" s="11">
        <f t="shared" si="5"/>
        <v>13905.82303278699</v>
      </c>
      <c r="J20" s="8">
        <f t="shared" si="6"/>
        <v>278.11646065573848</v>
      </c>
      <c r="K20" s="8">
        <f t="shared" si="7"/>
        <v>14183.939493442727</v>
      </c>
      <c r="N20" s="3">
        <v>12</v>
      </c>
      <c r="O20" s="11">
        <f t="shared" si="0"/>
        <v>150000</v>
      </c>
      <c r="P20" s="11">
        <f>O3</f>
        <v>150000</v>
      </c>
      <c r="Q20" s="8">
        <f t="shared" si="8"/>
        <v>3000</v>
      </c>
      <c r="R20" s="8">
        <f t="shared" si="9"/>
        <v>153000</v>
      </c>
    </row>
    <row r="21" spans="1:18" x14ac:dyDescent="0.25">
      <c r="A21" s="79" t="s">
        <v>19</v>
      </c>
      <c r="B21" s="81"/>
      <c r="C21" s="16">
        <f>SUM(C9:C20)</f>
        <v>150000</v>
      </c>
      <c r="D21" s="15">
        <f>SUM(D9:D20)</f>
        <v>19500</v>
      </c>
      <c r="E21" s="14">
        <f t="shared" si="10"/>
        <v>169500</v>
      </c>
      <c r="G21" s="79" t="s">
        <v>19</v>
      </c>
      <c r="H21" s="81"/>
      <c r="I21" s="16">
        <f>SUM(I9:I20)</f>
        <v>150000.00000000006</v>
      </c>
      <c r="J21" s="15">
        <f>SUM(J9:J20)</f>
        <v>20207.273921312666</v>
      </c>
      <c r="K21" s="14">
        <f t="shared" ref="K21" si="11">I21+J21</f>
        <v>170207.27392131274</v>
      </c>
      <c r="N21" s="79" t="s">
        <v>19</v>
      </c>
      <c r="O21" s="81"/>
      <c r="P21" s="16">
        <f>SUM(P9:P20)</f>
        <v>150000</v>
      </c>
      <c r="Q21" s="15">
        <f>SUM(Q9:Q20)</f>
        <v>36000</v>
      </c>
      <c r="R21" s="14">
        <f t="shared" ref="R21" si="12">P21+Q21</f>
        <v>186000</v>
      </c>
    </row>
    <row r="25" spans="1:18" ht="18.75" x14ac:dyDescent="0.3">
      <c r="A25" s="4" t="s">
        <v>25</v>
      </c>
      <c r="B25" s="4"/>
      <c r="G25" s="4" t="s">
        <v>38</v>
      </c>
      <c r="H25" s="4"/>
    </row>
    <row r="26" spans="1:18" x14ac:dyDescent="0.25">
      <c r="A26" s="82" t="s">
        <v>26</v>
      </c>
      <c r="B26" s="82"/>
      <c r="C26" s="82"/>
      <c r="D26" s="82" t="s">
        <v>30</v>
      </c>
      <c r="E26" s="82"/>
      <c r="G26" s="82" t="s">
        <v>26</v>
      </c>
      <c r="H26" s="82"/>
      <c r="I26" s="82"/>
      <c r="J26" s="82" t="s">
        <v>30</v>
      </c>
      <c r="K26" s="82"/>
    </row>
    <row r="27" spans="1:18" x14ac:dyDescent="0.25">
      <c r="A27" t="s">
        <v>3</v>
      </c>
      <c r="B27" s="9">
        <v>150000</v>
      </c>
      <c r="G27" t="s">
        <v>3</v>
      </c>
      <c r="H27" s="9">
        <v>150000</v>
      </c>
    </row>
    <row r="28" spans="1:18" x14ac:dyDescent="0.25">
      <c r="A28" t="s">
        <v>4</v>
      </c>
      <c r="B28" s="5">
        <v>0.08</v>
      </c>
      <c r="C28" t="s">
        <v>29</v>
      </c>
      <c r="D28" s="6">
        <f>B28/4</f>
        <v>0.02</v>
      </c>
      <c r="E28" t="s">
        <v>31</v>
      </c>
      <c r="G28" t="s">
        <v>4</v>
      </c>
      <c r="H28" s="5">
        <v>0.08</v>
      </c>
      <c r="I28" t="s">
        <v>29</v>
      </c>
      <c r="J28" s="6">
        <f>H28/4</f>
        <v>0.02</v>
      </c>
      <c r="K28" t="s">
        <v>31</v>
      </c>
    </row>
    <row r="29" spans="1:18" x14ac:dyDescent="0.25">
      <c r="A29" t="s">
        <v>5</v>
      </c>
      <c r="B29">
        <v>3</v>
      </c>
      <c r="C29" t="s">
        <v>27</v>
      </c>
      <c r="G29" t="s">
        <v>5</v>
      </c>
      <c r="H29">
        <v>3</v>
      </c>
      <c r="I29" t="s">
        <v>27</v>
      </c>
      <c r="N29" s="22" t="s">
        <v>43</v>
      </c>
      <c r="O29" s="22"/>
    </row>
    <row r="30" spans="1:18" x14ac:dyDescent="0.25">
      <c r="A30" t="s">
        <v>6</v>
      </c>
      <c r="B30" t="s">
        <v>28</v>
      </c>
      <c r="D30">
        <f>B29*4</f>
        <v>12</v>
      </c>
      <c r="E30" t="s">
        <v>32</v>
      </c>
      <c r="G30" t="s">
        <v>6</v>
      </c>
      <c r="H30" t="s">
        <v>28</v>
      </c>
      <c r="J30">
        <f>H29*4</f>
        <v>12</v>
      </c>
      <c r="K30" t="s">
        <v>32</v>
      </c>
      <c r="M30" t="s">
        <v>42</v>
      </c>
      <c r="N30" t="s">
        <v>44</v>
      </c>
    </row>
    <row r="31" spans="1:18" x14ac:dyDescent="0.25">
      <c r="A31" t="s">
        <v>40</v>
      </c>
      <c r="B31">
        <v>1</v>
      </c>
      <c r="C31" t="s">
        <v>41</v>
      </c>
      <c r="D31">
        <v>4</v>
      </c>
      <c r="E31" t="s">
        <v>32</v>
      </c>
      <c r="G31" t="s">
        <v>40</v>
      </c>
      <c r="H31">
        <v>1</v>
      </c>
      <c r="I31" t="s">
        <v>41</v>
      </c>
      <c r="J31">
        <v>4</v>
      </c>
      <c r="K31" t="s">
        <v>32</v>
      </c>
    </row>
    <row r="33" spans="1:12" x14ac:dyDescent="0.25">
      <c r="B33">
        <v>1</v>
      </c>
      <c r="C33">
        <v>2</v>
      </c>
      <c r="D33">
        <v>3</v>
      </c>
      <c r="E33">
        <v>4</v>
      </c>
      <c r="H33">
        <v>1</v>
      </c>
      <c r="I33">
        <v>4</v>
      </c>
      <c r="J33">
        <v>3</v>
      </c>
      <c r="K33">
        <v>2</v>
      </c>
    </row>
    <row r="34" spans="1:12" x14ac:dyDescent="0.25">
      <c r="A34" s="7" t="s">
        <v>33</v>
      </c>
      <c r="B34" s="7" t="s">
        <v>34</v>
      </c>
      <c r="C34" s="7" t="s">
        <v>37</v>
      </c>
      <c r="D34" s="7" t="s">
        <v>35</v>
      </c>
      <c r="E34" s="7" t="s">
        <v>36</v>
      </c>
      <c r="G34" s="7" t="s">
        <v>33</v>
      </c>
      <c r="H34" s="7" t="s">
        <v>34</v>
      </c>
      <c r="I34" s="7" t="s">
        <v>37</v>
      </c>
      <c r="J34" s="7" t="s">
        <v>35</v>
      </c>
      <c r="K34" s="7" t="s">
        <v>36</v>
      </c>
    </row>
    <row r="35" spans="1:12" x14ac:dyDescent="0.25">
      <c r="A35" s="18">
        <v>1</v>
      </c>
      <c r="B35" s="10">
        <f>B27</f>
        <v>150000</v>
      </c>
      <c r="C35" s="19"/>
      <c r="D35" s="19">
        <f>B35*$D$28</f>
        <v>3000</v>
      </c>
      <c r="E35" s="19">
        <f>C35+D35</f>
        <v>3000</v>
      </c>
      <c r="G35" s="20">
        <v>1</v>
      </c>
      <c r="H35" s="10">
        <f>H27</f>
        <v>150000</v>
      </c>
      <c r="I35" s="21"/>
      <c r="J35" s="21">
        <f>H35*$J$28</f>
        <v>3000</v>
      </c>
      <c r="K35" s="21">
        <f>I35+J35</f>
        <v>3000</v>
      </c>
    </row>
    <row r="36" spans="1:12" x14ac:dyDescent="0.25">
      <c r="A36" s="18">
        <v>2</v>
      </c>
      <c r="B36" s="19">
        <f>B35-C35</f>
        <v>150000</v>
      </c>
      <c r="C36" s="19"/>
      <c r="D36" s="19">
        <f t="shared" ref="D36:D46" si="13">B36*$D$28</f>
        <v>3000</v>
      </c>
      <c r="E36" s="19">
        <f>C36+D36</f>
        <v>3000</v>
      </c>
      <c r="G36" s="20">
        <v>2</v>
      </c>
      <c r="H36" s="21">
        <f>H35-I35</f>
        <v>150000</v>
      </c>
      <c r="I36" s="21"/>
      <c r="J36" s="21">
        <f>H36*$J$28</f>
        <v>3000</v>
      </c>
      <c r="K36" s="21">
        <f>I36+J36</f>
        <v>3000</v>
      </c>
    </row>
    <row r="37" spans="1:12" x14ac:dyDescent="0.25">
      <c r="A37" s="18">
        <v>3</v>
      </c>
      <c r="B37" s="19">
        <f t="shared" ref="B37:B46" si="14">B36-C36</f>
        <v>150000</v>
      </c>
      <c r="C37" s="19"/>
      <c r="D37" s="19">
        <f t="shared" si="13"/>
        <v>3000</v>
      </c>
      <c r="E37" s="19">
        <f>C37+D37</f>
        <v>3000</v>
      </c>
      <c r="G37" s="20">
        <v>3</v>
      </c>
      <c r="H37" s="21">
        <f t="shared" ref="H37:H46" si="15">H36-I36</f>
        <v>150000</v>
      </c>
      <c r="I37" s="21"/>
      <c r="J37" s="21">
        <f t="shared" ref="J37:J46" si="16">H37*$J$28</f>
        <v>3000</v>
      </c>
      <c r="K37" s="21">
        <f t="shared" ref="K37" si="17">I37+J37</f>
        <v>3000</v>
      </c>
    </row>
    <row r="38" spans="1:12" x14ac:dyDescent="0.25">
      <c r="A38" s="18">
        <v>4</v>
      </c>
      <c r="B38" s="19">
        <f t="shared" si="14"/>
        <v>150000</v>
      </c>
      <c r="C38" s="19"/>
      <c r="D38" s="19">
        <f t="shared" si="13"/>
        <v>3000</v>
      </c>
      <c r="E38" s="19">
        <f>C38+D38</f>
        <v>3000</v>
      </c>
      <c r="G38" s="20">
        <v>4</v>
      </c>
      <c r="H38" s="21">
        <f t="shared" si="15"/>
        <v>150000</v>
      </c>
      <c r="I38" s="21"/>
      <c r="J38" s="21">
        <f>H38*$J$28</f>
        <v>3000</v>
      </c>
      <c r="K38" s="21">
        <f>I38+J38</f>
        <v>3000</v>
      </c>
    </row>
    <row r="39" spans="1:12" x14ac:dyDescent="0.25">
      <c r="A39" s="3">
        <v>5</v>
      </c>
      <c r="B39" s="8">
        <f t="shared" si="14"/>
        <v>150000</v>
      </c>
      <c r="C39" s="8">
        <f>B27/(D30-D31)</f>
        <v>18750</v>
      </c>
      <c r="D39" s="8">
        <f t="shared" si="13"/>
        <v>3000</v>
      </c>
      <c r="E39" s="8">
        <f t="shared" ref="E39:E47" si="18">C39+D39</f>
        <v>21750</v>
      </c>
      <c r="G39" s="3">
        <v>5</v>
      </c>
      <c r="H39" s="8">
        <f>H38-I38</f>
        <v>150000</v>
      </c>
      <c r="I39" s="8">
        <f>K39-J39</f>
        <v>17476.469870064411</v>
      </c>
      <c r="J39" s="8">
        <f>H39*$J$28</f>
        <v>3000</v>
      </c>
      <c r="K39" s="8">
        <f>(H39*J28)/(1-(1+J28)^-(J30-J31))</f>
        <v>20476.469870064411</v>
      </c>
      <c r="L39" s="17">
        <f>-PMT(J28,J30-J31,H27)</f>
        <v>20476.4698700644</v>
      </c>
    </row>
    <row r="40" spans="1:12" x14ac:dyDescent="0.25">
      <c r="A40" s="3">
        <v>6</v>
      </c>
      <c r="B40" s="8">
        <f t="shared" si="14"/>
        <v>131250</v>
      </c>
      <c r="C40" s="8">
        <f t="shared" ref="C40:C46" si="19">C39</f>
        <v>18750</v>
      </c>
      <c r="D40" s="8">
        <f t="shared" si="13"/>
        <v>2625</v>
      </c>
      <c r="E40" s="8">
        <f t="shared" si="18"/>
        <v>21375</v>
      </c>
      <c r="G40" s="3">
        <v>6</v>
      </c>
      <c r="H40" s="8">
        <f t="shared" si="15"/>
        <v>132523.53012993559</v>
      </c>
      <c r="I40" s="8">
        <f t="shared" ref="I40:I46" si="20">K40-J40</f>
        <v>17825.999267465701</v>
      </c>
      <c r="J40" s="8">
        <f t="shared" si="16"/>
        <v>2650.470602598712</v>
      </c>
      <c r="K40" s="8">
        <f>K39</f>
        <v>20476.469870064411</v>
      </c>
      <c r="L40" t="s">
        <v>45</v>
      </c>
    </row>
    <row r="41" spans="1:12" x14ac:dyDescent="0.25">
      <c r="A41" s="3">
        <v>7</v>
      </c>
      <c r="B41" s="8">
        <f t="shared" si="14"/>
        <v>112500</v>
      </c>
      <c r="C41" s="8">
        <f t="shared" si="19"/>
        <v>18750</v>
      </c>
      <c r="D41" s="8">
        <f t="shared" si="13"/>
        <v>2250</v>
      </c>
      <c r="E41" s="8">
        <f t="shared" si="18"/>
        <v>21000</v>
      </c>
      <c r="G41" s="3">
        <v>7</v>
      </c>
      <c r="H41" s="8">
        <f>H40-I40</f>
        <v>114697.5308624699</v>
      </c>
      <c r="I41" s="8">
        <f>K41-J41</f>
        <v>18182.519252815015</v>
      </c>
      <c r="J41" s="8">
        <f>H41*$J$28</f>
        <v>2293.950617249398</v>
      </c>
      <c r="K41" s="8">
        <f>K40</f>
        <v>20476.469870064411</v>
      </c>
    </row>
    <row r="42" spans="1:12" x14ac:dyDescent="0.25">
      <c r="A42" s="3">
        <v>8</v>
      </c>
      <c r="B42" s="8">
        <f t="shared" si="14"/>
        <v>93750</v>
      </c>
      <c r="C42" s="8">
        <f t="shared" si="19"/>
        <v>18750</v>
      </c>
      <c r="D42" s="8">
        <f t="shared" si="13"/>
        <v>1875</v>
      </c>
      <c r="E42" s="8">
        <f t="shared" si="18"/>
        <v>20625</v>
      </c>
      <c r="G42" s="3">
        <v>8</v>
      </c>
      <c r="H42" s="8">
        <f t="shared" si="15"/>
        <v>96515.011609654874</v>
      </c>
      <c r="I42" s="8">
        <f t="shared" si="20"/>
        <v>18546.169637871313</v>
      </c>
      <c r="J42" s="8">
        <f t="shared" si="16"/>
        <v>1930.3002321930976</v>
      </c>
      <c r="K42" s="8">
        <f t="shared" ref="K42:K46" si="21">K41</f>
        <v>20476.469870064411</v>
      </c>
    </row>
    <row r="43" spans="1:12" x14ac:dyDescent="0.25">
      <c r="A43" s="3">
        <v>9</v>
      </c>
      <c r="B43" s="8">
        <f t="shared" si="14"/>
        <v>75000</v>
      </c>
      <c r="C43" s="8">
        <f t="shared" si="19"/>
        <v>18750</v>
      </c>
      <c r="D43" s="8">
        <f t="shared" si="13"/>
        <v>1500</v>
      </c>
      <c r="E43" s="8">
        <f t="shared" si="18"/>
        <v>20250</v>
      </c>
      <c r="G43" s="3">
        <v>9</v>
      </c>
      <c r="H43" s="8">
        <f t="shared" si="15"/>
        <v>77968.841971783564</v>
      </c>
      <c r="I43" s="8">
        <f t="shared" si="20"/>
        <v>18917.093030628741</v>
      </c>
      <c r="J43" s="8">
        <f t="shared" si="16"/>
        <v>1559.3768394356714</v>
      </c>
      <c r="K43" s="8">
        <f t="shared" si="21"/>
        <v>20476.469870064411</v>
      </c>
    </row>
    <row r="44" spans="1:12" x14ac:dyDescent="0.25">
      <c r="A44" s="3">
        <v>10</v>
      </c>
      <c r="B44" s="8">
        <f t="shared" si="14"/>
        <v>56250</v>
      </c>
      <c r="C44" s="8">
        <f t="shared" si="19"/>
        <v>18750</v>
      </c>
      <c r="D44" s="8">
        <f t="shared" si="13"/>
        <v>1125</v>
      </c>
      <c r="E44" s="8">
        <f t="shared" si="18"/>
        <v>19875</v>
      </c>
      <c r="G44" s="3">
        <v>10</v>
      </c>
      <c r="H44" s="8">
        <f t="shared" si="15"/>
        <v>59051.748941154823</v>
      </c>
      <c r="I44" s="8">
        <f t="shared" si="20"/>
        <v>19295.434891241315</v>
      </c>
      <c r="J44" s="8">
        <f t="shared" si="16"/>
        <v>1181.0349788230965</v>
      </c>
      <c r="K44" s="8">
        <f t="shared" si="21"/>
        <v>20476.469870064411</v>
      </c>
    </row>
    <row r="45" spans="1:12" x14ac:dyDescent="0.25">
      <c r="A45" s="3">
        <v>11</v>
      </c>
      <c r="B45" s="8">
        <f t="shared" si="14"/>
        <v>37500</v>
      </c>
      <c r="C45" s="8">
        <f t="shared" si="19"/>
        <v>18750</v>
      </c>
      <c r="D45" s="8">
        <f t="shared" si="13"/>
        <v>750</v>
      </c>
      <c r="E45" s="8">
        <f t="shared" si="18"/>
        <v>19500</v>
      </c>
      <c r="G45" s="3">
        <v>11</v>
      </c>
      <c r="H45" s="8">
        <f t="shared" si="15"/>
        <v>39756.314049913504</v>
      </c>
      <c r="I45" s="8">
        <f t="shared" si="20"/>
        <v>19681.343589066142</v>
      </c>
      <c r="J45" s="8">
        <f t="shared" si="16"/>
        <v>795.12628099827009</v>
      </c>
      <c r="K45" s="8">
        <f t="shared" si="21"/>
        <v>20476.469870064411</v>
      </c>
    </row>
    <row r="46" spans="1:12" x14ac:dyDescent="0.25">
      <c r="A46" s="3">
        <v>12</v>
      </c>
      <c r="B46" s="11">
        <f t="shared" si="14"/>
        <v>18750</v>
      </c>
      <c r="C46" s="12">
        <f t="shared" si="19"/>
        <v>18750</v>
      </c>
      <c r="D46" s="8">
        <f t="shared" si="13"/>
        <v>375</v>
      </c>
      <c r="E46" s="13">
        <f t="shared" si="18"/>
        <v>19125</v>
      </c>
      <c r="G46" s="3">
        <v>12</v>
      </c>
      <c r="H46" s="11">
        <f t="shared" si="15"/>
        <v>20074.970460847362</v>
      </c>
      <c r="I46" s="11">
        <f t="shared" si="20"/>
        <v>20074.970460847464</v>
      </c>
      <c r="J46" s="8">
        <f t="shared" si="16"/>
        <v>401.49940921694724</v>
      </c>
      <c r="K46" s="8">
        <f t="shared" si="21"/>
        <v>20476.469870064411</v>
      </c>
    </row>
    <row r="47" spans="1:12" x14ac:dyDescent="0.25">
      <c r="A47" s="79" t="s">
        <v>19</v>
      </c>
      <c r="B47" s="81"/>
      <c r="C47" s="16">
        <f>SUM(C35:C46)</f>
        <v>150000</v>
      </c>
      <c r="D47" s="15">
        <f>SUM(D35:D46)</f>
        <v>25500</v>
      </c>
      <c r="E47" s="14">
        <f t="shared" si="18"/>
        <v>175500</v>
      </c>
      <c r="G47" s="79" t="s">
        <v>19</v>
      </c>
      <c r="H47" s="83"/>
      <c r="I47" s="16">
        <f>SUM(I35:I46)</f>
        <v>150000.00000000009</v>
      </c>
      <c r="J47" s="15">
        <f>SUM(J35:J46)</f>
        <v>25811.758960515188</v>
      </c>
      <c r="K47" s="14">
        <f t="shared" ref="K47" si="22">I47+J47</f>
        <v>175811.75896051526</v>
      </c>
    </row>
  </sheetData>
  <mergeCells count="15">
    <mergeCell ref="Q2:R2"/>
    <mergeCell ref="N21:O21"/>
    <mergeCell ref="A26:C26"/>
    <mergeCell ref="D26:E26"/>
    <mergeCell ref="A2:C2"/>
    <mergeCell ref="D2:E2"/>
    <mergeCell ref="A21:B21"/>
    <mergeCell ref="G2:I2"/>
    <mergeCell ref="J2:K2"/>
    <mergeCell ref="G21:H21"/>
    <mergeCell ref="A47:B47"/>
    <mergeCell ref="G26:I26"/>
    <mergeCell ref="J26:K26"/>
    <mergeCell ref="G47:H47"/>
    <mergeCell ref="N2:P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0BA2B-053A-4124-9597-8B793E512FE5}">
  <dimension ref="A1:S54"/>
  <sheetViews>
    <sheetView topLeftCell="A16" zoomScale="122" zoomScaleNormal="85" workbookViewId="0">
      <selection activeCell="G13" sqref="G13"/>
    </sheetView>
  </sheetViews>
  <sheetFormatPr baseColWidth="10" defaultRowHeight="15" x14ac:dyDescent="0.25"/>
  <cols>
    <col min="2" max="2" width="12.85546875" bestFit="1" customWidth="1"/>
    <col min="8" max="8" width="15" bestFit="1" customWidth="1"/>
    <col min="12" max="12" width="12.85546875" bestFit="1" customWidth="1"/>
    <col min="18" max="18" width="17.5703125" bestFit="1" customWidth="1"/>
  </cols>
  <sheetData>
    <row r="1" spans="1:19" ht="18.75" x14ac:dyDescent="0.3">
      <c r="A1" s="4" t="s">
        <v>25</v>
      </c>
      <c r="B1" s="4"/>
      <c r="K1" s="4" t="s">
        <v>38</v>
      </c>
      <c r="L1" s="4"/>
    </row>
    <row r="2" spans="1:19" x14ac:dyDescent="0.25">
      <c r="A2" s="82" t="s">
        <v>26</v>
      </c>
      <c r="B2" s="82"/>
      <c r="C2" s="82"/>
      <c r="D2" s="82" t="s">
        <v>30</v>
      </c>
      <c r="E2" s="82"/>
      <c r="F2" s="82" t="s">
        <v>51</v>
      </c>
      <c r="G2" s="82"/>
      <c r="H2" s="82" t="s">
        <v>59</v>
      </c>
      <c r="I2" s="82"/>
      <c r="K2" s="82" t="s">
        <v>26</v>
      </c>
      <c r="L2" s="82"/>
      <c r="M2" s="82"/>
      <c r="N2" s="82" t="s">
        <v>30</v>
      </c>
      <c r="O2" s="82"/>
      <c r="P2" s="82" t="s">
        <v>51</v>
      </c>
      <c r="Q2" s="82"/>
      <c r="R2" s="82" t="s">
        <v>59</v>
      </c>
      <c r="S2" s="82"/>
    </row>
    <row r="3" spans="1:19" x14ac:dyDescent="0.25">
      <c r="A3" t="s">
        <v>3</v>
      </c>
      <c r="B3" s="9">
        <v>150000</v>
      </c>
      <c r="F3" s="25" t="s">
        <v>52</v>
      </c>
      <c r="G3" s="27">
        <v>3.0499999999999999E-2</v>
      </c>
      <c r="H3" s="24">
        <f>G3/4</f>
        <v>7.6249999999999998E-3</v>
      </c>
      <c r="I3" t="s">
        <v>31</v>
      </c>
      <c r="K3" t="s">
        <v>3</v>
      </c>
      <c r="L3" s="9">
        <v>150000</v>
      </c>
      <c r="P3" s="25" t="s">
        <v>52</v>
      </c>
      <c r="Q3" s="27">
        <v>3.0499999999999999E-2</v>
      </c>
      <c r="R3" s="24">
        <f>Q3/4</f>
        <v>7.6249999999999998E-3</v>
      </c>
      <c r="S3" t="s">
        <v>31</v>
      </c>
    </row>
    <row r="4" spans="1:19" x14ac:dyDescent="0.25">
      <c r="A4" t="s">
        <v>4</v>
      </c>
      <c r="B4" s="5">
        <v>0.08</v>
      </c>
      <c r="C4" t="s">
        <v>29</v>
      </c>
      <c r="D4" s="6">
        <f>B4/4</f>
        <v>0.02</v>
      </c>
      <c r="E4" t="s">
        <v>31</v>
      </c>
      <c r="F4" s="25" t="s">
        <v>53</v>
      </c>
      <c r="G4" s="27">
        <v>3.2000000000000001E-2</v>
      </c>
      <c r="H4" s="24">
        <f t="shared" ref="H4:H9" si="0">G4/4</f>
        <v>8.0000000000000002E-3</v>
      </c>
      <c r="I4" t="s">
        <v>31</v>
      </c>
      <c r="K4" t="s">
        <v>4</v>
      </c>
      <c r="L4" s="5">
        <v>0.08</v>
      </c>
      <c r="M4" t="s">
        <v>29</v>
      </c>
      <c r="N4" s="6">
        <f>L4/4</f>
        <v>0.02</v>
      </c>
      <c r="O4" t="s">
        <v>31</v>
      </c>
      <c r="P4" s="25" t="s">
        <v>53</v>
      </c>
      <c r="Q4" s="27">
        <v>3.2000000000000001E-2</v>
      </c>
      <c r="R4" s="24">
        <f t="shared" ref="R4:R9" si="1">Q4/4</f>
        <v>8.0000000000000002E-3</v>
      </c>
      <c r="S4" t="s">
        <v>31</v>
      </c>
    </row>
    <row r="5" spans="1:19" x14ac:dyDescent="0.25">
      <c r="A5" t="s">
        <v>5</v>
      </c>
      <c r="B5">
        <v>3</v>
      </c>
      <c r="C5" t="s">
        <v>27</v>
      </c>
      <c r="F5" s="25" t="s">
        <v>54</v>
      </c>
      <c r="G5" s="27">
        <v>3.3599999999999998E-2</v>
      </c>
      <c r="H5" s="24">
        <f t="shared" si="0"/>
        <v>8.3999999999999995E-3</v>
      </c>
      <c r="I5" t="s">
        <v>31</v>
      </c>
      <c r="K5" t="s">
        <v>5</v>
      </c>
      <c r="L5">
        <v>3</v>
      </c>
      <c r="M5" t="s">
        <v>27</v>
      </c>
      <c r="P5" s="25" t="s">
        <v>54</v>
      </c>
      <c r="Q5" s="27">
        <v>3.3599999999999998E-2</v>
      </c>
      <c r="R5" s="24">
        <f t="shared" si="1"/>
        <v>8.3999999999999995E-3</v>
      </c>
      <c r="S5" t="s">
        <v>31</v>
      </c>
    </row>
    <row r="6" spans="1:19" x14ac:dyDescent="0.25">
      <c r="A6" t="s">
        <v>6</v>
      </c>
      <c r="B6" t="s">
        <v>28</v>
      </c>
      <c r="D6">
        <f>B5*4</f>
        <v>12</v>
      </c>
      <c r="E6" t="s">
        <v>32</v>
      </c>
      <c r="F6" s="25" t="s">
        <v>55</v>
      </c>
      <c r="G6" s="27">
        <v>3.5299999999999998E-2</v>
      </c>
      <c r="H6" s="24">
        <f t="shared" si="0"/>
        <v>8.8249999999999995E-3</v>
      </c>
      <c r="I6" t="s">
        <v>31</v>
      </c>
      <c r="K6" t="s">
        <v>6</v>
      </c>
      <c r="L6" t="s">
        <v>28</v>
      </c>
      <c r="N6">
        <f>L5*4</f>
        <v>12</v>
      </c>
      <c r="O6" t="s">
        <v>32</v>
      </c>
      <c r="P6" s="25" t="s">
        <v>55</v>
      </c>
      <c r="Q6" s="27">
        <v>3.5299999999999998E-2</v>
      </c>
      <c r="R6" s="24">
        <f t="shared" si="1"/>
        <v>8.8249999999999995E-3</v>
      </c>
      <c r="S6" t="s">
        <v>31</v>
      </c>
    </row>
    <row r="7" spans="1:19" x14ac:dyDescent="0.25">
      <c r="A7" s="25" t="s">
        <v>48</v>
      </c>
      <c r="B7" s="26">
        <v>44602</v>
      </c>
      <c r="F7" s="25" t="s">
        <v>56</v>
      </c>
      <c r="G7" s="27">
        <v>3.7100000000000001E-2</v>
      </c>
      <c r="H7" s="24">
        <f t="shared" si="0"/>
        <v>9.2750000000000003E-3</v>
      </c>
      <c r="I7" t="s">
        <v>31</v>
      </c>
      <c r="K7" s="25" t="s">
        <v>63</v>
      </c>
      <c r="L7" s="26">
        <v>44602</v>
      </c>
      <c r="P7" s="25" t="s">
        <v>56</v>
      </c>
      <c r="Q7" s="27">
        <v>3.7100000000000001E-2</v>
      </c>
      <c r="R7" s="24">
        <f t="shared" si="1"/>
        <v>9.2750000000000003E-3</v>
      </c>
      <c r="S7" t="s">
        <v>31</v>
      </c>
    </row>
    <row r="8" spans="1:19" x14ac:dyDescent="0.25">
      <c r="A8" s="25" t="s">
        <v>49</v>
      </c>
      <c r="B8" s="27">
        <v>6.3E-3</v>
      </c>
      <c r="F8" s="25" t="s">
        <v>57</v>
      </c>
      <c r="G8" s="27">
        <v>3.8899999999999997E-2</v>
      </c>
      <c r="H8" s="24">
        <f t="shared" si="0"/>
        <v>9.7249999999999993E-3</v>
      </c>
      <c r="I8" t="s">
        <v>31</v>
      </c>
      <c r="K8" s="25" t="s">
        <v>64</v>
      </c>
      <c r="L8" s="27">
        <v>6.3E-3</v>
      </c>
      <c r="P8" s="25" t="s">
        <v>57</v>
      </c>
      <c r="Q8" s="27">
        <v>3.8899999999999997E-2</v>
      </c>
      <c r="R8" s="24">
        <f t="shared" si="1"/>
        <v>9.7249999999999993E-3</v>
      </c>
      <c r="S8" t="s">
        <v>31</v>
      </c>
    </row>
    <row r="9" spans="1:19" x14ac:dyDescent="0.25">
      <c r="A9" s="25" t="s">
        <v>50</v>
      </c>
      <c r="B9" s="25">
        <v>1.1499999999999999</v>
      </c>
      <c r="F9" s="25" t="s">
        <v>58</v>
      </c>
      <c r="G9" s="27">
        <v>4.0899999999999999E-2</v>
      </c>
      <c r="H9" s="24">
        <f t="shared" si="0"/>
        <v>1.0225E-2</v>
      </c>
      <c r="I9" t="s">
        <v>31</v>
      </c>
      <c r="K9" s="25" t="s">
        <v>65</v>
      </c>
      <c r="L9" s="25">
        <v>1.1499999999999999</v>
      </c>
      <c r="P9" s="25" t="s">
        <v>58</v>
      </c>
      <c r="Q9" s="27">
        <v>4.0899999999999999E-2</v>
      </c>
      <c r="R9" s="24">
        <f t="shared" si="1"/>
        <v>1.0225E-2</v>
      </c>
      <c r="S9" t="s">
        <v>31</v>
      </c>
    </row>
    <row r="10" spans="1:19" x14ac:dyDescent="0.25">
      <c r="A10" s="25" t="s">
        <v>60</v>
      </c>
      <c r="B10" s="25">
        <v>4</v>
      </c>
      <c r="K10" s="25" t="s">
        <v>66</v>
      </c>
      <c r="L10" s="25">
        <v>4</v>
      </c>
    </row>
    <row r="11" spans="1:19" x14ac:dyDescent="0.25">
      <c r="A11" s="25"/>
      <c r="N11">
        <v>1</v>
      </c>
      <c r="O11">
        <v>4</v>
      </c>
      <c r="P11">
        <v>3</v>
      </c>
      <c r="Q11">
        <v>2</v>
      </c>
    </row>
    <row r="12" spans="1:19" x14ac:dyDescent="0.25">
      <c r="A12" s="7" t="s">
        <v>33</v>
      </c>
      <c r="B12" s="29" t="s">
        <v>46</v>
      </c>
      <c r="C12" s="29" t="s">
        <v>47</v>
      </c>
      <c r="D12" s="7" t="s">
        <v>34</v>
      </c>
      <c r="E12" s="7" t="s">
        <v>37</v>
      </c>
      <c r="F12" s="7" t="s">
        <v>35</v>
      </c>
      <c r="G12" s="7" t="s">
        <v>36</v>
      </c>
      <c r="H12" s="30" t="s">
        <v>61</v>
      </c>
      <c r="I12" s="28" t="s">
        <v>62</v>
      </c>
      <c r="K12" s="7" t="s">
        <v>33</v>
      </c>
      <c r="L12" s="29" t="s">
        <v>46</v>
      </c>
      <c r="M12" s="29" t="s">
        <v>47</v>
      </c>
      <c r="N12" s="7" t="s">
        <v>34</v>
      </c>
      <c r="O12" s="7" t="s">
        <v>37</v>
      </c>
      <c r="P12" s="7" t="s">
        <v>35</v>
      </c>
      <c r="Q12" s="7" t="s">
        <v>36</v>
      </c>
      <c r="R12" s="30" t="s">
        <v>61</v>
      </c>
      <c r="S12" s="30" t="s">
        <v>62</v>
      </c>
    </row>
    <row r="13" spans="1:19" x14ac:dyDescent="0.25">
      <c r="A13" s="3">
        <v>1</v>
      </c>
      <c r="B13" s="31">
        <f>B7+(365/4)</f>
        <v>44693.25</v>
      </c>
      <c r="C13" s="32">
        <f>D4+H6</f>
        <v>2.8825E-2</v>
      </c>
      <c r="D13" s="10">
        <f>B3</f>
        <v>150000</v>
      </c>
      <c r="E13" s="8">
        <f>B3/D6</f>
        <v>12500</v>
      </c>
      <c r="F13" s="8">
        <f>D13*C13</f>
        <v>4323.75</v>
      </c>
      <c r="G13" s="8">
        <f t="shared" ref="G13:G25" si="2">E13+F13</f>
        <v>16823.75</v>
      </c>
      <c r="H13" s="3">
        <f>D13*B8*((B13-B7)/30)*B9</f>
        <v>3305.5312499999995</v>
      </c>
      <c r="I13" s="9">
        <f>G13+H13</f>
        <v>20129.28125</v>
      </c>
      <c r="J13">
        <v>12</v>
      </c>
      <c r="K13" s="3">
        <v>1</v>
      </c>
      <c r="L13" s="31">
        <f>L7+(365/4)</f>
        <v>44693.25</v>
      </c>
      <c r="M13" s="32">
        <f>N4+R6</f>
        <v>2.8825E-2</v>
      </c>
      <c r="N13" s="10">
        <f>L3</f>
        <v>150000</v>
      </c>
      <c r="O13" s="8">
        <f>Q13-P13</f>
        <v>10640.060144797813</v>
      </c>
      <c r="P13" s="8">
        <f>N13*M13</f>
        <v>4323.75</v>
      </c>
      <c r="Q13" s="8">
        <f>-PMT(M13,J13,N13)</f>
        <v>14963.810144797813</v>
      </c>
      <c r="R13" s="36">
        <f>N13*L8*((L14-L13)/30)*L9</f>
        <v>3305.5312499999995</v>
      </c>
      <c r="S13" s="8">
        <f>Q13+R13</f>
        <v>18269.341394797812</v>
      </c>
    </row>
    <row r="14" spans="1:19" x14ac:dyDescent="0.25">
      <c r="A14" s="3">
        <v>2</v>
      </c>
      <c r="B14" s="31">
        <f>B13+(365/$B$10)</f>
        <v>44784.5</v>
      </c>
      <c r="C14" s="32">
        <f>H9+D4</f>
        <v>3.0225000000000002E-2</v>
      </c>
      <c r="D14" s="8">
        <f>D13-E13</f>
        <v>137500</v>
      </c>
      <c r="E14" s="8">
        <f>E13</f>
        <v>12500</v>
      </c>
      <c r="F14" s="8">
        <f t="shared" ref="F14:F24" si="3">D14*C14</f>
        <v>4155.9375</v>
      </c>
      <c r="G14" s="8">
        <f t="shared" si="2"/>
        <v>16655.9375</v>
      </c>
      <c r="H14" s="3">
        <f>D14*$B$8*((B14-B13)/30)*$B$9</f>
        <v>3030.0703124999995</v>
      </c>
      <c r="I14" s="9">
        <f t="shared" ref="I14:I25" si="4">G14+H14</f>
        <v>19686.0078125</v>
      </c>
      <c r="J14">
        <v>11</v>
      </c>
      <c r="K14" s="3">
        <v>2</v>
      </c>
      <c r="L14" s="31">
        <f>L13+(365/$L$10)</f>
        <v>44784.5</v>
      </c>
      <c r="M14" s="32">
        <f>R9+N4</f>
        <v>3.0225000000000002E-2</v>
      </c>
      <c r="N14" s="8">
        <f>N13-O13</f>
        <v>139359.93985520219</v>
      </c>
      <c r="O14" s="8">
        <f t="shared" ref="O14:O24" si="5">Q14-P14</f>
        <v>10868.288726871566</v>
      </c>
      <c r="P14" s="8">
        <f t="shared" ref="P14:P24" si="6">N14*M14</f>
        <v>4212.154182123486</v>
      </c>
      <c r="Q14" s="8">
        <f t="shared" ref="Q14:Q24" si="7">-PMT(M14,J14,N14)</f>
        <v>15080.442908995052</v>
      </c>
      <c r="R14" s="36">
        <f>N14*$L$8*((L14-L13)/30)*$L$9</f>
        <v>3071.057574596608</v>
      </c>
      <c r="S14" s="8">
        <f t="shared" ref="S14:S24" si="8">Q14+R14</f>
        <v>18151.500483591659</v>
      </c>
    </row>
    <row r="15" spans="1:19" x14ac:dyDescent="0.25">
      <c r="A15" s="3">
        <v>3</v>
      </c>
      <c r="B15" s="31">
        <f t="shared" ref="B15:B24" si="9">B14+(365/$B$10)</f>
        <v>44875.75</v>
      </c>
      <c r="C15" s="32">
        <f>C14</f>
        <v>3.0225000000000002E-2</v>
      </c>
      <c r="D15" s="8">
        <f t="shared" ref="D15:D24" si="10">D14-E14</f>
        <v>125000</v>
      </c>
      <c r="E15" s="8">
        <f t="shared" ref="E15:E24" si="11">E14</f>
        <v>12500</v>
      </c>
      <c r="F15" s="8">
        <f t="shared" si="3"/>
        <v>3778.1250000000005</v>
      </c>
      <c r="G15" s="8">
        <f t="shared" si="2"/>
        <v>16278.125</v>
      </c>
      <c r="H15" s="3">
        <f t="shared" ref="H15:H24" si="12">D15*$B$8*((B15-B14)/30)*$B$9</f>
        <v>2754.609375</v>
      </c>
      <c r="I15" s="9">
        <f t="shared" si="4"/>
        <v>19032.734375</v>
      </c>
      <c r="J15">
        <v>10</v>
      </c>
      <c r="K15" s="3">
        <v>3</v>
      </c>
      <c r="L15" s="31">
        <f t="shared" ref="L15:L24" si="13">L14+(365/$B$10)</f>
        <v>44875.75</v>
      </c>
      <c r="M15" s="32">
        <f>M14</f>
        <v>3.0225000000000002E-2</v>
      </c>
      <c r="N15" s="8">
        <f>N14-O14</f>
        <v>128491.65112833062</v>
      </c>
      <c r="O15" s="8">
        <f>Q15-P15</f>
        <v>11196.782753641259</v>
      </c>
      <c r="P15" s="8">
        <f>N15*M15</f>
        <v>3883.660155353793</v>
      </c>
      <c r="Q15" s="8">
        <f t="shared" si="7"/>
        <v>15080.442908995052</v>
      </c>
      <c r="R15" s="36">
        <f t="shared" ref="R15:R24" si="14">N15*$L$8*((L15-L14)/30)*$L$9</f>
        <v>2831.5544544586305</v>
      </c>
      <c r="S15" s="8">
        <f t="shared" si="8"/>
        <v>17911.997363453684</v>
      </c>
    </row>
    <row r="16" spans="1:19" x14ac:dyDescent="0.25">
      <c r="A16" s="3">
        <v>4</v>
      </c>
      <c r="B16" s="31">
        <f t="shared" si="9"/>
        <v>44967</v>
      </c>
      <c r="C16" s="32">
        <f t="shared" ref="C16:C24" si="15">C15</f>
        <v>3.0225000000000002E-2</v>
      </c>
      <c r="D16" s="8">
        <f t="shared" si="10"/>
        <v>112500</v>
      </c>
      <c r="E16" s="8">
        <f t="shared" si="11"/>
        <v>12500</v>
      </c>
      <c r="F16" s="8">
        <f t="shared" si="3"/>
        <v>3400.3125</v>
      </c>
      <c r="G16" s="8">
        <f t="shared" si="2"/>
        <v>15900.3125</v>
      </c>
      <c r="H16" s="3">
        <f t="shared" si="12"/>
        <v>2479.1484375</v>
      </c>
      <c r="I16" s="9">
        <f t="shared" si="4"/>
        <v>18379.4609375</v>
      </c>
      <c r="J16">
        <v>9</v>
      </c>
      <c r="K16" s="3">
        <v>4</v>
      </c>
      <c r="L16" s="31">
        <f t="shared" si="13"/>
        <v>44967</v>
      </c>
      <c r="M16" s="32">
        <f t="shared" ref="M16:M24" si="16">M15</f>
        <v>3.0225000000000002E-2</v>
      </c>
      <c r="N16" s="8">
        <f t="shared" ref="N16:N24" si="17">N15-O15</f>
        <v>117294.86837468937</v>
      </c>
      <c r="O16" s="8">
        <f t="shared" si="5"/>
        <v>11535.205512370067</v>
      </c>
      <c r="P16" s="8">
        <f t="shared" si="6"/>
        <v>3545.2373966249861</v>
      </c>
      <c r="Q16" s="8">
        <f t="shared" si="7"/>
        <v>15080.442908995052</v>
      </c>
      <c r="R16" s="36">
        <f t="shared" si="14"/>
        <v>2584.8123525144824</v>
      </c>
      <c r="S16" s="8">
        <f t="shared" si="8"/>
        <v>17665.255261509534</v>
      </c>
    </row>
    <row r="17" spans="1:19" x14ac:dyDescent="0.25">
      <c r="A17" s="3">
        <v>5</v>
      </c>
      <c r="B17" s="31">
        <f t="shared" si="9"/>
        <v>45058.25</v>
      </c>
      <c r="C17" s="32">
        <f t="shared" si="15"/>
        <v>3.0225000000000002E-2</v>
      </c>
      <c r="D17" s="8">
        <f t="shared" si="10"/>
        <v>100000</v>
      </c>
      <c r="E17" s="8">
        <f t="shared" si="11"/>
        <v>12500</v>
      </c>
      <c r="F17" s="8">
        <f t="shared" si="3"/>
        <v>3022.5</v>
      </c>
      <c r="G17" s="8">
        <f t="shared" si="2"/>
        <v>15522.5</v>
      </c>
      <c r="H17" s="3">
        <f t="shared" si="12"/>
        <v>2203.6875</v>
      </c>
      <c r="I17" s="9">
        <f t="shared" si="4"/>
        <v>17726.1875</v>
      </c>
      <c r="J17">
        <v>8</v>
      </c>
      <c r="K17" s="3">
        <v>5</v>
      </c>
      <c r="L17" s="31">
        <f t="shared" si="13"/>
        <v>45058.25</v>
      </c>
      <c r="M17" s="32">
        <f t="shared" si="16"/>
        <v>3.0225000000000002E-2</v>
      </c>
      <c r="N17" s="8">
        <f t="shared" si="17"/>
        <v>105759.6628623193</v>
      </c>
      <c r="O17" s="8">
        <f t="shared" si="5"/>
        <v>11883.857098981449</v>
      </c>
      <c r="P17" s="8">
        <f t="shared" si="6"/>
        <v>3196.5858100136011</v>
      </c>
      <c r="Q17" s="8">
        <f>-PMT(M17,J17,N17)</f>
        <v>15080.44290899505</v>
      </c>
      <c r="R17" s="36">
        <f t="shared" si="14"/>
        <v>2330.6124705390721</v>
      </c>
      <c r="S17" s="8">
        <f t="shared" si="8"/>
        <v>17411.055379534122</v>
      </c>
    </row>
    <row r="18" spans="1:19" x14ac:dyDescent="0.25">
      <c r="A18" s="3">
        <v>6</v>
      </c>
      <c r="B18" s="31">
        <f t="shared" si="9"/>
        <v>45149.5</v>
      </c>
      <c r="C18" s="32">
        <f t="shared" si="15"/>
        <v>3.0225000000000002E-2</v>
      </c>
      <c r="D18" s="8">
        <f t="shared" si="10"/>
        <v>87500</v>
      </c>
      <c r="E18" s="8">
        <f t="shared" si="11"/>
        <v>12500</v>
      </c>
      <c r="F18" s="8">
        <f t="shared" si="3"/>
        <v>2644.6875</v>
      </c>
      <c r="G18" s="8">
        <f t="shared" si="2"/>
        <v>15144.6875</v>
      </c>
      <c r="H18" s="3">
        <f t="shared" si="12"/>
        <v>1928.2265624999998</v>
      </c>
      <c r="I18" s="9">
        <f t="shared" si="4"/>
        <v>17072.9140625</v>
      </c>
      <c r="J18">
        <v>7</v>
      </c>
      <c r="K18" s="3">
        <v>6</v>
      </c>
      <c r="L18" s="31">
        <f t="shared" si="13"/>
        <v>45149.5</v>
      </c>
      <c r="M18" s="32">
        <f t="shared" si="16"/>
        <v>3.0225000000000002E-2</v>
      </c>
      <c r="N18" s="8">
        <f t="shared" si="17"/>
        <v>93875.805763337848</v>
      </c>
      <c r="O18" s="8">
        <f t="shared" si="5"/>
        <v>12243.046679798164</v>
      </c>
      <c r="P18" s="8">
        <f t="shared" si="6"/>
        <v>2837.3962291968865</v>
      </c>
      <c r="Q18" s="8">
        <f t="shared" si="7"/>
        <v>15080.44290899505</v>
      </c>
      <c r="R18" s="36">
        <f t="shared" si="14"/>
        <v>2068.7293971309559</v>
      </c>
      <c r="S18" s="8">
        <f t="shared" si="8"/>
        <v>17149.172306126005</v>
      </c>
    </row>
    <row r="19" spans="1:19" x14ac:dyDescent="0.25">
      <c r="A19" s="3">
        <v>7</v>
      </c>
      <c r="B19" s="31">
        <f t="shared" si="9"/>
        <v>45240.75</v>
      </c>
      <c r="C19" s="32">
        <f t="shared" si="15"/>
        <v>3.0225000000000002E-2</v>
      </c>
      <c r="D19" s="8">
        <f t="shared" si="10"/>
        <v>75000</v>
      </c>
      <c r="E19" s="8">
        <f t="shared" si="11"/>
        <v>12500</v>
      </c>
      <c r="F19" s="8">
        <f t="shared" si="3"/>
        <v>2266.875</v>
      </c>
      <c r="G19" s="8">
        <f t="shared" si="2"/>
        <v>14766.875</v>
      </c>
      <c r="H19" s="3">
        <f t="shared" si="12"/>
        <v>1652.7656249999998</v>
      </c>
      <c r="I19" s="9">
        <f t="shared" si="4"/>
        <v>16419.640625</v>
      </c>
      <c r="J19">
        <v>6</v>
      </c>
      <c r="K19" s="3">
        <v>7</v>
      </c>
      <c r="L19" s="31">
        <f t="shared" si="13"/>
        <v>45240.75</v>
      </c>
      <c r="M19" s="32">
        <f t="shared" si="16"/>
        <v>3.0225000000000002E-2</v>
      </c>
      <c r="N19" s="8">
        <f t="shared" si="17"/>
        <v>81632.759083539684</v>
      </c>
      <c r="O19" s="8">
        <f t="shared" si="5"/>
        <v>12613.092765695064</v>
      </c>
      <c r="P19" s="8">
        <f t="shared" si="6"/>
        <v>2467.3501432999869</v>
      </c>
      <c r="Q19" s="8">
        <f t="shared" si="7"/>
        <v>15080.442908995052</v>
      </c>
      <c r="R19" s="36">
        <f t="shared" si="14"/>
        <v>1798.9309078290785</v>
      </c>
      <c r="S19" s="8">
        <f t="shared" si="8"/>
        <v>16879.373816824129</v>
      </c>
    </row>
    <row r="20" spans="1:19" x14ac:dyDescent="0.25">
      <c r="A20" s="3">
        <v>8</v>
      </c>
      <c r="B20" s="31">
        <f t="shared" si="9"/>
        <v>45332</v>
      </c>
      <c r="C20" s="32">
        <f t="shared" si="15"/>
        <v>3.0225000000000002E-2</v>
      </c>
      <c r="D20" s="8">
        <f t="shared" si="10"/>
        <v>62500</v>
      </c>
      <c r="E20" s="8">
        <f t="shared" si="11"/>
        <v>12500</v>
      </c>
      <c r="F20" s="8">
        <f t="shared" si="3"/>
        <v>1889.0625000000002</v>
      </c>
      <c r="G20" s="8">
        <f t="shared" si="2"/>
        <v>14389.0625</v>
      </c>
      <c r="H20" s="3">
        <f t="shared" si="12"/>
        <v>1377.3046875</v>
      </c>
      <c r="I20" s="9">
        <f t="shared" si="4"/>
        <v>15766.3671875</v>
      </c>
      <c r="J20">
        <v>5</v>
      </c>
      <c r="K20" s="3">
        <v>8</v>
      </c>
      <c r="L20" s="31">
        <f t="shared" si="13"/>
        <v>45332</v>
      </c>
      <c r="M20" s="32">
        <f t="shared" si="16"/>
        <v>3.0225000000000002E-2</v>
      </c>
      <c r="N20" s="8">
        <f t="shared" si="17"/>
        <v>69019.666317844618</v>
      </c>
      <c r="O20" s="8">
        <f t="shared" si="5"/>
        <v>12994.323494538199</v>
      </c>
      <c r="P20" s="8">
        <f t="shared" si="6"/>
        <v>2086.1194144568535</v>
      </c>
      <c r="Q20" s="8">
        <f t="shared" si="7"/>
        <v>15080.442908995054</v>
      </c>
      <c r="R20" s="36">
        <f t="shared" si="14"/>
        <v>1520.977759188052</v>
      </c>
      <c r="S20" s="8">
        <f t="shared" si="8"/>
        <v>16601.420668183106</v>
      </c>
    </row>
    <row r="21" spans="1:19" x14ac:dyDescent="0.25">
      <c r="A21" s="3">
        <v>9</v>
      </c>
      <c r="B21" s="31">
        <f t="shared" si="9"/>
        <v>45423.25</v>
      </c>
      <c r="C21" s="32">
        <f t="shared" si="15"/>
        <v>3.0225000000000002E-2</v>
      </c>
      <c r="D21" s="8">
        <f t="shared" si="10"/>
        <v>50000</v>
      </c>
      <c r="E21" s="8">
        <f t="shared" si="11"/>
        <v>12500</v>
      </c>
      <c r="F21" s="8">
        <f t="shared" si="3"/>
        <v>1511.25</v>
      </c>
      <c r="G21" s="8">
        <f t="shared" si="2"/>
        <v>14011.25</v>
      </c>
      <c r="H21" s="3">
        <f t="shared" si="12"/>
        <v>1101.84375</v>
      </c>
      <c r="I21" s="9">
        <f t="shared" si="4"/>
        <v>15113.09375</v>
      </c>
      <c r="J21">
        <v>4</v>
      </c>
      <c r="K21" s="3">
        <v>9</v>
      </c>
      <c r="L21" s="31">
        <f t="shared" si="13"/>
        <v>45423.25</v>
      </c>
      <c r="M21" s="32">
        <f t="shared" si="16"/>
        <v>3.0225000000000002E-2</v>
      </c>
      <c r="N21" s="8">
        <f t="shared" si="17"/>
        <v>56025.342823306419</v>
      </c>
      <c r="O21" s="8">
        <f t="shared" si="5"/>
        <v>13387.076922160615</v>
      </c>
      <c r="P21" s="8">
        <f t="shared" si="6"/>
        <v>1693.3659868344366</v>
      </c>
      <c r="Q21" s="8">
        <f t="shared" si="7"/>
        <v>15080.442908995052</v>
      </c>
      <c r="R21" s="36">
        <f t="shared" si="14"/>
        <v>1234.6234766293505</v>
      </c>
      <c r="S21" s="8">
        <f t="shared" si="8"/>
        <v>16315.066385624403</v>
      </c>
    </row>
    <row r="22" spans="1:19" x14ac:dyDescent="0.25">
      <c r="A22" s="3">
        <v>10</v>
      </c>
      <c r="B22" s="31">
        <f t="shared" si="9"/>
        <v>45514.5</v>
      </c>
      <c r="C22" s="32">
        <f t="shared" si="15"/>
        <v>3.0225000000000002E-2</v>
      </c>
      <c r="D22" s="8">
        <f t="shared" si="10"/>
        <v>37500</v>
      </c>
      <c r="E22" s="8">
        <f t="shared" si="11"/>
        <v>12500</v>
      </c>
      <c r="F22" s="8">
        <f t="shared" si="3"/>
        <v>1133.4375</v>
      </c>
      <c r="G22" s="8">
        <f t="shared" si="2"/>
        <v>13633.4375</v>
      </c>
      <c r="H22" s="3">
        <f t="shared" si="12"/>
        <v>826.38281249999989</v>
      </c>
      <c r="I22" s="9">
        <f t="shared" si="4"/>
        <v>14459.8203125</v>
      </c>
      <c r="J22">
        <v>3</v>
      </c>
      <c r="K22" s="3">
        <v>10</v>
      </c>
      <c r="L22" s="31">
        <f t="shared" si="13"/>
        <v>45514.5</v>
      </c>
      <c r="M22" s="32">
        <f t="shared" si="16"/>
        <v>3.0225000000000002E-2</v>
      </c>
      <c r="N22" s="8">
        <f t="shared" si="17"/>
        <v>42638.265901145802</v>
      </c>
      <c r="O22" s="8">
        <f t="shared" si="5"/>
        <v>13791.701322132918</v>
      </c>
      <c r="P22" s="8">
        <f t="shared" si="6"/>
        <v>1288.741586862132</v>
      </c>
      <c r="Q22" s="8">
        <f t="shared" si="7"/>
        <v>15080.44290899505</v>
      </c>
      <c r="R22" s="36">
        <f t="shared" si="14"/>
        <v>939.61413588031223</v>
      </c>
      <c r="S22" s="8">
        <f t="shared" si="8"/>
        <v>16020.057044875362</v>
      </c>
    </row>
    <row r="23" spans="1:19" x14ac:dyDescent="0.25">
      <c r="A23" s="3">
        <v>11</v>
      </c>
      <c r="B23" s="31">
        <f t="shared" si="9"/>
        <v>45605.75</v>
      </c>
      <c r="C23" s="32">
        <f t="shared" si="15"/>
        <v>3.0225000000000002E-2</v>
      </c>
      <c r="D23" s="8">
        <f t="shared" si="10"/>
        <v>25000</v>
      </c>
      <c r="E23" s="8">
        <f t="shared" si="11"/>
        <v>12500</v>
      </c>
      <c r="F23" s="8">
        <f t="shared" si="3"/>
        <v>755.625</v>
      </c>
      <c r="G23" s="8">
        <f t="shared" si="2"/>
        <v>13255.625</v>
      </c>
      <c r="H23" s="3">
        <f t="shared" si="12"/>
        <v>550.921875</v>
      </c>
      <c r="I23" s="9">
        <f t="shared" si="4"/>
        <v>13806.546875</v>
      </c>
      <c r="J23">
        <v>2</v>
      </c>
      <c r="K23" s="3">
        <v>11</v>
      </c>
      <c r="L23" s="31">
        <f t="shared" si="13"/>
        <v>45605.75</v>
      </c>
      <c r="M23" s="32">
        <f t="shared" si="16"/>
        <v>3.0225000000000002E-2</v>
      </c>
      <c r="N23" s="8">
        <f t="shared" si="17"/>
        <v>28846.564579012884</v>
      </c>
      <c r="O23" s="8">
        <f t="shared" si="5"/>
        <v>14208.555494594386</v>
      </c>
      <c r="P23" s="8">
        <f t="shared" si="6"/>
        <v>871.88741440066451</v>
      </c>
      <c r="Q23" s="8">
        <f t="shared" si="7"/>
        <v>15080.44290899505</v>
      </c>
      <c r="R23" s="36">
        <f t="shared" si="14"/>
        <v>635.68813780713458</v>
      </c>
      <c r="S23" s="8">
        <f t="shared" si="8"/>
        <v>15716.131046802184</v>
      </c>
    </row>
    <row r="24" spans="1:19" x14ac:dyDescent="0.25">
      <c r="A24" s="3">
        <v>12</v>
      </c>
      <c r="B24" s="31">
        <f t="shared" si="9"/>
        <v>45697</v>
      </c>
      <c r="C24" s="32">
        <f t="shared" si="15"/>
        <v>3.0225000000000002E-2</v>
      </c>
      <c r="D24" s="11">
        <f t="shared" si="10"/>
        <v>12500</v>
      </c>
      <c r="E24" s="12">
        <f t="shared" si="11"/>
        <v>12500</v>
      </c>
      <c r="F24" s="8">
        <f t="shared" si="3"/>
        <v>377.8125</v>
      </c>
      <c r="G24" s="13">
        <f t="shared" si="2"/>
        <v>12877.8125</v>
      </c>
      <c r="H24" s="3">
        <f t="shared" si="12"/>
        <v>275.4609375</v>
      </c>
      <c r="I24" s="9">
        <f t="shared" si="4"/>
        <v>13153.2734375</v>
      </c>
      <c r="J24">
        <v>1</v>
      </c>
      <c r="K24" s="3">
        <v>12</v>
      </c>
      <c r="L24" s="31">
        <f t="shared" si="13"/>
        <v>45697</v>
      </c>
      <c r="M24" s="32">
        <f t="shared" si="16"/>
        <v>3.0225000000000002E-2</v>
      </c>
      <c r="N24" s="11">
        <f t="shared" si="17"/>
        <v>14638.009084418498</v>
      </c>
      <c r="O24" s="8">
        <f t="shared" si="5"/>
        <v>14638.0090844185</v>
      </c>
      <c r="P24" s="8">
        <f t="shared" si="6"/>
        <v>442.43382457654911</v>
      </c>
      <c r="Q24" s="8">
        <f t="shared" si="7"/>
        <v>15080.442908995048</v>
      </c>
      <c r="R24" s="36">
        <f t="shared" si="14"/>
        <v>322.57597644219487</v>
      </c>
      <c r="S24" s="8">
        <f t="shared" si="8"/>
        <v>15403.018885437243</v>
      </c>
    </row>
    <row r="25" spans="1:19" x14ac:dyDescent="0.25">
      <c r="A25" s="3" t="s">
        <v>19</v>
      </c>
      <c r="B25" s="3"/>
      <c r="C25" s="3"/>
      <c r="D25" s="23"/>
      <c r="E25" s="33">
        <f>SUM(E13:E24)</f>
        <v>150000</v>
      </c>
      <c r="F25" s="34">
        <f>SUM(F13:F24)</f>
        <v>29259.375</v>
      </c>
      <c r="G25" s="14">
        <f t="shared" si="2"/>
        <v>179259.375</v>
      </c>
      <c r="H25" s="35">
        <f>SUM(H13:H24)</f>
        <v>21485.953125</v>
      </c>
      <c r="I25" s="8">
        <f t="shared" si="4"/>
        <v>200745.328125</v>
      </c>
      <c r="K25" s="3" t="s">
        <v>19</v>
      </c>
      <c r="L25" s="3"/>
      <c r="M25" s="3"/>
      <c r="N25" s="23"/>
      <c r="O25" s="33">
        <f>SUM(O13:O24)</f>
        <v>150000</v>
      </c>
      <c r="P25" s="34">
        <f>SUM(P13:P24)</f>
        <v>30848.682143743379</v>
      </c>
      <c r="Q25" s="14">
        <f>O25+P25</f>
        <v>180848.68214374338</v>
      </c>
      <c r="R25" s="35">
        <f>SUM(R13:R24)</f>
        <v>22644.707893015868</v>
      </c>
      <c r="S25" s="8">
        <f t="shared" ref="S25" si="18">Q25+R25</f>
        <v>203493.39003675926</v>
      </c>
    </row>
    <row r="27" spans="1:19" x14ac:dyDescent="0.25">
      <c r="A27" t="s">
        <v>68</v>
      </c>
    </row>
    <row r="28" spans="1:19" ht="18.75" x14ac:dyDescent="0.3">
      <c r="A28" s="4" t="s">
        <v>25</v>
      </c>
      <c r="B28" s="4"/>
    </row>
    <row r="29" spans="1:19" ht="18.75" x14ac:dyDescent="0.3">
      <c r="A29" s="82" t="s">
        <v>26</v>
      </c>
      <c r="B29" s="82"/>
      <c r="C29" s="82"/>
      <c r="D29" s="82" t="s">
        <v>30</v>
      </c>
      <c r="E29" s="82"/>
      <c r="F29" s="82" t="s">
        <v>51</v>
      </c>
      <c r="G29" s="82"/>
      <c r="H29" s="82" t="s">
        <v>59</v>
      </c>
      <c r="I29" s="82"/>
      <c r="K29" s="4" t="s">
        <v>38</v>
      </c>
      <c r="L29" s="4"/>
    </row>
    <row r="30" spans="1:19" x14ac:dyDescent="0.25">
      <c r="A30" t="s">
        <v>3</v>
      </c>
      <c r="B30" s="9">
        <v>150000</v>
      </c>
      <c r="F30" s="25" t="s">
        <v>52</v>
      </c>
      <c r="G30" s="27">
        <v>3.0499999999999999E-2</v>
      </c>
      <c r="H30" s="24">
        <f>G30/4</f>
        <v>7.6249999999999998E-3</v>
      </c>
      <c r="I30" t="s">
        <v>31</v>
      </c>
      <c r="K30" s="42" t="s">
        <v>26</v>
      </c>
      <c r="L30" s="42"/>
      <c r="M30" s="42"/>
      <c r="N30" s="42" t="s">
        <v>30</v>
      </c>
      <c r="O30" s="42"/>
      <c r="P30" s="42" t="s">
        <v>51</v>
      </c>
      <c r="Q30" s="42"/>
      <c r="R30" s="42" t="s">
        <v>59</v>
      </c>
      <c r="S30" s="42"/>
    </row>
    <row r="31" spans="1:19" x14ac:dyDescent="0.25">
      <c r="A31" t="s">
        <v>4</v>
      </c>
      <c r="B31" s="5">
        <v>0.08</v>
      </c>
      <c r="C31" t="s">
        <v>29</v>
      </c>
      <c r="D31" s="6">
        <f>B31/4</f>
        <v>0.02</v>
      </c>
      <c r="E31" t="s">
        <v>31</v>
      </c>
      <c r="F31" s="25" t="s">
        <v>53</v>
      </c>
      <c r="G31" s="27">
        <v>3.2000000000000001E-2</v>
      </c>
      <c r="H31" s="24">
        <f t="shared" ref="H31:H33" si="19">G31/4</f>
        <v>8.0000000000000002E-3</v>
      </c>
      <c r="I31" t="s">
        <v>31</v>
      </c>
      <c r="K31" t="s">
        <v>3</v>
      </c>
      <c r="L31" s="9">
        <v>150000</v>
      </c>
      <c r="P31" s="25" t="s">
        <v>52</v>
      </c>
      <c r="Q31" s="27">
        <v>3.0499999999999999E-2</v>
      </c>
      <c r="R31" s="24">
        <f>Q31/4</f>
        <v>7.6249999999999998E-3</v>
      </c>
      <c r="S31" t="s">
        <v>31</v>
      </c>
    </row>
    <row r="32" spans="1:19" x14ac:dyDescent="0.25">
      <c r="A32" t="s">
        <v>5</v>
      </c>
      <c r="B32">
        <v>3</v>
      </c>
      <c r="C32" t="s">
        <v>27</v>
      </c>
      <c r="F32" s="25" t="s">
        <v>54</v>
      </c>
      <c r="G32" s="27">
        <v>3.3599999999999998E-2</v>
      </c>
      <c r="H32" s="24">
        <f t="shared" si="19"/>
        <v>8.3999999999999995E-3</v>
      </c>
      <c r="I32" t="s">
        <v>31</v>
      </c>
      <c r="K32" t="s">
        <v>4</v>
      </c>
      <c r="L32" s="5">
        <v>0.08</v>
      </c>
      <c r="M32" t="s">
        <v>29</v>
      </c>
      <c r="N32" s="6">
        <f>L32/4</f>
        <v>0.02</v>
      </c>
      <c r="O32" t="s">
        <v>31</v>
      </c>
      <c r="P32" s="25" t="s">
        <v>53</v>
      </c>
      <c r="Q32" s="27">
        <v>3.2000000000000001E-2</v>
      </c>
      <c r="R32" s="24">
        <f t="shared" ref="R32:R37" si="20">Q32/4</f>
        <v>8.0000000000000002E-3</v>
      </c>
      <c r="S32" t="s">
        <v>31</v>
      </c>
    </row>
    <row r="33" spans="1:19" x14ac:dyDescent="0.25">
      <c r="A33" t="s">
        <v>6</v>
      </c>
      <c r="B33" t="s">
        <v>28</v>
      </c>
      <c r="D33">
        <f>B32*4</f>
        <v>12</v>
      </c>
      <c r="E33" t="s">
        <v>32</v>
      </c>
      <c r="F33" s="25" t="s">
        <v>55</v>
      </c>
      <c r="G33" s="27">
        <v>3.5299999999999998E-2</v>
      </c>
      <c r="H33" s="24">
        <f t="shared" si="19"/>
        <v>8.8249999999999995E-3</v>
      </c>
      <c r="I33" t="s">
        <v>31</v>
      </c>
      <c r="K33" t="s">
        <v>5</v>
      </c>
      <c r="L33">
        <v>3</v>
      </c>
      <c r="M33" t="s">
        <v>27</v>
      </c>
      <c r="P33" s="25" t="s">
        <v>54</v>
      </c>
      <c r="Q33" s="27">
        <v>3.3599999999999998E-2</v>
      </c>
      <c r="R33" s="24">
        <f t="shared" si="20"/>
        <v>8.3999999999999995E-3</v>
      </c>
      <c r="S33" t="s">
        <v>31</v>
      </c>
    </row>
    <row r="34" spans="1:19" x14ac:dyDescent="0.25">
      <c r="A34" t="s">
        <v>40</v>
      </c>
      <c r="B34">
        <v>1</v>
      </c>
      <c r="C34" t="s">
        <v>67</v>
      </c>
      <c r="D34">
        <f>B34*B38</f>
        <v>4</v>
      </c>
      <c r="E34" t="s">
        <v>32</v>
      </c>
      <c r="F34" s="25" t="s">
        <v>56</v>
      </c>
      <c r="G34" s="27">
        <v>3.7100000000000001E-2</v>
      </c>
      <c r="H34" s="24">
        <f>G34/4</f>
        <v>9.2750000000000003E-3</v>
      </c>
      <c r="I34" t="s">
        <v>31</v>
      </c>
      <c r="K34" t="s">
        <v>6</v>
      </c>
      <c r="L34" t="s">
        <v>28</v>
      </c>
      <c r="N34">
        <f>L33*4</f>
        <v>12</v>
      </c>
      <c r="O34" t="s">
        <v>32</v>
      </c>
      <c r="P34" s="25" t="s">
        <v>55</v>
      </c>
      <c r="Q34" s="27">
        <v>3.5299999999999998E-2</v>
      </c>
      <c r="R34" s="24">
        <f t="shared" si="20"/>
        <v>8.8249999999999995E-3</v>
      </c>
      <c r="S34" t="s">
        <v>31</v>
      </c>
    </row>
    <row r="35" spans="1:19" x14ac:dyDescent="0.25">
      <c r="A35" s="25" t="s">
        <v>48</v>
      </c>
      <c r="B35" s="26">
        <v>44602</v>
      </c>
      <c r="F35" s="25" t="s">
        <v>57</v>
      </c>
      <c r="G35" s="27">
        <v>3.8899999999999997E-2</v>
      </c>
      <c r="H35" s="24">
        <f>G35/4</f>
        <v>9.7249999999999993E-3</v>
      </c>
      <c r="I35" t="s">
        <v>31</v>
      </c>
      <c r="K35" s="25" t="s">
        <v>63</v>
      </c>
      <c r="L35" s="26">
        <v>44602</v>
      </c>
      <c r="P35" s="25" t="s">
        <v>56</v>
      </c>
      <c r="Q35" s="27">
        <v>3.7100000000000001E-2</v>
      </c>
      <c r="R35" s="24">
        <f t="shared" si="20"/>
        <v>9.2750000000000003E-3</v>
      </c>
      <c r="S35" t="s">
        <v>31</v>
      </c>
    </row>
    <row r="36" spans="1:19" x14ac:dyDescent="0.25">
      <c r="A36" s="25" t="s">
        <v>49</v>
      </c>
      <c r="B36" s="27">
        <v>6.3E-3</v>
      </c>
      <c r="F36" s="25" t="s">
        <v>58</v>
      </c>
      <c r="G36" s="27">
        <v>4.0899999999999999E-2</v>
      </c>
      <c r="H36" s="24">
        <f>G36/4</f>
        <v>1.0225E-2</v>
      </c>
      <c r="I36" t="s">
        <v>31</v>
      </c>
      <c r="K36" s="25" t="s">
        <v>64</v>
      </c>
      <c r="L36" s="27">
        <v>6.3E-3</v>
      </c>
      <c r="P36" s="25" t="s">
        <v>57</v>
      </c>
      <c r="Q36" s="27">
        <v>3.8899999999999997E-2</v>
      </c>
      <c r="R36" s="24">
        <f t="shared" si="20"/>
        <v>9.7249999999999993E-3</v>
      </c>
      <c r="S36" t="s">
        <v>31</v>
      </c>
    </row>
    <row r="37" spans="1:19" x14ac:dyDescent="0.25">
      <c r="A37" s="25" t="s">
        <v>50</v>
      </c>
      <c r="B37" s="25">
        <v>1.1499999999999999</v>
      </c>
      <c r="K37" s="25" t="s">
        <v>65</v>
      </c>
      <c r="L37" s="25">
        <v>1.1499999999999999</v>
      </c>
      <c r="P37" s="25" t="s">
        <v>58</v>
      </c>
      <c r="Q37" s="27">
        <v>4.0899999999999999E-2</v>
      </c>
      <c r="R37" s="24">
        <f t="shared" si="20"/>
        <v>1.0225E-2</v>
      </c>
      <c r="S37" t="s">
        <v>31</v>
      </c>
    </row>
    <row r="38" spans="1:19" x14ac:dyDescent="0.25">
      <c r="A38" s="25" t="s">
        <v>60</v>
      </c>
      <c r="B38" s="25">
        <v>4</v>
      </c>
      <c r="K38" s="25" t="s">
        <v>66</v>
      </c>
      <c r="L38" s="25">
        <v>4</v>
      </c>
    </row>
    <row r="39" spans="1:19" x14ac:dyDescent="0.25">
      <c r="A39" s="25"/>
      <c r="N39">
        <v>1</v>
      </c>
      <c r="O39">
        <v>4</v>
      </c>
      <c r="P39">
        <v>3</v>
      </c>
      <c r="Q39">
        <v>2</v>
      </c>
    </row>
    <row r="40" spans="1:19" x14ac:dyDescent="0.25">
      <c r="A40" s="7" t="s">
        <v>33</v>
      </c>
      <c r="B40" s="29" t="s">
        <v>46</v>
      </c>
      <c r="C40" s="29" t="s">
        <v>47</v>
      </c>
      <c r="D40" s="7" t="s">
        <v>34</v>
      </c>
      <c r="E40" s="7" t="s">
        <v>37</v>
      </c>
      <c r="F40" s="7" t="s">
        <v>35</v>
      </c>
      <c r="G40" s="7" t="s">
        <v>36</v>
      </c>
      <c r="H40" s="30" t="s">
        <v>61</v>
      </c>
      <c r="I40" s="28" t="s">
        <v>62</v>
      </c>
      <c r="K40" s="7" t="s">
        <v>33</v>
      </c>
      <c r="L40" s="29" t="s">
        <v>46</v>
      </c>
      <c r="M40" s="29" t="s">
        <v>47</v>
      </c>
      <c r="N40" s="7" t="s">
        <v>34</v>
      </c>
      <c r="O40" s="7" t="s">
        <v>37</v>
      </c>
      <c r="P40" s="7" t="s">
        <v>35</v>
      </c>
      <c r="Q40" s="7" t="s">
        <v>36</v>
      </c>
      <c r="R40" s="30" t="s">
        <v>61</v>
      </c>
      <c r="S40" s="30" t="s">
        <v>62</v>
      </c>
    </row>
    <row r="41" spans="1:19" x14ac:dyDescent="0.25">
      <c r="A41" s="37">
        <v>1</v>
      </c>
      <c r="B41" s="38">
        <f>B35+(365/4)</f>
        <v>44693.25</v>
      </c>
      <c r="C41" s="39">
        <f>D31+H33</f>
        <v>2.8825E-2</v>
      </c>
      <c r="D41" s="40">
        <f>B30</f>
        <v>150000</v>
      </c>
      <c r="E41" s="40"/>
      <c r="F41" s="40">
        <f>D41*C41</f>
        <v>4323.75</v>
      </c>
      <c r="G41" s="40">
        <f t="shared" ref="G41:G53" si="21">E41+F41</f>
        <v>4323.75</v>
      </c>
      <c r="H41" s="37">
        <f>D41*B36*((B41-B35)/30)*B37</f>
        <v>3305.5312499999995</v>
      </c>
      <c r="I41" s="41">
        <f>G41+H41</f>
        <v>7629.28125</v>
      </c>
      <c r="J41">
        <v>12</v>
      </c>
      <c r="K41" s="18">
        <v>1</v>
      </c>
      <c r="L41" s="43">
        <f>L35+(365/4)</f>
        <v>44693.25</v>
      </c>
      <c r="M41" s="44">
        <f>N32+R34</f>
        <v>2.8825E-2</v>
      </c>
      <c r="N41" s="19">
        <f>L31</f>
        <v>150000</v>
      </c>
      <c r="O41" s="19"/>
      <c r="P41" s="19">
        <f>N41*M41</f>
        <v>4323.75</v>
      </c>
      <c r="Q41" s="19">
        <f>P41+O41</f>
        <v>4323.75</v>
      </c>
      <c r="R41" s="45">
        <f>N41*L36*((L41-L35)/30)*L37</f>
        <v>3305.5312499999995</v>
      </c>
      <c r="S41" s="19">
        <f>Q41-R41</f>
        <v>1018.2187500000005</v>
      </c>
    </row>
    <row r="42" spans="1:19" x14ac:dyDescent="0.25">
      <c r="A42" s="37">
        <v>2</v>
      </c>
      <c r="B42" s="38">
        <f>B41+(365/$B$10)</f>
        <v>44784.5</v>
      </c>
      <c r="C42" s="39">
        <f>H36+D31</f>
        <v>3.0225000000000002E-2</v>
      </c>
      <c r="D42" s="40">
        <f>D41-E41</f>
        <v>150000</v>
      </c>
      <c r="E42" s="40"/>
      <c r="F42" s="40">
        <f t="shared" ref="F42:F52" si="22">D42*C42</f>
        <v>4533.75</v>
      </c>
      <c r="G42" s="40">
        <f t="shared" si="21"/>
        <v>4533.75</v>
      </c>
      <c r="H42" s="37">
        <f>D42*$B$8*((B42-B41)/30)*$B$9</f>
        <v>3305.5312499999995</v>
      </c>
      <c r="I42" s="41">
        <f t="shared" ref="I42:I53" si="23">G42+H42</f>
        <v>7839.28125</v>
      </c>
      <c r="J42">
        <v>11</v>
      </c>
      <c r="K42" s="18">
        <v>2</v>
      </c>
      <c r="L42" s="43">
        <f>L41+(365/$L$10)</f>
        <v>44784.5</v>
      </c>
      <c r="M42" s="44">
        <f>R37+N32</f>
        <v>3.0225000000000002E-2</v>
      </c>
      <c r="N42" s="19">
        <f>N41-O41</f>
        <v>150000</v>
      </c>
      <c r="O42" s="19"/>
      <c r="P42" s="19">
        <f t="shared" ref="P42:P52" si="24">N42*M42</f>
        <v>4533.75</v>
      </c>
      <c r="Q42" s="19">
        <f t="shared" ref="Q42:Q44" si="25">P42+O42</f>
        <v>4533.75</v>
      </c>
      <c r="R42" s="45">
        <f>N42*$L$36*((L42-L41)/30)*$L$37</f>
        <v>3305.5312499999995</v>
      </c>
      <c r="S42" s="19">
        <f t="shared" ref="S42:S52" si="26">Q42-R42</f>
        <v>1228.2187500000005</v>
      </c>
    </row>
    <row r="43" spans="1:19" x14ac:dyDescent="0.25">
      <c r="A43" s="37">
        <v>3</v>
      </c>
      <c r="B43" s="38">
        <f t="shared" ref="B43:B52" si="27">B42+(365/$B$10)</f>
        <v>44875.75</v>
      </c>
      <c r="C43" s="39">
        <f>C42</f>
        <v>3.0225000000000002E-2</v>
      </c>
      <c r="D43" s="40">
        <f t="shared" ref="D43:D52" si="28">D42-E42</f>
        <v>150000</v>
      </c>
      <c r="E43" s="40"/>
      <c r="F43" s="40">
        <f t="shared" si="22"/>
        <v>4533.75</v>
      </c>
      <c r="G43" s="40">
        <f t="shared" si="21"/>
        <v>4533.75</v>
      </c>
      <c r="H43" s="37">
        <f t="shared" ref="H43:H52" si="29">D43*$B$8*((B43-B42)/30)*$B$9</f>
        <v>3305.5312499999995</v>
      </c>
      <c r="I43" s="41">
        <f t="shared" si="23"/>
        <v>7839.28125</v>
      </c>
      <c r="J43">
        <v>10</v>
      </c>
      <c r="K43" s="18">
        <v>3</v>
      </c>
      <c r="L43" s="43">
        <f t="shared" ref="L43:L52" si="30">L42+(365/$B$10)</f>
        <v>44875.75</v>
      </c>
      <c r="M43" s="44">
        <f>M42</f>
        <v>3.0225000000000002E-2</v>
      </c>
      <c r="N43" s="19">
        <f t="shared" ref="N43:N52" si="31">N42-O42</f>
        <v>150000</v>
      </c>
      <c r="O43" s="19"/>
      <c r="P43" s="19">
        <f t="shared" si="24"/>
        <v>4533.75</v>
      </c>
      <c r="Q43" s="19">
        <f t="shared" si="25"/>
        <v>4533.75</v>
      </c>
      <c r="R43" s="45">
        <f t="shared" ref="R43:R44" si="32">N43*$L$36*((L43-L42)/30)*$L$37</f>
        <v>3305.5312499999995</v>
      </c>
      <c r="S43" s="19">
        <f t="shared" si="26"/>
        <v>1228.2187500000005</v>
      </c>
    </row>
    <row r="44" spans="1:19" x14ac:dyDescent="0.25">
      <c r="A44" s="37">
        <v>4</v>
      </c>
      <c r="B44" s="38">
        <f t="shared" si="27"/>
        <v>44967</v>
      </c>
      <c r="C44" s="39">
        <f t="shared" ref="C44:C52" si="33">C43</f>
        <v>3.0225000000000002E-2</v>
      </c>
      <c r="D44" s="40">
        <f t="shared" si="28"/>
        <v>150000</v>
      </c>
      <c r="E44" s="40"/>
      <c r="F44" s="40">
        <f t="shared" si="22"/>
        <v>4533.75</v>
      </c>
      <c r="G44" s="40">
        <f t="shared" si="21"/>
        <v>4533.75</v>
      </c>
      <c r="H44" s="37">
        <f t="shared" si="29"/>
        <v>3305.5312499999995</v>
      </c>
      <c r="I44" s="41">
        <f t="shared" si="23"/>
        <v>7839.28125</v>
      </c>
      <c r="J44">
        <v>9</v>
      </c>
      <c r="K44" s="18">
        <v>4</v>
      </c>
      <c r="L44" s="43">
        <f t="shared" si="30"/>
        <v>44967</v>
      </c>
      <c r="M44" s="44">
        <f t="shared" ref="M44:M52" si="34">M43</f>
        <v>3.0225000000000002E-2</v>
      </c>
      <c r="N44" s="19">
        <f t="shared" si="31"/>
        <v>150000</v>
      </c>
      <c r="O44" s="19"/>
      <c r="P44" s="19">
        <f t="shared" si="24"/>
        <v>4533.75</v>
      </c>
      <c r="Q44" s="19">
        <f t="shared" si="25"/>
        <v>4533.75</v>
      </c>
      <c r="R44" s="45">
        <f t="shared" si="32"/>
        <v>3305.5312499999995</v>
      </c>
      <c r="S44" s="19">
        <f t="shared" si="26"/>
        <v>1228.2187500000005</v>
      </c>
    </row>
    <row r="45" spans="1:19" x14ac:dyDescent="0.25">
      <c r="A45" s="3">
        <v>5</v>
      </c>
      <c r="B45" s="31">
        <f t="shared" si="27"/>
        <v>45058.25</v>
      </c>
      <c r="C45" s="32">
        <f t="shared" si="33"/>
        <v>3.0225000000000002E-2</v>
      </c>
      <c r="D45" s="8">
        <f t="shared" si="28"/>
        <v>150000</v>
      </c>
      <c r="E45" s="8">
        <f>B30/(D33-D34)</f>
        <v>18750</v>
      </c>
      <c r="F45" s="8">
        <f t="shared" si="22"/>
        <v>4533.75</v>
      </c>
      <c r="G45" s="8">
        <f t="shared" si="21"/>
        <v>23283.75</v>
      </c>
      <c r="H45" s="3">
        <f t="shared" si="29"/>
        <v>3305.5312499999995</v>
      </c>
      <c r="I45" s="9">
        <f t="shared" si="23"/>
        <v>26589.28125</v>
      </c>
      <c r="J45">
        <v>8</v>
      </c>
      <c r="K45" s="3">
        <v>5</v>
      </c>
      <c r="L45" s="31">
        <f t="shared" si="30"/>
        <v>45058.25</v>
      </c>
      <c r="M45" s="32">
        <f t="shared" si="34"/>
        <v>3.0225000000000002E-2</v>
      </c>
      <c r="N45" s="8">
        <f t="shared" si="31"/>
        <v>150000</v>
      </c>
      <c r="O45" s="8">
        <f>Q45-P45</f>
        <v>16854.994774026702</v>
      </c>
      <c r="P45" s="8">
        <f t="shared" si="24"/>
        <v>4533.75</v>
      </c>
      <c r="Q45" s="8">
        <f>-PMT(M45,J45,N45)</f>
        <v>21388.744774026702</v>
      </c>
      <c r="R45" s="36">
        <f t="shared" ref="R45:R52" si="35">N45*$L$8*((L45-L44)/30)*$L$9</f>
        <v>3305.5312499999995</v>
      </c>
      <c r="S45" s="8">
        <f>Q45+R45</f>
        <v>24694.276024026702</v>
      </c>
    </row>
    <row r="46" spans="1:19" x14ac:dyDescent="0.25">
      <c r="A46" s="3">
        <v>6</v>
      </c>
      <c r="B46" s="31">
        <f t="shared" si="27"/>
        <v>45149.5</v>
      </c>
      <c r="C46" s="32">
        <f t="shared" si="33"/>
        <v>3.0225000000000002E-2</v>
      </c>
      <c r="D46" s="8">
        <f t="shared" si="28"/>
        <v>131250</v>
      </c>
      <c r="E46" s="8">
        <f t="shared" ref="E46:E52" si="36">E45</f>
        <v>18750</v>
      </c>
      <c r="F46" s="8">
        <f t="shared" si="22"/>
        <v>3967.0312500000005</v>
      </c>
      <c r="G46" s="8">
        <f t="shared" si="21"/>
        <v>22717.03125</v>
      </c>
      <c r="H46" s="3">
        <f t="shared" si="29"/>
        <v>2892.33984375</v>
      </c>
      <c r="I46" s="9">
        <f t="shared" si="23"/>
        <v>25609.37109375</v>
      </c>
      <c r="J46">
        <v>7</v>
      </c>
      <c r="K46" s="3">
        <v>6</v>
      </c>
      <c r="L46" s="31">
        <f t="shared" si="30"/>
        <v>45149.5</v>
      </c>
      <c r="M46" s="32">
        <f t="shared" si="34"/>
        <v>3.0225000000000002E-2</v>
      </c>
      <c r="N46" s="8">
        <f>N45-O45</f>
        <v>133145.00522597329</v>
      </c>
      <c r="O46" s="8">
        <f t="shared" ref="O46:O52" si="37">Q46-P46</f>
        <v>17364.436991071656</v>
      </c>
      <c r="P46" s="8">
        <f t="shared" si="24"/>
        <v>4024.307782955043</v>
      </c>
      <c r="Q46" s="8">
        <f>-PMT(M46,J46,N46)</f>
        <v>21388.744774026698</v>
      </c>
      <c r="R46" s="36">
        <f t="shared" si="35"/>
        <v>2934.0998370391203</v>
      </c>
      <c r="S46" s="8">
        <f t="shared" si="26"/>
        <v>18454.644936987577</v>
      </c>
    </row>
    <row r="47" spans="1:19" x14ac:dyDescent="0.25">
      <c r="A47" s="3">
        <v>7</v>
      </c>
      <c r="B47" s="31">
        <f t="shared" si="27"/>
        <v>45240.75</v>
      </c>
      <c r="C47" s="32">
        <f t="shared" si="33"/>
        <v>3.0225000000000002E-2</v>
      </c>
      <c r="D47" s="8">
        <f t="shared" si="28"/>
        <v>112500</v>
      </c>
      <c r="E47" s="8">
        <f t="shared" si="36"/>
        <v>18750</v>
      </c>
      <c r="F47" s="8">
        <f t="shared" si="22"/>
        <v>3400.3125</v>
      </c>
      <c r="G47" s="8">
        <f t="shared" si="21"/>
        <v>22150.3125</v>
      </c>
      <c r="H47" s="3">
        <f t="shared" si="29"/>
        <v>2479.1484375</v>
      </c>
      <c r="I47" s="9">
        <f t="shared" si="23"/>
        <v>24629.4609375</v>
      </c>
      <c r="J47">
        <v>6</v>
      </c>
      <c r="K47" s="3">
        <v>7</v>
      </c>
      <c r="L47" s="31">
        <f t="shared" si="30"/>
        <v>45240.75</v>
      </c>
      <c r="M47" s="32">
        <f t="shared" si="34"/>
        <v>3.0225000000000002E-2</v>
      </c>
      <c r="N47" s="8">
        <f t="shared" si="31"/>
        <v>115780.56823490164</v>
      </c>
      <c r="O47" s="8">
        <f t="shared" si="37"/>
        <v>17889.277099126801</v>
      </c>
      <c r="P47" s="8">
        <f t="shared" si="24"/>
        <v>3499.4676748999022</v>
      </c>
      <c r="Q47" s="8">
        <f t="shared" ref="Q47:Q52" si="38">-PMT(M47,J47,N47)</f>
        <v>21388.744774026702</v>
      </c>
      <c r="R47" s="36">
        <f t="shared" si="35"/>
        <v>2551.4419096214974</v>
      </c>
      <c r="S47" s="8">
        <f t="shared" si="26"/>
        <v>18837.302864405203</v>
      </c>
    </row>
    <row r="48" spans="1:19" x14ac:dyDescent="0.25">
      <c r="A48" s="3">
        <v>8</v>
      </c>
      <c r="B48" s="31">
        <f t="shared" si="27"/>
        <v>45332</v>
      </c>
      <c r="C48" s="32">
        <f t="shared" si="33"/>
        <v>3.0225000000000002E-2</v>
      </c>
      <c r="D48" s="8">
        <f t="shared" si="28"/>
        <v>93750</v>
      </c>
      <c r="E48" s="8">
        <f t="shared" si="36"/>
        <v>18750</v>
      </c>
      <c r="F48" s="8">
        <f t="shared" si="22"/>
        <v>2833.59375</v>
      </c>
      <c r="G48" s="8">
        <f t="shared" si="21"/>
        <v>21583.59375</v>
      </c>
      <c r="H48" s="3">
        <f t="shared" si="29"/>
        <v>2065.95703125</v>
      </c>
      <c r="I48" s="9">
        <f t="shared" si="23"/>
        <v>23649.55078125</v>
      </c>
      <c r="J48">
        <v>5</v>
      </c>
      <c r="K48" s="3">
        <v>8</v>
      </c>
      <c r="L48" s="31">
        <f t="shared" si="30"/>
        <v>45332</v>
      </c>
      <c r="M48" s="32">
        <f t="shared" si="34"/>
        <v>3.0225000000000002E-2</v>
      </c>
      <c r="N48" s="8">
        <f t="shared" si="31"/>
        <v>97891.291135774838</v>
      </c>
      <c r="O48" s="8">
        <f t="shared" si="37"/>
        <v>18429.980499447909</v>
      </c>
      <c r="P48" s="8">
        <f t="shared" si="24"/>
        <v>2958.7642745787948</v>
      </c>
      <c r="Q48" s="8">
        <f t="shared" si="38"/>
        <v>21388.744774026705</v>
      </c>
      <c r="R48" s="36">
        <f t="shared" si="35"/>
        <v>2157.2181463476782</v>
      </c>
      <c r="S48" s="8">
        <f t="shared" si="26"/>
        <v>19231.526627679028</v>
      </c>
    </row>
    <row r="49" spans="1:19" x14ac:dyDescent="0.25">
      <c r="A49" s="3">
        <v>9</v>
      </c>
      <c r="B49" s="31">
        <f t="shared" si="27"/>
        <v>45423.25</v>
      </c>
      <c r="C49" s="32">
        <f t="shared" si="33"/>
        <v>3.0225000000000002E-2</v>
      </c>
      <c r="D49" s="8">
        <f t="shared" si="28"/>
        <v>75000</v>
      </c>
      <c r="E49" s="8">
        <f t="shared" si="36"/>
        <v>18750</v>
      </c>
      <c r="F49" s="8">
        <f t="shared" si="22"/>
        <v>2266.875</v>
      </c>
      <c r="G49" s="8">
        <f t="shared" si="21"/>
        <v>21016.875</v>
      </c>
      <c r="H49" s="3">
        <f t="shared" si="29"/>
        <v>1652.7656249999998</v>
      </c>
      <c r="I49" s="9">
        <f t="shared" si="23"/>
        <v>22669.640625</v>
      </c>
      <c r="J49">
        <v>4</v>
      </c>
      <c r="K49" s="3">
        <v>9</v>
      </c>
      <c r="L49" s="31">
        <f t="shared" si="30"/>
        <v>45423.25</v>
      </c>
      <c r="M49" s="32">
        <f t="shared" si="34"/>
        <v>3.0225000000000002E-2</v>
      </c>
      <c r="N49" s="8">
        <f t="shared" si="31"/>
        <v>79461.310636326933</v>
      </c>
      <c r="O49" s="8">
        <f t="shared" si="37"/>
        <v>18987.026660043721</v>
      </c>
      <c r="P49" s="8">
        <f t="shared" si="24"/>
        <v>2401.7181139829818</v>
      </c>
      <c r="Q49" s="8">
        <f t="shared" si="38"/>
        <v>21388.744774026702</v>
      </c>
      <c r="R49" s="36">
        <f t="shared" si="35"/>
        <v>1751.0789698289068</v>
      </c>
      <c r="S49" s="8">
        <f t="shared" si="26"/>
        <v>19637.665804197793</v>
      </c>
    </row>
    <row r="50" spans="1:19" x14ac:dyDescent="0.25">
      <c r="A50" s="3">
        <v>10</v>
      </c>
      <c r="B50" s="31">
        <f t="shared" si="27"/>
        <v>45514.5</v>
      </c>
      <c r="C50" s="32">
        <f t="shared" si="33"/>
        <v>3.0225000000000002E-2</v>
      </c>
      <c r="D50" s="8">
        <f t="shared" si="28"/>
        <v>56250</v>
      </c>
      <c r="E50" s="8">
        <f t="shared" si="36"/>
        <v>18750</v>
      </c>
      <c r="F50" s="8">
        <f t="shared" si="22"/>
        <v>1700.15625</v>
      </c>
      <c r="G50" s="8">
        <f t="shared" si="21"/>
        <v>20450.15625</v>
      </c>
      <c r="H50" s="3">
        <f t="shared" si="29"/>
        <v>1239.57421875</v>
      </c>
      <c r="I50" s="9">
        <f t="shared" si="23"/>
        <v>21689.73046875</v>
      </c>
      <c r="J50">
        <v>3</v>
      </c>
      <c r="K50" s="3">
        <v>10</v>
      </c>
      <c r="L50" s="31">
        <f t="shared" si="30"/>
        <v>45514.5</v>
      </c>
      <c r="M50" s="32">
        <f t="shared" si="34"/>
        <v>3.0225000000000002E-2</v>
      </c>
      <c r="N50" s="8">
        <f t="shared" si="31"/>
        <v>60474.283976283215</v>
      </c>
      <c r="O50" s="8">
        <f t="shared" si="37"/>
        <v>19560.909540843542</v>
      </c>
      <c r="P50" s="8">
        <f t="shared" si="24"/>
        <v>1827.8352331831602</v>
      </c>
      <c r="Q50" s="8">
        <f t="shared" si="38"/>
        <v>21388.744774026702</v>
      </c>
      <c r="R50" s="36">
        <f t="shared" si="35"/>
        <v>1332.664236699856</v>
      </c>
      <c r="S50" s="8">
        <f t="shared" si="26"/>
        <v>20056.080537326845</v>
      </c>
    </row>
    <row r="51" spans="1:19" x14ac:dyDescent="0.25">
      <c r="A51" s="3">
        <v>11</v>
      </c>
      <c r="B51" s="31">
        <f t="shared" si="27"/>
        <v>45605.75</v>
      </c>
      <c r="C51" s="32">
        <f t="shared" si="33"/>
        <v>3.0225000000000002E-2</v>
      </c>
      <c r="D51" s="8">
        <f t="shared" si="28"/>
        <v>37500</v>
      </c>
      <c r="E51" s="8">
        <f t="shared" si="36"/>
        <v>18750</v>
      </c>
      <c r="F51" s="8">
        <f t="shared" si="22"/>
        <v>1133.4375</v>
      </c>
      <c r="G51" s="8">
        <f t="shared" si="21"/>
        <v>19883.4375</v>
      </c>
      <c r="H51" s="3">
        <f t="shared" si="29"/>
        <v>826.38281249999989</v>
      </c>
      <c r="I51" s="9">
        <f t="shared" si="23"/>
        <v>20709.8203125</v>
      </c>
      <c r="J51">
        <v>2</v>
      </c>
      <c r="K51" s="3">
        <v>11</v>
      </c>
      <c r="L51" s="31">
        <f t="shared" si="30"/>
        <v>45605.75</v>
      </c>
      <c r="M51" s="32">
        <f t="shared" si="34"/>
        <v>3.0225000000000002E-2</v>
      </c>
      <c r="N51" s="8">
        <f t="shared" si="31"/>
        <v>40913.374435439677</v>
      </c>
      <c r="O51" s="8">
        <f t="shared" si="37"/>
        <v>20152.138031715542</v>
      </c>
      <c r="P51" s="8">
        <f t="shared" si="24"/>
        <v>1236.6067423111642</v>
      </c>
      <c r="Q51" s="8">
        <f t="shared" si="38"/>
        <v>21388.744774026705</v>
      </c>
      <c r="R51" s="36">
        <f t="shared" si="35"/>
        <v>901.60291826197965</v>
      </c>
      <c r="S51" s="8">
        <f t="shared" si="26"/>
        <v>20487.141855764727</v>
      </c>
    </row>
    <row r="52" spans="1:19" x14ac:dyDescent="0.25">
      <c r="A52" s="3">
        <v>12</v>
      </c>
      <c r="B52" s="31">
        <f t="shared" si="27"/>
        <v>45697</v>
      </c>
      <c r="C52" s="32">
        <f t="shared" si="33"/>
        <v>3.0225000000000002E-2</v>
      </c>
      <c r="D52" s="11">
        <f t="shared" si="28"/>
        <v>18750</v>
      </c>
      <c r="E52" s="12">
        <f t="shared" si="36"/>
        <v>18750</v>
      </c>
      <c r="F52" s="8">
        <f t="shared" si="22"/>
        <v>566.71875</v>
      </c>
      <c r="G52" s="13">
        <f t="shared" si="21"/>
        <v>19316.71875</v>
      </c>
      <c r="H52" s="3">
        <f t="shared" si="29"/>
        <v>413.19140624999994</v>
      </c>
      <c r="I52" s="9">
        <f t="shared" si="23"/>
        <v>19729.91015625</v>
      </c>
      <c r="J52">
        <v>1</v>
      </c>
      <c r="K52" s="3">
        <v>12</v>
      </c>
      <c r="L52" s="31">
        <f t="shared" si="30"/>
        <v>45697</v>
      </c>
      <c r="M52" s="32">
        <f t="shared" si="34"/>
        <v>3.0225000000000002E-2</v>
      </c>
      <c r="N52" s="11">
        <f t="shared" si="31"/>
        <v>20761.236403724135</v>
      </c>
      <c r="O52" s="11">
        <f t="shared" si="37"/>
        <v>20761.236403724131</v>
      </c>
      <c r="P52" s="8">
        <f t="shared" si="24"/>
        <v>627.50837030256207</v>
      </c>
      <c r="Q52" s="8">
        <f t="shared" si="38"/>
        <v>21388.744774026694</v>
      </c>
      <c r="R52" s="36">
        <f t="shared" si="35"/>
        <v>457.51277147431824</v>
      </c>
      <c r="S52" s="8">
        <f t="shared" si="26"/>
        <v>20931.232002552377</v>
      </c>
    </row>
    <row r="53" spans="1:19" x14ac:dyDescent="0.25">
      <c r="A53" s="3" t="s">
        <v>19</v>
      </c>
      <c r="B53" s="3"/>
      <c r="C53" s="3"/>
      <c r="D53" s="23"/>
      <c r="E53" s="33">
        <f>SUM(E41:E52)</f>
        <v>150000</v>
      </c>
      <c r="F53" s="34">
        <f>SUM(F41:F52)</f>
        <v>38326.875</v>
      </c>
      <c r="G53" s="14">
        <f t="shared" si="21"/>
        <v>188326.875</v>
      </c>
      <c r="H53" s="35">
        <f>SUM(H41:H52)</f>
        <v>28097.015624999996</v>
      </c>
      <c r="I53" s="8">
        <f t="shared" si="23"/>
        <v>216423.890625</v>
      </c>
      <c r="K53" s="3" t="s">
        <v>19</v>
      </c>
      <c r="L53" s="3"/>
      <c r="M53" s="3"/>
      <c r="N53" s="23"/>
      <c r="O53" s="33">
        <f>SUM(O41:O52)</f>
        <v>150000</v>
      </c>
      <c r="P53" s="34">
        <f>SUM(P41:P52)</f>
        <v>39034.958192213613</v>
      </c>
      <c r="Q53" s="46">
        <f>O53+P53</f>
        <v>189034.95819221361</v>
      </c>
      <c r="R53" s="47">
        <f>SUM(R41:R52)</f>
        <v>28613.275039273354</v>
      </c>
      <c r="S53" s="48">
        <f>Q53+R53</f>
        <v>217648.23323148696</v>
      </c>
    </row>
    <row r="54" spans="1:19" x14ac:dyDescent="0.25">
      <c r="P54" s="46">
        <f>O53+P53</f>
        <v>189034.95819221361</v>
      </c>
    </row>
  </sheetData>
  <mergeCells count="12">
    <mergeCell ref="N2:O2"/>
    <mergeCell ref="P2:Q2"/>
    <mergeCell ref="R2:S2"/>
    <mergeCell ref="A29:C29"/>
    <mergeCell ref="D29:E29"/>
    <mergeCell ref="F29:G29"/>
    <mergeCell ref="H29:I29"/>
    <mergeCell ref="A2:C2"/>
    <mergeCell ref="D2:E2"/>
    <mergeCell ref="F2:G2"/>
    <mergeCell ref="H2:I2"/>
    <mergeCell ref="K2:M2"/>
  </mergeCells>
  <pageMargins left="0.7" right="0.7" top="0.75" bottom="0.75" header="0.3" footer="0.3"/>
  <pageSetup orientation="portrait" horizontalDpi="4294967293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1B4E64-386D-4E6A-B243-DF60B3A29CAC}">
  <dimension ref="A3:S60"/>
  <sheetViews>
    <sheetView workbookViewId="0">
      <selection activeCell="C16" sqref="C16"/>
    </sheetView>
  </sheetViews>
  <sheetFormatPr baseColWidth="10" defaultRowHeight="15" x14ac:dyDescent="0.25"/>
  <cols>
    <col min="1" max="1" width="9.85546875" customWidth="1"/>
    <col min="15" max="15" width="12.28515625" bestFit="1" customWidth="1"/>
    <col min="17" max="17" width="12.28515625" bestFit="1" customWidth="1"/>
  </cols>
  <sheetData>
    <row r="3" spans="1:19" x14ac:dyDescent="0.25">
      <c r="A3" t="s">
        <v>124</v>
      </c>
      <c r="G3" s="51" t="s">
        <v>126</v>
      </c>
      <c r="H3" s="51"/>
    </row>
    <row r="4" spans="1:19" x14ac:dyDescent="0.25">
      <c r="G4" s="54" t="s">
        <v>125</v>
      </c>
    </row>
    <row r="6" spans="1:19" ht="18.75" x14ac:dyDescent="0.3">
      <c r="A6" s="50" t="s">
        <v>25</v>
      </c>
      <c r="K6" s="50" t="s">
        <v>122</v>
      </c>
    </row>
    <row r="7" spans="1:19" x14ac:dyDescent="0.25">
      <c r="A7" s="84" t="s">
        <v>26</v>
      </c>
      <c r="B7" s="84"/>
      <c r="C7" s="84"/>
      <c r="D7" s="51" t="s">
        <v>106</v>
      </c>
      <c r="E7" s="51"/>
      <c r="F7" s="56" t="s">
        <v>108</v>
      </c>
      <c r="G7" s="56" t="s">
        <v>119</v>
      </c>
      <c r="H7" s="51" t="s">
        <v>106</v>
      </c>
      <c r="I7" s="52"/>
      <c r="K7" s="84" t="s">
        <v>26</v>
      </c>
      <c r="L7" s="84"/>
      <c r="M7" s="84"/>
      <c r="N7" s="51" t="s">
        <v>106</v>
      </c>
      <c r="O7" s="51"/>
      <c r="P7" s="56" t="s">
        <v>108</v>
      </c>
      <c r="Q7" s="56" t="s">
        <v>119</v>
      </c>
      <c r="R7" s="51" t="s">
        <v>106</v>
      </c>
      <c r="S7" s="52"/>
    </row>
    <row r="8" spans="1:19" x14ac:dyDescent="0.25">
      <c r="A8" t="s">
        <v>99</v>
      </c>
      <c r="B8">
        <v>250000</v>
      </c>
      <c r="F8" s="3" t="s">
        <v>52</v>
      </c>
      <c r="G8" s="55">
        <v>0.03</v>
      </c>
      <c r="H8" s="24">
        <f t="shared" ref="H8:H14" si="0">G8/$B$16</f>
        <v>0.01</v>
      </c>
      <c r="I8" t="s">
        <v>102</v>
      </c>
      <c r="K8" t="s">
        <v>99</v>
      </c>
      <c r="L8">
        <v>250000</v>
      </c>
      <c r="P8" s="3" t="s">
        <v>52</v>
      </c>
      <c r="Q8" s="55">
        <v>0.03</v>
      </c>
      <c r="R8" s="24">
        <f t="shared" ref="R8:R14" si="1">Q8/$B$16</f>
        <v>0.01</v>
      </c>
      <c r="S8" t="s">
        <v>102</v>
      </c>
    </row>
    <row r="9" spans="1:19" x14ac:dyDescent="0.25">
      <c r="A9" t="s">
        <v>78</v>
      </c>
      <c r="B9" s="5">
        <v>0.04</v>
      </c>
      <c r="C9" t="s">
        <v>31</v>
      </c>
      <c r="D9" s="6">
        <f>B9*4/3</f>
        <v>5.3333333333333337E-2</v>
      </c>
      <c r="E9" t="s">
        <v>102</v>
      </c>
      <c r="F9" s="3" t="s">
        <v>53</v>
      </c>
      <c r="G9" s="32">
        <v>3.27E-2</v>
      </c>
      <c r="H9" s="24">
        <f t="shared" si="0"/>
        <v>1.09E-2</v>
      </c>
      <c r="I9" t="s">
        <v>102</v>
      </c>
      <c r="K9" t="s">
        <v>78</v>
      </c>
      <c r="L9" s="5">
        <v>0.04</v>
      </c>
      <c r="M9" t="s">
        <v>31</v>
      </c>
      <c r="N9" s="6">
        <f>L9*4/3</f>
        <v>5.3333333333333337E-2</v>
      </c>
      <c r="O9" t="s">
        <v>102</v>
      </c>
      <c r="P9" s="3" t="s">
        <v>53</v>
      </c>
      <c r="Q9" s="32">
        <v>3.27E-2</v>
      </c>
      <c r="R9" s="24">
        <f t="shared" si="1"/>
        <v>1.09E-2</v>
      </c>
      <c r="S9" t="s">
        <v>102</v>
      </c>
    </row>
    <row r="10" spans="1:19" x14ac:dyDescent="0.25">
      <c r="A10" t="s">
        <v>79</v>
      </c>
      <c r="B10" t="s">
        <v>102</v>
      </c>
      <c r="F10" s="3" t="s">
        <v>54</v>
      </c>
      <c r="G10" s="32">
        <v>3.6700000000000003E-2</v>
      </c>
      <c r="H10" s="24">
        <f t="shared" si="0"/>
        <v>1.2233333333333334E-2</v>
      </c>
      <c r="I10" t="s">
        <v>102</v>
      </c>
      <c r="K10" t="s">
        <v>79</v>
      </c>
      <c r="L10" t="s">
        <v>102</v>
      </c>
      <c r="P10" s="3" t="s">
        <v>54</v>
      </c>
      <c r="Q10" s="32">
        <v>3.6700000000000003E-2</v>
      </c>
      <c r="R10" s="24">
        <f t="shared" si="1"/>
        <v>1.2233333333333334E-2</v>
      </c>
      <c r="S10" t="s">
        <v>102</v>
      </c>
    </row>
    <row r="11" spans="1:19" ht="18" x14ac:dyDescent="0.35">
      <c r="A11" t="s">
        <v>120</v>
      </c>
      <c r="B11">
        <v>8</v>
      </c>
      <c r="C11" t="s">
        <v>121</v>
      </c>
      <c r="D11">
        <v>2</v>
      </c>
      <c r="E11" t="s">
        <v>107</v>
      </c>
      <c r="F11" s="3" t="s">
        <v>55</v>
      </c>
      <c r="G11" s="32">
        <v>4.07E-2</v>
      </c>
      <c r="H11" s="24">
        <f t="shared" si="0"/>
        <v>1.3566666666666666E-2</v>
      </c>
      <c r="I11" t="s">
        <v>102</v>
      </c>
      <c r="K11" t="s">
        <v>120</v>
      </c>
      <c r="L11">
        <v>8</v>
      </c>
      <c r="M11" t="s">
        <v>121</v>
      </c>
      <c r="N11">
        <v>2</v>
      </c>
      <c r="O11" t="s">
        <v>107</v>
      </c>
      <c r="P11" s="3" t="s">
        <v>55</v>
      </c>
      <c r="Q11" s="32">
        <v>4.07E-2</v>
      </c>
      <c r="R11" s="24">
        <f t="shared" si="1"/>
        <v>1.3566666666666666E-2</v>
      </c>
      <c r="S11" t="s">
        <v>102</v>
      </c>
    </row>
    <row r="12" spans="1:19" x14ac:dyDescent="0.25">
      <c r="A12" t="s">
        <v>80</v>
      </c>
      <c r="B12" t="s">
        <v>103</v>
      </c>
      <c r="D12">
        <v>11</v>
      </c>
      <c r="E12" t="s">
        <v>107</v>
      </c>
      <c r="F12" s="3" t="s">
        <v>58</v>
      </c>
      <c r="G12" s="32">
        <v>4.4699999999999997E-2</v>
      </c>
      <c r="H12" s="24">
        <f t="shared" si="0"/>
        <v>1.4899999999999998E-2</v>
      </c>
      <c r="I12" t="s">
        <v>102</v>
      </c>
      <c r="K12" t="s">
        <v>80</v>
      </c>
      <c r="L12" t="s">
        <v>103</v>
      </c>
      <c r="N12">
        <v>11</v>
      </c>
      <c r="O12" t="s">
        <v>107</v>
      </c>
      <c r="P12" s="3" t="s">
        <v>58</v>
      </c>
      <c r="Q12" s="32">
        <v>4.4699999999999997E-2</v>
      </c>
      <c r="R12" s="24">
        <f t="shared" si="1"/>
        <v>1.4899999999999998E-2</v>
      </c>
      <c r="S12" t="s">
        <v>102</v>
      </c>
    </row>
    <row r="13" spans="1:19" x14ac:dyDescent="0.25">
      <c r="A13" s="25" t="s">
        <v>104</v>
      </c>
      <c r="B13" s="26">
        <v>45092</v>
      </c>
      <c r="F13" s="3" t="s">
        <v>109</v>
      </c>
      <c r="G13" s="32">
        <v>4.87E-2</v>
      </c>
      <c r="H13" s="24">
        <f t="shared" si="0"/>
        <v>1.6233333333333332E-2</v>
      </c>
      <c r="I13" t="s">
        <v>102</v>
      </c>
      <c r="K13" s="25" t="s">
        <v>104</v>
      </c>
      <c r="L13" s="26">
        <v>45092</v>
      </c>
      <c r="P13" s="3" t="s">
        <v>109</v>
      </c>
      <c r="Q13" s="32">
        <v>4.87E-2</v>
      </c>
      <c r="R13" s="24">
        <f t="shared" si="1"/>
        <v>1.6233333333333332E-2</v>
      </c>
      <c r="S13" t="s">
        <v>102</v>
      </c>
    </row>
    <row r="14" spans="1:19" ht="18" x14ac:dyDescent="0.35">
      <c r="A14" s="25" t="s">
        <v>100</v>
      </c>
      <c r="B14" s="27">
        <v>4.0000000000000001E-3</v>
      </c>
      <c r="F14" s="3" t="s">
        <v>110</v>
      </c>
      <c r="G14" s="32">
        <v>5.2699999999999997E-2</v>
      </c>
      <c r="H14" s="24">
        <f t="shared" si="0"/>
        <v>1.7566666666666664E-2</v>
      </c>
      <c r="I14" t="s">
        <v>102</v>
      </c>
      <c r="K14" s="25" t="s">
        <v>100</v>
      </c>
      <c r="L14" s="27">
        <v>4.0000000000000001E-3</v>
      </c>
      <c r="P14" s="3" t="s">
        <v>110</v>
      </c>
      <c r="Q14" s="32">
        <v>5.2699999999999997E-2</v>
      </c>
      <c r="R14" s="24">
        <f t="shared" si="1"/>
        <v>1.7566666666666664E-2</v>
      </c>
      <c r="S14" t="s">
        <v>102</v>
      </c>
    </row>
    <row r="15" spans="1:19" x14ac:dyDescent="0.25">
      <c r="A15" s="25" t="s">
        <v>65</v>
      </c>
      <c r="B15" s="25">
        <v>0.05</v>
      </c>
      <c r="K15" s="25" t="s">
        <v>65</v>
      </c>
      <c r="L15" s="25">
        <v>0.05</v>
      </c>
    </row>
    <row r="16" spans="1:19" ht="18" x14ac:dyDescent="0.35">
      <c r="A16" s="25" t="s">
        <v>101</v>
      </c>
      <c r="B16" s="25">
        <v>3</v>
      </c>
      <c r="C16" s="25" t="s">
        <v>105</v>
      </c>
      <c r="K16" s="25" t="s">
        <v>101</v>
      </c>
      <c r="L16" s="25">
        <v>3</v>
      </c>
      <c r="M16" s="25" t="s">
        <v>105</v>
      </c>
    </row>
    <row r="17" spans="1:19" x14ac:dyDescent="0.25">
      <c r="N17" t="s">
        <v>123</v>
      </c>
    </row>
    <row r="18" spans="1:19" x14ac:dyDescent="0.25">
      <c r="A18" s="53" t="s">
        <v>111</v>
      </c>
      <c r="B18" s="54" t="s">
        <v>112</v>
      </c>
      <c r="C18" s="54" t="s">
        <v>113</v>
      </c>
      <c r="D18" s="53" t="s">
        <v>15</v>
      </c>
      <c r="E18" s="53" t="s">
        <v>114</v>
      </c>
      <c r="F18" s="53" t="s">
        <v>115</v>
      </c>
      <c r="G18" s="53" t="s">
        <v>116</v>
      </c>
      <c r="H18" s="54" t="s">
        <v>117</v>
      </c>
      <c r="I18" s="54" t="s">
        <v>118</v>
      </c>
      <c r="K18" s="53" t="s">
        <v>111</v>
      </c>
      <c r="L18" s="54" t="s">
        <v>112</v>
      </c>
      <c r="M18" s="54" t="s">
        <v>113</v>
      </c>
      <c r="N18" s="53" t="s">
        <v>15</v>
      </c>
      <c r="O18" s="53" t="s">
        <v>114</v>
      </c>
      <c r="P18" s="53" t="s">
        <v>115</v>
      </c>
      <c r="Q18" s="53" t="s">
        <v>116</v>
      </c>
      <c r="R18" s="54" t="s">
        <v>117</v>
      </c>
      <c r="S18" s="54" t="s">
        <v>118</v>
      </c>
    </row>
    <row r="19" spans="1:19" x14ac:dyDescent="0.25">
      <c r="A19" s="3">
        <v>1</v>
      </c>
      <c r="B19" s="31">
        <f>B13+365/B16</f>
        <v>45213.666666666664</v>
      </c>
      <c r="C19" s="32">
        <f>D9+H11</f>
        <v>6.6900000000000001E-2</v>
      </c>
      <c r="D19" s="58">
        <f>B8</f>
        <v>250000</v>
      </c>
      <c r="E19" s="57"/>
      <c r="F19" s="57">
        <f>D19*C19</f>
        <v>16725</v>
      </c>
      <c r="G19" s="57">
        <f>E19+F19</f>
        <v>16725</v>
      </c>
      <c r="H19" s="3">
        <f>D19*B14*((B19-B13)/30)*B15</f>
        <v>202.77777777777374</v>
      </c>
      <c r="I19" s="3">
        <f>G19+H19</f>
        <v>16927.777777777774</v>
      </c>
      <c r="J19">
        <v>11</v>
      </c>
      <c r="K19" s="3">
        <v>1</v>
      </c>
      <c r="L19" s="31">
        <f>L13+365/L16</f>
        <v>45213.666666666664</v>
      </c>
      <c r="M19" s="32">
        <f>N9+R11</f>
        <v>6.6900000000000001E-2</v>
      </c>
      <c r="N19" s="58">
        <f>L8</f>
        <v>250000</v>
      </c>
      <c r="O19" s="57"/>
      <c r="P19" s="57">
        <f>N19*M19</f>
        <v>16725</v>
      </c>
      <c r="Q19" s="57">
        <f>O19+P19</f>
        <v>16725</v>
      </c>
      <c r="R19" s="3">
        <f>N19*L14*((L19-L13)/30)*L15</f>
        <v>202.77777777777374</v>
      </c>
      <c r="S19" s="3">
        <f>Q19+R19</f>
        <v>16927.777777777774</v>
      </c>
    </row>
    <row r="20" spans="1:19" x14ac:dyDescent="0.25">
      <c r="A20" s="3">
        <v>2</v>
      </c>
      <c r="B20" s="31">
        <f>B19+365/$B$16</f>
        <v>45335.333333333328</v>
      </c>
      <c r="C20" s="32">
        <f>D9+H12</f>
        <v>6.823333333333334E-2</v>
      </c>
      <c r="D20" s="57">
        <f>D19-E19</f>
        <v>250000</v>
      </c>
      <c r="E20" s="57"/>
      <c r="F20" s="57">
        <f>D20*C20</f>
        <v>17058.333333333336</v>
      </c>
      <c r="G20" s="57">
        <f>E20+F20</f>
        <v>17058.333333333336</v>
      </c>
      <c r="H20" s="3">
        <f>D20*$B$14*((B20-B19)/30)*$B$15</f>
        <v>202.77777777777374</v>
      </c>
      <c r="I20" s="3">
        <f t="shared" ref="I20:I30" si="2">G20+H20</f>
        <v>17261.111111111109</v>
      </c>
      <c r="J20">
        <v>10</v>
      </c>
      <c r="K20" s="3">
        <v>2</v>
      </c>
      <c r="L20" s="31">
        <f>L19+365/$B$16</f>
        <v>45335.333333333328</v>
      </c>
      <c r="M20" s="32">
        <f>N9+R12</f>
        <v>6.823333333333334E-2</v>
      </c>
      <c r="N20" s="57">
        <f>N19-O19</f>
        <v>250000</v>
      </c>
      <c r="O20" s="57"/>
      <c r="P20" s="57">
        <f>N20*M20</f>
        <v>17058.333333333336</v>
      </c>
      <c r="Q20" s="57">
        <f>O20+P20</f>
        <v>17058.333333333336</v>
      </c>
      <c r="R20" s="3">
        <f>N20*$B$14*((L20-L19)/30)*$B$15</f>
        <v>202.77777777777374</v>
      </c>
      <c r="S20" s="3">
        <f t="shared" ref="S20:S30" si="3">Q20+R20</f>
        <v>17261.111111111109</v>
      </c>
    </row>
    <row r="21" spans="1:19" x14ac:dyDescent="0.25">
      <c r="A21" s="3">
        <v>3</v>
      </c>
      <c r="B21" s="31">
        <f t="shared" ref="B21:B29" si="4">B20+365/$B$16</f>
        <v>45456.999999999993</v>
      </c>
      <c r="C21" s="32">
        <f>D9+H14</f>
        <v>7.0900000000000005E-2</v>
      </c>
      <c r="D21" s="3">
        <f>D20-E20</f>
        <v>250000</v>
      </c>
      <c r="E21" s="3">
        <f>B8/(D12-D11)</f>
        <v>27777.777777777777</v>
      </c>
      <c r="F21" s="3">
        <f>D21*C21</f>
        <v>17725</v>
      </c>
      <c r="G21" s="3">
        <f>E21+F21</f>
        <v>45502.777777777781</v>
      </c>
      <c r="H21" s="3">
        <f t="shared" ref="H21:H29" si="5">D21*$B$14*((B21-B20)/30)*$B$15</f>
        <v>202.77777777777374</v>
      </c>
      <c r="I21" s="3">
        <f t="shared" si="2"/>
        <v>45705.555555555555</v>
      </c>
      <c r="J21">
        <v>9</v>
      </c>
      <c r="K21" s="3">
        <v>3</v>
      </c>
      <c r="L21" s="31">
        <f t="shared" ref="L21:L29" si="6">L20+365/$B$16</f>
        <v>45456.999999999993</v>
      </c>
      <c r="M21" s="32">
        <f>N9+R14</f>
        <v>7.0900000000000005E-2</v>
      </c>
      <c r="N21" s="3">
        <f>N20-O20</f>
        <v>250000</v>
      </c>
      <c r="O21" s="36">
        <f>Q21-P21</f>
        <v>20793.656332033315</v>
      </c>
      <c r="P21" s="3">
        <f>N21*M21</f>
        <v>17725</v>
      </c>
      <c r="Q21" s="36">
        <f>-PMT(M21,J21,N21)</f>
        <v>38518.656332033315</v>
      </c>
      <c r="R21" s="3">
        <f t="shared" ref="R21:R29" si="7">N21*$B$14*((L21-L20)/30)*$B$15</f>
        <v>202.77777777777374</v>
      </c>
      <c r="S21" s="3">
        <f t="shared" si="3"/>
        <v>38721.434109811089</v>
      </c>
    </row>
    <row r="22" spans="1:19" x14ac:dyDescent="0.25">
      <c r="A22" s="3">
        <v>4</v>
      </c>
      <c r="B22" s="31">
        <f t="shared" si="4"/>
        <v>45578.666666666657</v>
      </c>
      <c r="C22" s="32">
        <f>C21</f>
        <v>7.0900000000000005E-2</v>
      </c>
      <c r="D22" s="3">
        <f>D21-E21</f>
        <v>222222.22222222222</v>
      </c>
      <c r="E22" s="3">
        <f>E21</f>
        <v>27777.777777777777</v>
      </c>
      <c r="F22" s="3">
        <f>D22*C22</f>
        <v>15755.555555555557</v>
      </c>
      <c r="G22" s="3">
        <f>E22+F22</f>
        <v>43533.333333333336</v>
      </c>
      <c r="H22" s="3">
        <f t="shared" si="5"/>
        <v>180.24691358024333</v>
      </c>
      <c r="I22" s="3">
        <f t="shared" si="2"/>
        <v>43713.580246913582</v>
      </c>
      <c r="J22">
        <v>8</v>
      </c>
      <c r="K22" s="3">
        <v>4</v>
      </c>
      <c r="L22" s="31">
        <f t="shared" si="6"/>
        <v>45578.666666666657</v>
      </c>
      <c r="M22" s="32">
        <f>M21</f>
        <v>7.0900000000000005E-2</v>
      </c>
      <c r="N22" s="3">
        <f>N21-O21</f>
        <v>229206.34366796669</v>
      </c>
      <c r="O22" s="36">
        <f t="shared" ref="O22:O29" si="8">Q22-P22</f>
        <v>22267.926565974492</v>
      </c>
      <c r="P22" s="3">
        <f>N22*M22</f>
        <v>16250.729766058839</v>
      </c>
      <c r="Q22" s="36">
        <f t="shared" ref="Q22:Q29" si="9">-PMT(M22,J22,N22)</f>
        <v>38518.65633203333</v>
      </c>
      <c r="R22" s="3">
        <f t="shared" si="7"/>
        <v>185.91181208623595</v>
      </c>
      <c r="S22" s="3">
        <f t="shared" si="3"/>
        <v>38704.568144119563</v>
      </c>
    </row>
    <row r="23" spans="1:19" x14ac:dyDescent="0.25">
      <c r="A23" s="3">
        <v>5</v>
      </c>
      <c r="B23" s="31">
        <f t="shared" si="4"/>
        <v>45700.333333333321</v>
      </c>
      <c r="C23" s="32">
        <f t="shared" ref="C23:C29" si="10">C22</f>
        <v>7.0900000000000005E-2</v>
      </c>
      <c r="D23" s="3">
        <f t="shared" ref="D23:D29" si="11">D22-E22</f>
        <v>194444.44444444444</v>
      </c>
      <c r="E23" s="3">
        <f t="shared" ref="E23:E29" si="12">E22</f>
        <v>27777.777777777777</v>
      </c>
      <c r="F23" s="3">
        <f t="shared" ref="F23:F29" si="13">D23*C23</f>
        <v>13786.111111111111</v>
      </c>
      <c r="G23" s="3">
        <f t="shared" ref="G23:G30" si="14">E23+F23</f>
        <v>41563.888888888891</v>
      </c>
      <c r="H23" s="3">
        <f t="shared" si="5"/>
        <v>157.7160493827129</v>
      </c>
      <c r="I23" s="3">
        <f t="shared" si="2"/>
        <v>41721.604938271601</v>
      </c>
      <c r="J23">
        <v>7</v>
      </c>
      <c r="K23" s="3">
        <v>5</v>
      </c>
      <c r="L23" s="31">
        <f t="shared" si="6"/>
        <v>45700.333333333321</v>
      </c>
      <c r="M23" s="32">
        <f t="shared" ref="M23:M29" si="15">M22</f>
        <v>7.0900000000000005E-2</v>
      </c>
      <c r="N23" s="3">
        <f t="shared" ref="N23:N29" si="16">N22-O22</f>
        <v>206938.41710199221</v>
      </c>
      <c r="O23" s="36">
        <f t="shared" si="8"/>
        <v>23846.722559502079</v>
      </c>
      <c r="P23" s="3">
        <f t="shared" ref="P23:P29" si="17">N23*M23</f>
        <v>14671.933772531249</v>
      </c>
      <c r="Q23" s="36">
        <f t="shared" si="9"/>
        <v>38518.65633203333</v>
      </c>
      <c r="R23" s="3">
        <f t="shared" si="7"/>
        <v>167.8500494271681</v>
      </c>
      <c r="S23" s="3">
        <f t="shared" si="3"/>
        <v>38686.506381460495</v>
      </c>
    </row>
    <row r="24" spans="1:19" x14ac:dyDescent="0.25">
      <c r="A24" s="3">
        <v>6</v>
      </c>
      <c r="B24" s="31">
        <f t="shared" si="4"/>
        <v>45821.999999999985</v>
      </c>
      <c r="C24" s="32">
        <f t="shared" si="10"/>
        <v>7.0900000000000005E-2</v>
      </c>
      <c r="D24" s="3">
        <f t="shared" si="11"/>
        <v>166666.66666666666</v>
      </c>
      <c r="E24" s="3">
        <f t="shared" si="12"/>
        <v>27777.777777777777</v>
      </c>
      <c r="F24" s="3">
        <f t="shared" si="13"/>
        <v>11816.666666666666</v>
      </c>
      <c r="G24" s="3">
        <f t="shared" si="14"/>
        <v>39594.444444444445</v>
      </c>
      <c r="H24" s="3">
        <f t="shared" si="5"/>
        <v>135.18518518518246</v>
      </c>
      <c r="I24" s="3">
        <f t="shared" si="2"/>
        <v>39729.629629629628</v>
      </c>
      <c r="J24">
        <v>6</v>
      </c>
      <c r="K24" s="3">
        <v>6</v>
      </c>
      <c r="L24" s="31">
        <f t="shared" si="6"/>
        <v>45821.999999999985</v>
      </c>
      <c r="M24" s="32">
        <f t="shared" si="15"/>
        <v>7.0900000000000005E-2</v>
      </c>
      <c r="N24" s="3">
        <f t="shared" si="16"/>
        <v>183091.69454249012</v>
      </c>
      <c r="O24" s="36">
        <f t="shared" si="8"/>
        <v>25537.455188970787</v>
      </c>
      <c r="P24" s="3">
        <f t="shared" si="17"/>
        <v>12981.20114306255</v>
      </c>
      <c r="Q24" s="36">
        <f t="shared" si="9"/>
        <v>38518.656332033337</v>
      </c>
      <c r="R24" s="3">
        <f t="shared" si="7"/>
        <v>148.50770779557237</v>
      </c>
      <c r="S24" s="3">
        <f t="shared" si="3"/>
        <v>38667.164039828909</v>
      </c>
    </row>
    <row r="25" spans="1:19" x14ac:dyDescent="0.25">
      <c r="A25" s="3">
        <v>7</v>
      </c>
      <c r="B25" s="31">
        <f t="shared" si="4"/>
        <v>45943.66666666665</v>
      </c>
      <c r="C25" s="32">
        <f t="shared" si="10"/>
        <v>7.0900000000000005E-2</v>
      </c>
      <c r="D25" s="3">
        <f t="shared" si="11"/>
        <v>138888.88888888888</v>
      </c>
      <c r="E25" s="3">
        <f t="shared" si="12"/>
        <v>27777.777777777777</v>
      </c>
      <c r="F25" s="3">
        <f t="shared" si="13"/>
        <v>9847.2222222222226</v>
      </c>
      <c r="G25" s="3">
        <f t="shared" si="14"/>
        <v>37625</v>
      </c>
      <c r="H25" s="3">
        <f t="shared" si="5"/>
        <v>112.65432098765207</v>
      </c>
      <c r="I25" s="3">
        <f t="shared" si="2"/>
        <v>37737.654320987655</v>
      </c>
      <c r="J25">
        <v>5</v>
      </c>
      <c r="K25" s="3">
        <v>7</v>
      </c>
      <c r="L25" s="31">
        <f t="shared" si="6"/>
        <v>45943.66666666665</v>
      </c>
      <c r="M25" s="32">
        <f t="shared" si="15"/>
        <v>7.0900000000000005E-2</v>
      </c>
      <c r="N25" s="3">
        <f t="shared" si="16"/>
        <v>157554.23935351934</v>
      </c>
      <c r="O25" s="36">
        <f t="shared" si="8"/>
        <v>27348.060761868794</v>
      </c>
      <c r="P25" s="3">
        <f t="shared" si="17"/>
        <v>11170.595570164522</v>
      </c>
      <c r="Q25" s="36">
        <f t="shared" si="9"/>
        <v>38518.656332033315</v>
      </c>
      <c r="R25" s="3">
        <f t="shared" si="7"/>
        <v>127.79399414229647</v>
      </c>
      <c r="S25" s="3">
        <f t="shared" si="3"/>
        <v>38646.450326175611</v>
      </c>
    </row>
    <row r="26" spans="1:19" x14ac:dyDescent="0.25">
      <c r="A26" s="3">
        <v>8</v>
      </c>
      <c r="B26" s="31">
        <f t="shared" si="4"/>
        <v>46065.333333333314</v>
      </c>
      <c r="C26" s="32">
        <f t="shared" si="10"/>
        <v>7.0900000000000005E-2</v>
      </c>
      <c r="D26" s="3">
        <f t="shared" si="11"/>
        <v>111111.11111111109</v>
      </c>
      <c r="E26" s="3">
        <f t="shared" si="12"/>
        <v>27777.777777777777</v>
      </c>
      <c r="F26" s="3">
        <f t="shared" si="13"/>
        <v>7877.7777777777774</v>
      </c>
      <c r="G26" s="3">
        <f t="shared" si="14"/>
        <v>35655.555555555555</v>
      </c>
      <c r="H26" s="3">
        <f t="shared" si="5"/>
        <v>90.123456790121651</v>
      </c>
      <c r="I26" s="3">
        <f t="shared" si="2"/>
        <v>35745.679012345674</v>
      </c>
      <c r="J26">
        <v>4</v>
      </c>
      <c r="K26" s="3">
        <v>8</v>
      </c>
      <c r="L26" s="31">
        <f t="shared" si="6"/>
        <v>46065.333333333314</v>
      </c>
      <c r="M26" s="32">
        <f t="shared" si="15"/>
        <v>7.0900000000000005E-2</v>
      </c>
      <c r="N26" s="3">
        <f t="shared" si="16"/>
        <v>130206.17859165055</v>
      </c>
      <c r="O26" s="36">
        <f t="shared" si="8"/>
        <v>29287.038269885306</v>
      </c>
      <c r="P26" s="3">
        <f t="shared" si="17"/>
        <v>9231.6180621480253</v>
      </c>
      <c r="Q26" s="36">
        <f t="shared" si="9"/>
        <v>38518.65633203333</v>
      </c>
      <c r="R26" s="3">
        <f t="shared" si="7"/>
        <v>105.61167819100334</v>
      </c>
      <c r="S26" s="3">
        <f t="shared" si="3"/>
        <v>38624.268010224332</v>
      </c>
    </row>
    <row r="27" spans="1:19" x14ac:dyDescent="0.25">
      <c r="A27" s="3">
        <v>9</v>
      </c>
      <c r="B27" s="31">
        <f t="shared" si="4"/>
        <v>46186.999999999978</v>
      </c>
      <c r="C27" s="32">
        <f t="shared" si="10"/>
        <v>7.0900000000000005E-2</v>
      </c>
      <c r="D27" s="3">
        <f t="shared" si="11"/>
        <v>83333.333333333314</v>
      </c>
      <c r="E27" s="3">
        <f t="shared" si="12"/>
        <v>27777.777777777777</v>
      </c>
      <c r="F27" s="3">
        <f t="shared" si="13"/>
        <v>5908.3333333333321</v>
      </c>
      <c r="G27" s="3">
        <f t="shared" si="14"/>
        <v>33686.111111111109</v>
      </c>
      <c r="H27" s="3">
        <f t="shared" si="5"/>
        <v>67.592592592591231</v>
      </c>
      <c r="I27" s="3">
        <f t="shared" si="2"/>
        <v>33753.703703703701</v>
      </c>
      <c r="J27">
        <v>3</v>
      </c>
      <c r="K27" s="3">
        <v>9</v>
      </c>
      <c r="L27" s="31">
        <f t="shared" si="6"/>
        <v>46186.999999999978</v>
      </c>
      <c r="M27" s="32">
        <f t="shared" si="15"/>
        <v>7.0900000000000005E-2</v>
      </c>
      <c r="N27" s="3">
        <f t="shared" si="16"/>
        <v>100919.14032176524</v>
      </c>
      <c r="O27" s="36">
        <f t="shared" si="8"/>
        <v>31363.48928322018</v>
      </c>
      <c r="P27" s="3">
        <f t="shared" si="17"/>
        <v>7155.1670488131558</v>
      </c>
      <c r="Q27" s="36">
        <f t="shared" si="9"/>
        <v>38518.656332033337</v>
      </c>
      <c r="R27" s="3">
        <f t="shared" si="7"/>
        <v>81.856636038763511</v>
      </c>
      <c r="S27" s="3">
        <f t="shared" si="3"/>
        <v>38600.5129680721</v>
      </c>
    </row>
    <row r="28" spans="1:19" x14ac:dyDescent="0.25">
      <c r="A28" s="3">
        <v>10</v>
      </c>
      <c r="B28" s="31">
        <f t="shared" si="4"/>
        <v>46308.666666666642</v>
      </c>
      <c r="C28" s="32">
        <f t="shared" si="10"/>
        <v>7.0900000000000005E-2</v>
      </c>
      <c r="D28" s="3">
        <f t="shared" si="11"/>
        <v>55555.555555555533</v>
      </c>
      <c r="E28" s="3">
        <f t="shared" si="12"/>
        <v>27777.777777777777</v>
      </c>
      <c r="F28" s="3">
        <f t="shared" si="13"/>
        <v>3938.8888888888873</v>
      </c>
      <c r="G28" s="3">
        <f t="shared" si="14"/>
        <v>31716.666666666664</v>
      </c>
      <c r="H28" s="3">
        <f t="shared" si="5"/>
        <v>45.061728395060811</v>
      </c>
      <c r="I28" s="3">
        <f t="shared" si="2"/>
        <v>31761.728395061724</v>
      </c>
      <c r="J28">
        <v>2</v>
      </c>
      <c r="K28" s="3">
        <v>10</v>
      </c>
      <c r="L28" s="31">
        <f t="shared" si="6"/>
        <v>46308.666666666642</v>
      </c>
      <c r="M28" s="32">
        <f t="shared" si="15"/>
        <v>7.0900000000000005E-2</v>
      </c>
      <c r="N28" s="3">
        <f t="shared" si="16"/>
        <v>69555.651038545067</v>
      </c>
      <c r="O28" s="36">
        <f t="shared" si="8"/>
        <v>33587.160673400482</v>
      </c>
      <c r="P28" s="3">
        <f t="shared" si="17"/>
        <v>4931.4956586328453</v>
      </c>
      <c r="Q28" s="36">
        <f t="shared" si="9"/>
        <v>38518.65633203333</v>
      </c>
      <c r="R28" s="3">
        <f t="shared" si="7"/>
        <v>56.417361397929874</v>
      </c>
      <c r="S28" s="3">
        <f t="shared" si="3"/>
        <v>38575.073693431259</v>
      </c>
    </row>
    <row r="29" spans="1:19" ht="15.75" thickBot="1" x14ac:dyDescent="0.3">
      <c r="A29" s="3">
        <v>11</v>
      </c>
      <c r="B29" s="31">
        <f t="shared" si="4"/>
        <v>46430.333333333307</v>
      </c>
      <c r="C29" s="32">
        <f t="shared" si="10"/>
        <v>7.0900000000000005E-2</v>
      </c>
      <c r="D29" s="3">
        <f t="shared" si="11"/>
        <v>27777.777777777756</v>
      </c>
      <c r="E29" s="60">
        <f t="shared" si="12"/>
        <v>27777.777777777777</v>
      </c>
      <c r="F29" s="60">
        <f t="shared" si="13"/>
        <v>1969.444444444443</v>
      </c>
      <c r="G29" s="60">
        <f t="shared" si="14"/>
        <v>29747.222222222219</v>
      </c>
      <c r="H29" s="3">
        <f t="shared" si="5"/>
        <v>22.530864197530398</v>
      </c>
      <c r="I29" s="3">
        <f t="shared" si="2"/>
        <v>29769.753086419751</v>
      </c>
      <c r="J29">
        <v>1</v>
      </c>
      <c r="K29" s="3">
        <v>11</v>
      </c>
      <c r="L29" s="31">
        <f t="shared" si="6"/>
        <v>46430.333333333307</v>
      </c>
      <c r="M29" s="32">
        <f t="shared" si="15"/>
        <v>7.0900000000000005E-2</v>
      </c>
      <c r="N29" s="62">
        <f t="shared" si="16"/>
        <v>35968.490365144586</v>
      </c>
      <c r="O29" s="63">
        <f t="shared" si="8"/>
        <v>35968.490365144578</v>
      </c>
      <c r="P29" s="60">
        <f t="shared" si="17"/>
        <v>2550.1659668887514</v>
      </c>
      <c r="Q29" s="78">
        <f t="shared" si="9"/>
        <v>38518.65633203333</v>
      </c>
      <c r="R29" s="3">
        <f t="shared" si="7"/>
        <v>29.174442185061139</v>
      </c>
      <c r="S29" s="3">
        <f t="shared" si="3"/>
        <v>38547.83077421839</v>
      </c>
    </row>
    <row r="30" spans="1:19" ht="15.75" thickBot="1" x14ac:dyDescent="0.3">
      <c r="A30" s="56" t="s">
        <v>19</v>
      </c>
      <c r="B30" s="3"/>
      <c r="C30" s="3"/>
      <c r="D30" s="23"/>
      <c r="E30" s="61">
        <f>SUM(E21:E29)</f>
        <v>250000</v>
      </c>
      <c r="F30" s="67">
        <f>SUM(F19:F29)</f>
        <v>122408.33333333333</v>
      </c>
      <c r="G30" s="77">
        <f t="shared" si="14"/>
        <v>372408.33333333331</v>
      </c>
      <c r="H30" s="59">
        <f>SUM(H19:H29)</f>
        <v>1419.4444444444161</v>
      </c>
      <c r="I30" s="3">
        <f t="shared" si="2"/>
        <v>373827.77777777775</v>
      </c>
      <c r="K30" s="56" t="s">
        <v>19</v>
      </c>
      <c r="L30" s="3"/>
      <c r="M30" s="3"/>
      <c r="N30" s="23"/>
      <c r="O30" s="61">
        <f>SUM(O21:O29)</f>
        <v>250000</v>
      </c>
      <c r="P30" s="67">
        <f>SUM(P19:P29)</f>
        <v>130451.24032163329</v>
      </c>
      <c r="Q30" s="77">
        <f t="shared" ref="Q30" si="18">O30+P30</f>
        <v>380451.24032163329</v>
      </c>
      <c r="R30" s="59">
        <f>SUM(R19:R29)</f>
        <v>1511.4570145973521</v>
      </c>
      <c r="S30" s="3">
        <f t="shared" si="3"/>
        <v>381962.69733623066</v>
      </c>
    </row>
    <row r="33" spans="1:19" s="64" customFormat="1" x14ac:dyDescent="0.25">
      <c r="A33" s="64" t="s">
        <v>127</v>
      </c>
    </row>
    <row r="35" spans="1:19" ht="18.75" x14ac:dyDescent="0.3">
      <c r="A35" s="50" t="s">
        <v>25</v>
      </c>
      <c r="K35" s="50" t="s">
        <v>122</v>
      </c>
    </row>
    <row r="36" spans="1:19" x14ac:dyDescent="0.25">
      <c r="A36" s="84" t="s">
        <v>26</v>
      </c>
      <c r="B36" s="84"/>
      <c r="C36" s="84"/>
      <c r="D36" s="51" t="s">
        <v>106</v>
      </c>
      <c r="E36" s="51"/>
      <c r="F36" s="56" t="s">
        <v>108</v>
      </c>
      <c r="G36" s="56" t="s">
        <v>119</v>
      </c>
      <c r="H36" s="51" t="s">
        <v>106</v>
      </c>
      <c r="I36" s="52"/>
      <c r="K36" s="84" t="s">
        <v>26</v>
      </c>
      <c r="L36" s="84"/>
      <c r="M36" s="84"/>
      <c r="N36" s="51" t="s">
        <v>106</v>
      </c>
      <c r="O36" s="51"/>
      <c r="P36" s="56" t="s">
        <v>108</v>
      </c>
      <c r="Q36" s="56" t="s">
        <v>119</v>
      </c>
      <c r="R36" s="51" t="s">
        <v>106</v>
      </c>
      <c r="S36" s="52"/>
    </row>
    <row r="37" spans="1:19" x14ac:dyDescent="0.25">
      <c r="A37" t="s">
        <v>99</v>
      </c>
      <c r="B37">
        <v>250000</v>
      </c>
      <c r="F37" s="3" t="s">
        <v>52</v>
      </c>
      <c r="G37" s="55">
        <v>0.03</v>
      </c>
      <c r="H37" s="24">
        <f t="shared" ref="H37:H43" si="19">G37/$B$16</f>
        <v>0.01</v>
      </c>
      <c r="I37" t="s">
        <v>102</v>
      </c>
      <c r="K37" t="s">
        <v>99</v>
      </c>
      <c r="L37">
        <v>250000</v>
      </c>
      <c r="P37" s="3" t="s">
        <v>52</v>
      </c>
      <c r="Q37" s="55">
        <v>0.03</v>
      </c>
      <c r="R37" s="24">
        <f t="shared" ref="R37:R43" si="20">Q37/$B$16</f>
        <v>0.01</v>
      </c>
      <c r="S37" t="s">
        <v>102</v>
      </c>
    </row>
    <row r="38" spans="1:19" x14ac:dyDescent="0.25">
      <c r="A38" t="s">
        <v>78</v>
      </c>
      <c r="B38" s="5">
        <v>0.04</v>
      </c>
      <c r="C38" t="s">
        <v>31</v>
      </c>
      <c r="D38" s="6">
        <f>B38*4/3</f>
        <v>5.3333333333333337E-2</v>
      </c>
      <c r="E38" t="s">
        <v>102</v>
      </c>
      <c r="F38" s="3" t="s">
        <v>53</v>
      </c>
      <c r="G38" s="32">
        <v>3.27E-2</v>
      </c>
      <c r="H38" s="24">
        <f t="shared" si="19"/>
        <v>1.09E-2</v>
      </c>
      <c r="I38" t="s">
        <v>102</v>
      </c>
      <c r="K38" t="s">
        <v>78</v>
      </c>
      <c r="L38" s="5">
        <v>0.04</v>
      </c>
      <c r="M38" t="s">
        <v>31</v>
      </c>
      <c r="N38" s="6">
        <f>L38*4/3</f>
        <v>5.3333333333333337E-2</v>
      </c>
      <c r="O38" t="s">
        <v>102</v>
      </c>
      <c r="P38" s="3" t="s">
        <v>53</v>
      </c>
      <c r="Q38" s="32">
        <v>3.27E-2</v>
      </c>
      <c r="R38" s="24">
        <f t="shared" si="20"/>
        <v>1.09E-2</v>
      </c>
      <c r="S38" t="s">
        <v>102</v>
      </c>
    </row>
    <row r="39" spans="1:19" x14ac:dyDescent="0.25">
      <c r="A39" t="s">
        <v>79</v>
      </c>
      <c r="B39" t="s">
        <v>102</v>
      </c>
      <c r="F39" s="3" t="s">
        <v>54</v>
      </c>
      <c r="G39" s="32">
        <v>3.6700000000000003E-2</v>
      </c>
      <c r="H39" s="24">
        <f t="shared" si="19"/>
        <v>1.2233333333333334E-2</v>
      </c>
      <c r="I39" t="s">
        <v>102</v>
      </c>
      <c r="K39" t="s">
        <v>79</v>
      </c>
      <c r="L39" t="s">
        <v>102</v>
      </c>
      <c r="P39" s="3" t="s">
        <v>54</v>
      </c>
      <c r="Q39" s="32">
        <v>3.6700000000000003E-2</v>
      </c>
      <c r="R39" s="24">
        <f t="shared" si="20"/>
        <v>1.2233333333333334E-2</v>
      </c>
      <c r="S39" t="s">
        <v>102</v>
      </c>
    </row>
    <row r="40" spans="1:19" ht="18" x14ac:dyDescent="0.35">
      <c r="A40" t="s">
        <v>120</v>
      </c>
      <c r="F40" s="3" t="s">
        <v>55</v>
      </c>
      <c r="G40" s="32">
        <v>4.07E-2</v>
      </c>
      <c r="H40" s="24">
        <f t="shared" si="19"/>
        <v>1.3566666666666666E-2</v>
      </c>
      <c r="I40" t="s">
        <v>102</v>
      </c>
      <c r="K40" t="s">
        <v>120</v>
      </c>
      <c r="L40">
        <v>8</v>
      </c>
      <c r="M40" t="s">
        <v>121</v>
      </c>
      <c r="N40">
        <v>2</v>
      </c>
      <c r="O40" t="s">
        <v>107</v>
      </c>
      <c r="P40" s="3" t="s">
        <v>55</v>
      </c>
      <c r="Q40" s="32">
        <v>4.07E-2</v>
      </c>
      <c r="R40" s="24">
        <f t="shared" si="20"/>
        <v>1.3566666666666666E-2</v>
      </c>
      <c r="S40" t="s">
        <v>102</v>
      </c>
    </row>
    <row r="41" spans="1:19" x14ac:dyDescent="0.25">
      <c r="A41" t="s">
        <v>80</v>
      </c>
      <c r="B41" t="s">
        <v>103</v>
      </c>
      <c r="D41">
        <v>11</v>
      </c>
      <c r="E41" t="s">
        <v>107</v>
      </c>
      <c r="F41" s="3" t="s">
        <v>58</v>
      </c>
      <c r="G41" s="32">
        <v>4.4699999999999997E-2</v>
      </c>
      <c r="H41" s="24">
        <f t="shared" si="19"/>
        <v>1.4899999999999998E-2</v>
      </c>
      <c r="I41" t="s">
        <v>102</v>
      </c>
      <c r="K41" t="s">
        <v>80</v>
      </c>
      <c r="L41" t="s">
        <v>103</v>
      </c>
      <c r="N41">
        <v>11</v>
      </c>
      <c r="O41" t="s">
        <v>107</v>
      </c>
      <c r="P41" s="3" t="s">
        <v>58</v>
      </c>
      <c r="Q41" s="32">
        <v>4.4699999999999997E-2</v>
      </c>
      <c r="R41" s="24">
        <f t="shared" si="20"/>
        <v>1.4899999999999998E-2</v>
      </c>
      <c r="S41" t="s">
        <v>102</v>
      </c>
    </row>
    <row r="42" spans="1:19" x14ac:dyDescent="0.25">
      <c r="A42" s="25" t="s">
        <v>104</v>
      </c>
      <c r="B42" s="26">
        <v>45092</v>
      </c>
      <c r="F42" s="3" t="s">
        <v>109</v>
      </c>
      <c r="G42" s="32">
        <v>4.87E-2</v>
      </c>
      <c r="H42" s="24">
        <f t="shared" si="19"/>
        <v>1.6233333333333332E-2</v>
      </c>
      <c r="I42" t="s">
        <v>102</v>
      </c>
      <c r="K42" s="25" t="s">
        <v>104</v>
      </c>
      <c r="L42" s="26">
        <v>45092</v>
      </c>
      <c r="P42" s="3" t="s">
        <v>109</v>
      </c>
      <c r="Q42" s="32">
        <v>4.87E-2</v>
      </c>
      <c r="R42" s="24">
        <f t="shared" si="20"/>
        <v>1.6233333333333332E-2</v>
      </c>
      <c r="S42" t="s">
        <v>102</v>
      </c>
    </row>
    <row r="43" spans="1:19" ht="18" x14ac:dyDescent="0.35">
      <c r="A43" s="25" t="s">
        <v>100</v>
      </c>
      <c r="B43" s="27">
        <v>4.0000000000000001E-3</v>
      </c>
      <c r="F43" s="3" t="s">
        <v>110</v>
      </c>
      <c r="G43" s="32">
        <v>5.2699999999999997E-2</v>
      </c>
      <c r="H43" s="24">
        <f t="shared" si="19"/>
        <v>1.7566666666666664E-2</v>
      </c>
      <c r="I43" t="s">
        <v>102</v>
      </c>
      <c r="K43" s="25" t="s">
        <v>100</v>
      </c>
      <c r="L43" s="27">
        <v>4.0000000000000001E-3</v>
      </c>
      <c r="P43" s="3" t="s">
        <v>110</v>
      </c>
      <c r="Q43" s="32">
        <v>5.2699999999999997E-2</v>
      </c>
      <c r="R43" s="24">
        <f t="shared" si="20"/>
        <v>1.7566666666666664E-2</v>
      </c>
      <c r="S43" t="s">
        <v>102</v>
      </c>
    </row>
    <row r="44" spans="1:19" x14ac:dyDescent="0.25">
      <c r="A44" s="25" t="s">
        <v>65</v>
      </c>
      <c r="B44" s="25">
        <v>0.05</v>
      </c>
      <c r="K44" s="25" t="s">
        <v>65</v>
      </c>
      <c r="L44" s="25">
        <v>0.05</v>
      </c>
    </row>
    <row r="45" spans="1:19" ht="18" x14ac:dyDescent="0.35">
      <c r="A45" s="25" t="s">
        <v>101</v>
      </c>
      <c r="B45" s="25">
        <v>3</v>
      </c>
      <c r="C45" s="25" t="s">
        <v>105</v>
      </c>
      <c r="K45" s="25" t="s">
        <v>101</v>
      </c>
      <c r="L45" s="25">
        <v>3</v>
      </c>
      <c r="M45" s="25" t="s">
        <v>105</v>
      </c>
    </row>
    <row r="46" spans="1:19" x14ac:dyDescent="0.25">
      <c r="N46" t="s">
        <v>123</v>
      </c>
    </row>
    <row r="47" spans="1:19" x14ac:dyDescent="0.25">
      <c r="A47" s="53" t="s">
        <v>111</v>
      </c>
      <c r="B47" s="54" t="s">
        <v>112</v>
      </c>
      <c r="C47" s="54" t="s">
        <v>113</v>
      </c>
      <c r="D47" s="53" t="s">
        <v>15</v>
      </c>
      <c r="E47" s="53" t="s">
        <v>114</v>
      </c>
      <c r="F47" s="53" t="s">
        <v>115</v>
      </c>
      <c r="G47" s="53" t="s">
        <v>116</v>
      </c>
      <c r="H47" s="54" t="s">
        <v>117</v>
      </c>
      <c r="I47" s="54" t="s">
        <v>118</v>
      </c>
      <c r="K47" s="53" t="s">
        <v>111</v>
      </c>
      <c r="L47" s="54" t="s">
        <v>112</v>
      </c>
      <c r="M47" s="54" t="s">
        <v>113</v>
      </c>
      <c r="N47" s="53" t="s">
        <v>15</v>
      </c>
      <c r="O47" s="53" t="s">
        <v>114</v>
      </c>
      <c r="P47" s="53" t="s">
        <v>115</v>
      </c>
      <c r="Q47" s="53" t="s">
        <v>116</v>
      </c>
      <c r="R47" s="54" t="s">
        <v>117</v>
      </c>
      <c r="S47" s="54" t="s">
        <v>118</v>
      </c>
    </row>
    <row r="48" spans="1:19" x14ac:dyDescent="0.25">
      <c r="A48" s="3">
        <v>1</v>
      </c>
      <c r="B48" s="31">
        <f>B42+365/B45</f>
        <v>45213.666666666664</v>
      </c>
      <c r="C48" s="32">
        <f>D38+H40</f>
        <v>6.6900000000000001E-2</v>
      </c>
      <c r="D48" s="58">
        <f>B37</f>
        <v>250000</v>
      </c>
      <c r="E48" s="65">
        <f>B37/D41</f>
        <v>22727.272727272728</v>
      </c>
      <c r="F48" s="65">
        <f>D48*C48</f>
        <v>16725</v>
      </c>
      <c r="G48" s="65">
        <f>E48+F48</f>
        <v>39452.272727272728</v>
      </c>
      <c r="H48" s="3">
        <f>D48*B43*((B48-B42)/30)*B44</f>
        <v>202.77777777777374</v>
      </c>
      <c r="I48" s="3">
        <f>G48+H48</f>
        <v>39655.050505050502</v>
      </c>
      <c r="J48">
        <v>11</v>
      </c>
      <c r="K48" s="3">
        <v>1</v>
      </c>
      <c r="L48" s="31">
        <f>L42+365/L45</f>
        <v>45213.666666666664</v>
      </c>
      <c r="M48" s="32">
        <f>N38+R40</f>
        <v>6.6900000000000001E-2</v>
      </c>
      <c r="N48" s="65">
        <f>L37</f>
        <v>250000</v>
      </c>
      <c r="O48" s="68">
        <f>Q48-P48</f>
        <v>16101.309162249418</v>
      </c>
      <c r="P48" s="65">
        <f>N48*M48</f>
        <v>16725</v>
      </c>
      <c r="Q48" s="68">
        <f>-PMT(M48,J48,N48)</f>
        <v>32826.309162249418</v>
      </c>
      <c r="R48" s="3">
        <f>N48*L43*((L48-L42)/30)*L44</f>
        <v>202.77777777777374</v>
      </c>
      <c r="S48" s="3">
        <f>Q48+R48</f>
        <v>33029.086940027191</v>
      </c>
    </row>
    <row r="49" spans="1:19" x14ac:dyDescent="0.25">
      <c r="A49" s="3">
        <v>2</v>
      </c>
      <c r="B49" s="31">
        <f>B48+365/$B$16</f>
        <v>45335.333333333328</v>
      </c>
      <c r="C49" s="32">
        <f>D38+H41</f>
        <v>6.823333333333334E-2</v>
      </c>
      <c r="D49" s="65">
        <f>D48-E48</f>
        <v>227272.72727272726</v>
      </c>
      <c r="E49" s="65">
        <f>E48</f>
        <v>22727.272727272728</v>
      </c>
      <c r="F49" s="65">
        <f>D49*C49</f>
        <v>15507.575757575758</v>
      </c>
      <c r="G49" s="65">
        <f>E49+F49</f>
        <v>38234.848484848488</v>
      </c>
      <c r="H49" s="3">
        <f>D49*$B$14*((B49-B48)/30)*$B$15</f>
        <v>184.34343434343066</v>
      </c>
      <c r="I49" s="3">
        <f t="shared" ref="I49:I59" si="21">G49+H49</f>
        <v>38419.191919191915</v>
      </c>
      <c r="J49">
        <v>10</v>
      </c>
      <c r="K49" s="3">
        <v>2</v>
      </c>
      <c r="L49" s="31">
        <f>L48+365/$B$16</f>
        <v>45335.333333333328</v>
      </c>
      <c r="M49" s="32">
        <f>N38+R41</f>
        <v>6.823333333333334E-2</v>
      </c>
      <c r="N49" s="65">
        <f>N48-O48</f>
        <v>233898.69083775059</v>
      </c>
      <c r="O49" s="68">
        <f>Q49-P49</f>
        <v>17070.787859056982</v>
      </c>
      <c r="P49" s="65">
        <f>N49*M49</f>
        <v>15959.687338162517</v>
      </c>
      <c r="Q49" s="68">
        <f>-PMT(M49,J49,N49)</f>
        <v>33030.475197219501</v>
      </c>
      <c r="R49" s="3">
        <f>N49*$B$14*((L49-L48)/30)*$B$15</f>
        <v>189.71782701283837</v>
      </c>
      <c r="S49" s="3">
        <f t="shared" ref="S49:S59" si="22">Q49+R49</f>
        <v>33220.193024232336</v>
      </c>
    </row>
    <row r="50" spans="1:19" x14ac:dyDescent="0.25">
      <c r="A50" s="3">
        <v>3</v>
      </c>
      <c r="B50" s="31">
        <f t="shared" ref="B50:B58" si="23">B49+365/$B$16</f>
        <v>45456.999999999993</v>
      </c>
      <c r="C50" s="32">
        <f>D38+H43</f>
        <v>7.0900000000000005E-2</v>
      </c>
      <c r="D50" s="3">
        <f>D49-E49</f>
        <v>204545.45454545453</v>
      </c>
      <c r="E50" s="3">
        <f>B37/(D41-D40)</f>
        <v>22727.272727272728</v>
      </c>
      <c r="F50" s="3">
        <f>D50*C50</f>
        <v>14502.272727272728</v>
      </c>
      <c r="G50" s="3">
        <f>E50+F50</f>
        <v>37229.545454545456</v>
      </c>
      <c r="H50" s="3">
        <f t="shared" ref="H50:H58" si="24">D50*$B$14*((B50-B49)/30)*$B$15</f>
        <v>165.90909090908758</v>
      </c>
      <c r="I50" s="3">
        <f t="shared" si="21"/>
        <v>37395.454545454544</v>
      </c>
      <c r="J50">
        <v>9</v>
      </c>
      <c r="K50" s="3">
        <v>3</v>
      </c>
      <c r="L50" s="31">
        <f t="shared" ref="L50:L58" si="25">L49+365/$B$16</f>
        <v>45456.999999999993</v>
      </c>
      <c r="M50" s="32">
        <f>N38+R43</f>
        <v>7.0900000000000005E-2</v>
      </c>
      <c r="N50" s="3">
        <f>N49-O49</f>
        <v>216827.9029786936</v>
      </c>
      <c r="O50" s="36">
        <f>Q50-P50</f>
        <v>18034.579590937676</v>
      </c>
      <c r="P50" s="3">
        <f>N50*M50</f>
        <v>15373.098321189378</v>
      </c>
      <c r="Q50" s="68">
        <f t="shared" ref="Q50:Q58" si="26">-PMT(M50,J50,N50)</f>
        <v>33407.677912127052</v>
      </c>
      <c r="R50" s="3">
        <f t="shared" ref="R50:R58" si="27">N50*$B$14*((L50-L49)/30)*$B$15</f>
        <v>175.87152130493686</v>
      </c>
      <c r="S50" s="3">
        <f t="shared" si="22"/>
        <v>33583.549433431988</v>
      </c>
    </row>
    <row r="51" spans="1:19" x14ac:dyDescent="0.25">
      <c r="A51" s="3">
        <v>4</v>
      </c>
      <c r="B51" s="31">
        <f t="shared" si="23"/>
        <v>45578.666666666657</v>
      </c>
      <c r="C51" s="32">
        <f>C50</f>
        <v>7.0900000000000005E-2</v>
      </c>
      <c r="D51" s="3">
        <f>D50-E50</f>
        <v>181818.18181818179</v>
      </c>
      <c r="E51" s="3">
        <f>E50</f>
        <v>22727.272727272728</v>
      </c>
      <c r="F51" s="3">
        <f>D51*C51</f>
        <v>12890.90909090909</v>
      </c>
      <c r="G51" s="3">
        <f>E51+F51</f>
        <v>35618.181818181816</v>
      </c>
      <c r="H51" s="3">
        <f t="shared" si="24"/>
        <v>147.4747474747445</v>
      </c>
      <c r="I51" s="3">
        <f t="shared" si="21"/>
        <v>35765.656565656558</v>
      </c>
      <c r="J51">
        <v>8</v>
      </c>
      <c r="K51" s="3">
        <v>4</v>
      </c>
      <c r="L51" s="31">
        <f t="shared" si="25"/>
        <v>45578.666666666657</v>
      </c>
      <c r="M51" s="32">
        <f>M50</f>
        <v>7.0900000000000005E-2</v>
      </c>
      <c r="N51" s="3">
        <f>N50-O50</f>
        <v>198793.32338775593</v>
      </c>
      <c r="O51" s="36">
        <f t="shared" ref="O51:O58" si="28">Q51-P51</f>
        <v>19313.231283935158</v>
      </c>
      <c r="P51" s="3">
        <f>N51*M51</f>
        <v>14094.446628191896</v>
      </c>
      <c r="Q51" s="68">
        <f t="shared" si="26"/>
        <v>33407.677912127052</v>
      </c>
      <c r="R51" s="3">
        <f t="shared" si="27"/>
        <v>161.24347341450994</v>
      </c>
      <c r="S51" s="3">
        <f t="shared" si="22"/>
        <v>33568.921385541558</v>
      </c>
    </row>
    <row r="52" spans="1:19" x14ac:dyDescent="0.25">
      <c r="A52" s="3">
        <v>5</v>
      </c>
      <c r="B52" s="31">
        <f t="shared" si="23"/>
        <v>45700.333333333321</v>
      </c>
      <c r="C52" s="32">
        <f t="shared" ref="C52:C58" si="29">C51</f>
        <v>7.0900000000000005E-2</v>
      </c>
      <c r="D52" s="3">
        <f t="shared" ref="D52:D58" si="30">D51-E51</f>
        <v>159090.90909090906</v>
      </c>
      <c r="E52" s="3">
        <f t="shared" ref="E52:E58" si="31">E51</f>
        <v>22727.272727272728</v>
      </c>
      <c r="F52" s="3">
        <f t="shared" ref="F52:F58" si="32">D52*C52</f>
        <v>11279.545454545452</v>
      </c>
      <c r="G52" s="3">
        <f t="shared" ref="G52:G57" si="33">E52+F52</f>
        <v>34006.818181818177</v>
      </c>
      <c r="H52" s="3">
        <f t="shared" si="24"/>
        <v>129.04040404040146</v>
      </c>
      <c r="I52" s="3">
        <f t="shared" si="21"/>
        <v>34135.858585858579</v>
      </c>
      <c r="J52">
        <v>7</v>
      </c>
      <c r="K52" s="3">
        <v>5</v>
      </c>
      <c r="L52" s="31">
        <f t="shared" si="25"/>
        <v>45700.333333333321</v>
      </c>
      <c r="M52" s="32">
        <f t="shared" ref="M52:M58" si="34">M51</f>
        <v>7.0900000000000005E-2</v>
      </c>
      <c r="N52" s="3">
        <f t="shared" ref="N52:N58" si="35">N51-O51</f>
        <v>179480.09210382076</v>
      </c>
      <c r="O52" s="36">
        <f t="shared" si="28"/>
        <v>20682.539381966159</v>
      </c>
      <c r="P52" s="3">
        <f t="shared" ref="P52:P58" si="36">N52*M52</f>
        <v>12725.138530160893</v>
      </c>
      <c r="Q52" s="68">
        <f t="shared" si="26"/>
        <v>33407.677912127052</v>
      </c>
      <c r="R52" s="3">
        <f t="shared" si="27"/>
        <v>145.57829692865172</v>
      </c>
      <c r="S52" s="3">
        <f t="shared" si="22"/>
        <v>33553.256209055704</v>
      </c>
    </row>
    <row r="53" spans="1:19" x14ac:dyDescent="0.25">
      <c r="A53" s="3">
        <v>6</v>
      </c>
      <c r="B53" s="31">
        <f t="shared" si="23"/>
        <v>45821.999999999985</v>
      </c>
      <c r="C53" s="32">
        <f t="shared" si="29"/>
        <v>7.0900000000000005E-2</v>
      </c>
      <c r="D53" s="3">
        <f t="shared" si="30"/>
        <v>136363.63636363632</v>
      </c>
      <c r="E53" s="3">
        <f t="shared" si="31"/>
        <v>22727.272727272728</v>
      </c>
      <c r="F53" s="3">
        <f t="shared" si="32"/>
        <v>9668.1818181818162</v>
      </c>
      <c r="G53" s="3">
        <f t="shared" si="33"/>
        <v>32395.454545454544</v>
      </c>
      <c r="H53" s="3">
        <f t="shared" si="24"/>
        <v>110.60606060605835</v>
      </c>
      <c r="I53" s="3">
        <f t="shared" si="21"/>
        <v>32506.060606060604</v>
      </c>
      <c r="J53">
        <v>6</v>
      </c>
      <c r="K53" s="3">
        <v>6</v>
      </c>
      <c r="L53" s="31">
        <f t="shared" si="25"/>
        <v>45821.999999999985</v>
      </c>
      <c r="M53" s="32">
        <f t="shared" si="34"/>
        <v>7.0900000000000005E-2</v>
      </c>
      <c r="N53" s="3">
        <f t="shared" si="35"/>
        <v>158797.55272185459</v>
      </c>
      <c r="O53" s="36">
        <f t="shared" si="28"/>
        <v>22148.931424147566</v>
      </c>
      <c r="P53" s="3">
        <f t="shared" si="36"/>
        <v>11258.746487979492</v>
      </c>
      <c r="Q53" s="68">
        <f t="shared" si="26"/>
        <v>33407.677912127059</v>
      </c>
      <c r="R53" s="3">
        <f t="shared" si="27"/>
        <v>128.80245942994617</v>
      </c>
      <c r="S53" s="3">
        <f t="shared" si="22"/>
        <v>33536.480371557009</v>
      </c>
    </row>
    <row r="54" spans="1:19" x14ac:dyDescent="0.25">
      <c r="A54" s="3">
        <v>7</v>
      </c>
      <c r="B54" s="31">
        <f t="shared" si="23"/>
        <v>45943.66666666665</v>
      </c>
      <c r="C54" s="32">
        <f t="shared" si="29"/>
        <v>7.0900000000000005E-2</v>
      </c>
      <c r="D54" s="3">
        <f t="shared" si="30"/>
        <v>113636.36363636359</v>
      </c>
      <c r="E54" s="3">
        <f t="shared" si="31"/>
        <v>22727.272727272728</v>
      </c>
      <c r="F54" s="3">
        <f t="shared" si="32"/>
        <v>8056.8181818181793</v>
      </c>
      <c r="G54" s="3">
        <f t="shared" si="33"/>
        <v>30784.090909090908</v>
      </c>
      <c r="H54" s="3">
        <f t="shared" si="24"/>
        <v>92.171717171715301</v>
      </c>
      <c r="I54" s="3">
        <f t="shared" si="21"/>
        <v>30876.262626262622</v>
      </c>
      <c r="J54">
        <v>5</v>
      </c>
      <c r="K54" s="3">
        <v>7</v>
      </c>
      <c r="L54" s="31">
        <f t="shared" si="25"/>
        <v>45943.66666666665</v>
      </c>
      <c r="M54" s="32">
        <f t="shared" si="34"/>
        <v>7.0900000000000005E-2</v>
      </c>
      <c r="N54" s="3">
        <f t="shared" si="35"/>
        <v>136648.62129770702</v>
      </c>
      <c r="O54" s="36">
        <f t="shared" si="28"/>
        <v>23719.290662119616</v>
      </c>
      <c r="P54" s="3">
        <f t="shared" si="36"/>
        <v>9688.3872500074285</v>
      </c>
      <c r="Q54" s="68">
        <f t="shared" si="26"/>
        <v>33407.677912127045</v>
      </c>
      <c r="R54" s="3">
        <f t="shared" si="27"/>
        <v>110.83721505258239</v>
      </c>
      <c r="S54" s="3">
        <f t="shared" si="22"/>
        <v>33518.515127179628</v>
      </c>
    </row>
    <row r="55" spans="1:19" x14ac:dyDescent="0.25">
      <c r="A55" s="3">
        <v>8</v>
      </c>
      <c r="B55" s="31">
        <f t="shared" si="23"/>
        <v>46065.333333333314</v>
      </c>
      <c r="C55" s="32">
        <f t="shared" si="29"/>
        <v>7.0900000000000005E-2</v>
      </c>
      <c r="D55" s="3">
        <f t="shared" si="30"/>
        <v>90909.090909090854</v>
      </c>
      <c r="E55" s="3">
        <f t="shared" si="31"/>
        <v>22727.272727272728</v>
      </c>
      <c r="F55" s="3">
        <f t="shared" si="32"/>
        <v>6445.4545454545423</v>
      </c>
      <c r="G55" s="3">
        <f t="shared" si="33"/>
        <v>29172.727272727272</v>
      </c>
      <c r="H55" s="3">
        <f t="shared" si="24"/>
        <v>73.737373737372224</v>
      </c>
      <c r="I55" s="3">
        <f t="shared" si="21"/>
        <v>29246.464646464643</v>
      </c>
      <c r="J55">
        <v>4</v>
      </c>
      <c r="K55" s="3">
        <v>8</v>
      </c>
      <c r="L55" s="31">
        <f t="shared" si="25"/>
        <v>46065.333333333314</v>
      </c>
      <c r="M55" s="32">
        <f t="shared" si="34"/>
        <v>7.0900000000000005E-2</v>
      </c>
      <c r="N55" s="3">
        <f t="shared" si="35"/>
        <v>112929.33063558741</v>
      </c>
      <c r="O55" s="36">
        <f t="shared" si="28"/>
        <v>25400.988370063904</v>
      </c>
      <c r="P55" s="3">
        <f t="shared" si="36"/>
        <v>8006.6895420631481</v>
      </c>
      <c r="Q55" s="68">
        <f t="shared" si="26"/>
        <v>33407.677912127052</v>
      </c>
      <c r="R55" s="3">
        <f t="shared" si="27"/>
        <v>91.598234848863513</v>
      </c>
      <c r="S55" s="3">
        <f t="shared" si="22"/>
        <v>33499.276146975913</v>
      </c>
    </row>
    <row r="56" spans="1:19" x14ac:dyDescent="0.25">
      <c r="A56" s="3">
        <v>9</v>
      </c>
      <c r="B56" s="31">
        <f t="shared" si="23"/>
        <v>46186.999999999978</v>
      </c>
      <c r="C56" s="32">
        <f t="shared" si="29"/>
        <v>7.0900000000000005E-2</v>
      </c>
      <c r="D56" s="3">
        <f t="shared" si="30"/>
        <v>68181.818181818118</v>
      </c>
      <c r="E56" s="3">
        <f t="shared" si="31"/>
        <v>22727.272727272728</v>
      </c>
      <c r="F56" s="3">
        <f t="shared" si="32"/>
        <v>4834.0909090909045</v>
      </c>
      <c r="G56" s="3">
        <f t="shared" si="33"/>
        <v>27561.363636363632</v>
      </c>
      <c r="H56" s="3">
        <f t="shared" si="24"/>
        <v>55.303030303029146</v>
      </c>
      <c r="I56" s="3">
        <f t="shared" si="21"/>
        <v>27616.666666666661</v>
      </c>
      <c r="J56">
        <v>3</v>
      </c>
      <c r="K56" s="3">
        <v>9</v>
      </c>
      <c r="L56" s="31">
        <f t="shared" si="25"/>
        <v>46186.999999999978</v>
      </c>
      <c r="M56" s="32">
        <f t="shared" si="34"/>
        <v>7.0900000000000005E-2</v>
      </c>
      <c r="N56" s="3">
        <f t="shared" si="35"/>
        <v>87528.342265523504</v>
      </c>
      <c r="O56" s="36">
        <f t="shared" si="28"/>
        <v>27201.918445501433</v>
      </c>
      <c r="P56" s="3">
        <f t="shared" si="36"/>
        <v>6205.7594666256173</v>
      </c>
      <c r="Q56" s="68">
        <f t="shared" si="26"/>
        <v>33407.677912127052</v>
      </c>
      <c r="R56" s="3">
        <f t="shared" si="27"/>
        <v>70.995210948700986</v>
      </c>
      <c r="S56" s="3">
        <f t="shared" si="22"/>
        <v>33478.67312307575</v>
      </c>
    </row>
    <row r="57" spans="1:19" x14ac:dyDescent="0.25">
      <c r="A57" s="3">
        <v>10</v>
      </c>
      <c r="B57" s="31">
        <f t="shared" si="23"/>
        <v>46308.666666666642</v>
      </c>
      <c r="C57" s="32">
        <f t="shared" si="29"/>
        <v>7.0900000000000005E-2</v>
      </c>
      <c r="D57" s="3">
        <f t="shared" si="30"/>
        <v>45454.54545454539</v>
      </c>
      <c r="E57" s="3">
        <f t="shared" si="31"/>
        <v>22727.272727272728</v>
      </c>
      <c r="F57" s="3">
        <f t="shared" si="32"/>
        <v>3222.7272727272684</v>
      </c>
      <c r="G57" s="3">
        <f t="shared" si="33"/>
        <v>25949.999999999996</v>
      </c>
      <c r="H57" s="3">
        <f t="shared" si="24"/>
        <v>36.868686868686083</v>
      </c>
      <c r="I57" s="3">
        <f t="shared" si="21"/>
        <v>25986.868686868682</v>
      </c>
      <c r="J57">
        <v>2</v>
      </c>
      <c r="K57" s="3">
        <v>10</v>
      </c>
      <c r="L57" s="31">
        <f t="shared" si="25"/>
        <v>46308.666666666642</v>
      </c>
      <c r="M57" s="32">
        <f t="shared" si="34"/>
        <v>7.0900000000000005E-2</v>
      </c>
      <c r="N57" s="3">
        <f t="shared" si="35"/>
        <v>60326.423820022072</v>
      </c>
      <c r="O57" s="36">
        <f t="shared" si="28"/>
        <v>29130.534463287488</v>
      </c>
      <c r="P57" s="3">
        <f t="shared" si="36"/>
        <v>4277.1434488395653</v>
      </c>
      <c r="Q57" s="68">
        <f t="shared" si="26"/>
        <v>33407.677912127052</v>
      </c>
      <c r="R57" s="3">
        <f t="shared" si="27"/>
        <v>48.93143265401693</v>
      </c>
      <c r="S57" s="3">
        <f t="shared" si="22"/>
        <v>33456.609344781071</v>
      </c>
    </row>
    <row r="58" spans="1:19" ht="15.75" thickBot="1" x14ac:dyDescent="0.3">
      <c r="A58" s="3">
        <v>11</v>
      </c>
      <c r="B58" s="31">
        <f t="shared" si="23"/>
        <v>46430.333333333307</v>
      </c>
      <c r="C58" s="32">
        <f t="shared" si="29"/>
        <v>7.0900000000000005E-2</v>
      </c>
      <c r="D58" s="62">
        <f t="shared" si="30"/>
        <v>22727.272727272662</v>
      </c>
      <c r="E58" s="66">
        <f t="shared" si="31"/>
        <v>22727.272727272728</v>
      </c>
      <c r="F58" s="60">
        <f t="shared" si="32"/>
        <v>1611.3636363636319</v>
      </c>
      <c r="G58" s="74">
        <f>E58+F58</f>
        <v>24338.63636363636</v>
      </c>
      <c r="H58" s="3">
        <f t="shared" si="24"/>
        <v>18.434343434343017</v>
      </c>
      <c r="I58" s="3">
        <f t="shared" si="21"/>
        <v>24357.070707070703</v>
      </c>
      <c r="J58">
        <v>1</v>
      </c>
      <c r="K58" s="3">
        <v>11</v>
      </c>
      <c r="L58" s="31">
        <f t="shared" si="25"/>
        <v>46430.333333333307</v>
      </c>
      <c r="M58" s="32">
        <f t="shared" si="34"/>
        <v>7.0900000000000005E-2</v>
      </c>
      <c r="N58" s="62">
        <f t="shared" si="35"/>
        <v>31195.889356734584</v>
      </c>
      <c r="O58" s="70">
        <f t="shared" si="28"/>
        <v>31195.889356734577</v>
      </c>
      <c r="P58" s="60">
        <f t="shared" si="36"/>
        <v>2211.7885553924821</v>
      </c>
      <c r="Q58" s="71">
        <f t="shared" si="26"/>
        <v>33407.677912127059</v>
      </c>
      <c r="R58" s="3">
        <f t="shared" si="27"/>
        <v>25.303332478239771</v>
      </c>
      <c r="S58" s="3">
        <f t="shared" si="22"/>
        <v>33432.981244605297</v>
      </c>
    </row>
    <row r="59" spans="1:19" ht="15.75" thickBot="1" x14ac:dyDescent="0.3">
      <c r="A59" s="56" t="s">
        <v>19</v>
      </c>
      <c r="B59" s="3"/>
      <c r="C59" s="3"/>
      <c r="D59" s="23"/>
      <c r="E59" s="61">
        <f>SUM(E48:E58)</f>
        <v>250000.00000000006</v>
      </c>
      <c r="F59" s="67">
        <f>SUM(F48:F58)</f>
        <v>104743.93939393935</v>
      </c>
      <c r="G59" s="75">
        <f>E59+F59</f>
        <v>354743.93939393939</v>
      </c>
      <c r="H59" s="76">
        <f>SUM(H48:H58)</f>
        <v>1216.6666666666422</v>
      </c>
      <c r="I59" s="3">
        <f t="shared" si="21"/>
        <v>355960.60606060602</v>
      </c>
      <c r="K59" s="56" t="s">
        <v>19</v>
      </c>
      <c r="L59" s="3"/>
      <c r="M59" s="3"/>
      <c r="N59" s="23"/>
      <c r="O59" s="69">
        <f>SUM(O48:O58)</f>
        <v>249999.99999999997</v>
      </c>
      <c r="P59" s="72">
        <f>SUM(P48:P58)</f>
        <v>116525.8855686124</v>
      </c>
      <c r="Q59" s="73">
        <f>SUM(Q48:Q58)</f>
        <v>366525.88556861237</v>
      </c>
      <c r="R59" s="59">
        <f>SUM(R48:R58)</f>
        <v>1351.6567818510605</v>
      </c>
      <c r="S59" s="3">
        <f t="shared" si="22"/>
        <v>367877.54235046345</v>
      </c>
    </row>
    <row r="60" spans="1:19" x14ac:dyDescent="0.25">
      <c r="G60">
        <f>E59+F59</f>
        <v>354743.93939393939</v>
      </c>
    </row>
  </sheetData>
  <mergeCells count="4">
    <mergeCell ref="A7:C7"/>
    <mergeCell ref="K7:M7"/>
    <mergeCell ref="A36:C36"/>
    <mergeCell ref="K36:M36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8547F-54C9-46F7-980F-DC07F3A3C5E2}">
  <dimension ref="A1:R39"/>
  <sheetViews>
    <sheetView tabSelected="1" topLeftCell="A15" workbookViewId="0">
      <selection activeCell="J37" sqref="J37"/>
    </sheetView>
  </sheetViews>
  <sheetFormatPr baseColWidth="10" defaultRowHeight="15" x14ac:dyDescent="0.25"/>
  <cols>
    <col min="1" max="1" width="5.85546875" customWidth="1"/>
    <col min="10" max="10" width="18.140625" customWidth="1"/>
    <col min="18" max="18" width="12" bestFit="1" customWidth="1"/>
  </cols>
  <sheetData>
    <row r="1" spans="1:11" s="50" customFormat="1" ht="18.75" x14ac:dyDescent="0.3">
      <c r="A1" s="50" t="s">
        <v>90</v>
      </c>
    </row>
    <row r="2" spans="1:11" x14ac:dyDescent="0.25">
      <c r="A2" t="s">
        <v>69</v>
      </c>
    </row>
    <row r="3" spans="1:11" x14ac:dyDescent="0.25">
      <c r="A3" t="s">
        <v>70</v>
      </c>
      <c r="B3" t="s">
        <v>72</v>
      </c>
    </row>
    <row r="4" spans="1:11" x14ac:dyDescent="0.25">
      <c r="A4" t="s">
        <v>82</v>
      </c>
      <c r="B4" s="5">
        <v>0.12</v>
      </c>
      <c r="C4" t="s">
        <v>84</v>
      </c>
      <c r="D4" s="6">
        <f>(1+12%)^(1/6)-1</f>
        <v>1.9067623060521344E-2</v>
      </c>
      <c r="E4" t="s">
        <v>85</v>
      </c>
    </row>
    <row r="5" spans="1:11" x14ac:dyDescent="0.25">
      <c r="A5" t="s">
        <v>71</v>
      </c>
      <c r="B5" t="s">
        <v>73</v>
      </c>
    </row>
    <row r="7" spans="1:11" x14ac:dyDescent="0.25">
      <c r="A7" t="s">
        <v>26</v>
      </c>
    </row>
    <row r="8" spans="1:11" x14ac:dyDescent="0.25">
      <c r="A8" t="s">
        <v>74</v>
      </c>
      <c r="B8" s="49" t="s">
        <v>83</v>
      </c>
      <c r="E8" t="s">
        <v>86</v>
      </c>
      <c r="F8">
        <f>(B9-F11)/F10</f>
        <v>9549.8374742812994</v>
      </c>
    </row>
    <row r="9" spans="1:11" x14ac:dyDescent="0.25">
      <c r="A9" t="s">
        <v>75</v>
      </c>
      <c r="B9">
        <v>4000000</v>
      </c>
      <c r="I9" t="s">
        <v>2</v>
      </c>
    </row>
    <row r="10" spans="1:11" x14ac:dyDescent="0.25">
      <c r="A10" t="s">
        <v>76</v>
      </c>
      <c r="B10" t="s">
        <v>72</v>
      </c>
      <c r="E10" t="s">
        <v>87</v>
      </c>
      <c r="F10" s="24">
        <f>(1-(1-B12)^(-C13)/(B12))</f>
        <v>-165.52619571080032</v>
      </c>
      <c r="I10" t="s">
        <v>80</v>
      </c>
      <c r="J10">
        <v>18</v>
      </c>
      <c r="K10" t="s">
        <v>121</v>
      </c>
    </row>
    <row r="11" spans="1:11" x14ac:dyDescent="0.25">
      <c r="A11" t="s">
        <v>77</v>
      </c>
      <c r="B11">
        <v>3000</v>
      </c>
      <c r="E11" t="s">
        <v>88</v>
      </c>
      <c r="F11">
        <f>(B11/B12)*((1-(1+B12)^(-C13))/B12)-(C13)/(1+B12)^(C13)</f>
        <v>5580748.2667742213</v>
      </c>
      <c r="G11">
        <v>2552243.39</v>
      </c>
      <c r="I11" t="s">
        <v>79</v>
      </c>
      <c r="J11" t="s">
        <v>128</v>
      </c>
    </row>
    <row r="12" spans="1:11" x14ac:dyDescent="0.25">
      <c r="A12" t="s">
        <v>78</v>
      </c>
      <c r="B12" s="24">
        <v>1.9099999999999999E-2</v>
      </c>
      <c r="C12" t="s">
        <v>73</v>
      </c>
      <c r="I12" t="s">
        <v>76</v>
      </c>
      <c r="J12">
        <v>220000</v>
      </c>
    </row>
    <row r="13" spans="1:11" x14ac:dyDescent="0.25">
      <c r="A13" t="s">
        <v>79</v>
      </c>
      <c r="B13" t="s">
        <v>73</v>
      </c>
      <c r="C13">
        <v>60</v>
      </c>
      <c r="E13">
        <f>F8+3000*(42-1)</f>
        <v>132549.83747428129</v>
      </c>
      <c r="I13" t="s">
        <v>78</v>
      </c>
      <c r="J13" s="24">
        <v>3.5000000000000003E-2</v>
      </c>
      <c r="K13" t="s">
        <v>128</v>
      </c>
    </row>
    <row r="14" spans="1:11" x14ac:dyDescent="0.25">
      <c r="A14" t="s">
        <v>80</v>
      </c>
      <c r="B14" t="s">
        <v>81</v>
      </c>
      <c r="I14" t="s">
        <v>77</v>
      </c>
      <c r="J14">
        <v>30000</v>
      </c>
    </row>
    <row r="15" spans="1:11" x14ac:dyDescent="0.25">
      <c r="I15" t="s">
        <v>99</v>
      </c>
      <c r="J15" s="85">
        <f>J17+J18</f>
        <v>5915509.394304445</v>
      </c>
    </row>
    <row r="17" spans="1:11" x14ac:dyDescent="0.25">
      <c r="B17" t="s">
        <v>89</v>
      </c>
      <c r="C17">
        <f>40746.42+3000*(42-1)</f>
        <v>163746.41999999998</v>
      </c>
      <c r="I17">
        <v>1</v>
      </c>
      <c r="J17">
        <f>J12*((1-(1+J13)^J10)/J13)</f>
        <v>-5389932.0860959701</v>
      </c>
    </row>
    <row r="18" spans="1:11" x14ac:dyDescent="0.25">
      <c r="I18">
        <v>2</v>
      </c>
      <c r="J18">
        <f>J14/J13*(((1-(1+J13)^-J10)/J13)+(J10/(1+J10)^J10))</f>
        <v>11305441.480400415</v>
      </c>
    </row>
    <row r="20" spans="1:11" x14ac:dyDescent="0.25">
      <c r="I20" t="s">
        <v>129</v>
      </c>
      <c r="J20" s="85">
        <f>J12+J14*(12-1)</f>
        <v>550000</v>
      </c>
    </row>
    <row r="22" spans="1:11" ht="18.75" x14ac:dyDescent="0.3">
      <c r="A22" s="50" t="s">
        <v>91</v>
      </c>
    </row>
    <row r="23" spans="1:11" x14ac:dyDescent="0.25">
      <c r="A23" t="s">
        <v>92</v>
      </c>
    </row>
    <row r="24" spans="1:11" x14ac:dyDescent="0.25">
      <c r="A24" t="s">
        <v>95</v>
      </c>
      <c r="D24" s="6">
        <f>(1+17%)^(1/4)-1</f>
        <v>4.0031433486121593E-2</v>
      </c>
    </row>
    <row r="25" spans="1:11" x14ac:dyDescent="0.25">
      <c r="A25" t="s">
        <v>93</v>
      </c>
      <c r="B25" s="5">
        <v>0.17</v>
      </c>
    </row>
    <row r="26" spans="1:11" x14ac:dyDescent="0.25">
      <c r="A26" t="s">
        <v>94</v>
      </c>
      <c r="B26" t="s">
        <v>31</v>
      </c>
    </row>
    <row r="28" spans="1:11" x14ac:dyDescent="0.25">
      <c r="A28" t="s">
        <v>26</v>
      </c>
    </row>
    <row r="29" spans="1:11" x14ac:dyDescent="0.25">
      <c r="A29" t="s">
        <v>74</v>
      </c>
    </row>
    <row r="30" spans="1:11" x14ac:dyDescent="0.25">
      <c r="A30" t="s">
        <v>75</v>
      </c>
      <c r="B30">
        <v>1750000</v>
      </c>
      <c r="D30" t="s">
        <v>86</v>
      </c>
      <c r="I30" t="s">
        <v>2</v>
      </c>
    </row>
    <row r="31" spans="1:11" x14ac:dyDescent="0.25">
      <c r="A31" t="s">
        <v>76</v>
      </c>
      <c r="B31" t="s">
        <v>72</v>
      </c>
      <c r="D31" s="1">
        <f>(B30)/((1-((1+B33)/(1+D24))^C34)/(D24-B33))</f>
        <v>84586.79407638777</v>
      </c>
      <c r="I31" t="s">
        <v>77</v>
      </c>
      <c r="J31">
        <v>30000</v>
      </c>
    </row>
    <row r="32" spans="1:11" x14ac:dyDescent="0.25">
      <c r="A32" t="s">
        <v>78</v>
      </c>
      <c r="B32" t="s">
        <v>97</v>
      </c>
      <c r="I32" t="s">
        <v>78</v>
      </c>
      <c r="J32" s="24">
        <v>2.8000000000000001E-2</v>
      </c>
      <c r="K32" t="s">
        <v>128</v>
      </c>
    </row>
    <row r="33" spans="1:18" x14ac:dyDescent="0.25">
      <c r="A33" t="s">
        <v>96</v>
      </c>
      <c r="B33" s="5">
        <v>0.03</v>
      </c>
      <c r="I33" t="s">
        <v>80</v>
      </c>
      <c r="J33">
        <v>36</v>
      </c>
      <c r="K33" t="s">
        <v>121</v>
      </c>
    </row>
    <row r="34" spans="1:18" x14ac:dyDescent="0.25">
      <c r="A34" t="s">
        <v>79</v>
      </c>
      <c r="B34" t="s">
        <v>31</v>
      </c>
      <c r="C34">
        <v>24</v>
      </c>
      <c r="I34" t="s">
        <v>79</v>
      </c>
      <c r="J34" t="s">
        <v>128</v>
      </c>
      <c r="Q34">
        <v>1</v>
      </c>
      <c r="R34">
        <f>(J35-J31/J32*((((1+J32)^J33-1)/J32)-J33)*J32)</f>
        <v>59255983.36248479</v>
      </c>
    </row>
    <row r="35" spans="1:18" x14ac:dyDescent="0.25">
      <c r="A35" t="s">
        <v>80</v>
      </c>
      <c r="B35" t="s">
        <v>98</v>
      </c>
      <c r="I35" t="s">
        <v>130</v>
      </c>
      <c r="J35">
        <v>60000000</v>
      </c>
      <c r="Q35">
        <v>2</v>
      </c>
      <c r="R35">
        <f>(1+J32)^36-1</f>
        <v>1.7024155283475264</v>
      </c>
    </row>
    <row r="37" spans="1:18" x14ac:dyDescent="0.25">
      <c r="I37" t="s">
        <v>76</v>
      </c>
      <c r="J37" s="85">
        <f>R34/R35</f>
        <v>34807003.563931562</v>
      </c>
    </row>
    <row r="39" spans="1:18" x14ac:dyDescent="0.25">
      <c r="I39" t="s">
        <v>129</v>
      </c>
      <c r="J39" s="86">
        <f>J37+J31*(24-1)</f>
        <v>35497003.563931562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Hoja1</vt:lpstr>
      <vt:lpstr>METODO</vt:lpstr>
      <vt:lpstr>22.5.25</vt:lpstr>
      <vt:lpstr>27.5.25</vt:lpstr>
      <vt:lpstr>Repaso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Sanguino Estrada</dc:creator>
  <cp:lastModifiedBy>Mateo Lopez</cp:lastModifiedBy>
  <dcterms:created xsi:type="dcterms:W3CDTF">2025-05-20T18:08:33Z</dcterms:created>
  <dcterms:modified xsi:type="dcterms:W3CDTF">2025-06-12T08:16:11Z</dcterms:modified>
</cp:coreProperties>
</file>