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4\"/>
    </mc:Choice>
  </mc:AlternateContent>
  <bookViews>
    <workbookView xWindow="0" yWindow="0" windowWidth="20490" windowHeight="7755" firstSheet="6" activeTab="12"/>
  </bookViews>
  <sheets>
    <sheet name="Principais Fórmulas" sheetId="1" r:id="rId1"/>
    <sheet name="Exemplo 1" sheetId="5" r:id="rId2"/>
    <sheet name="Exemplo 2" sheetId="2" r:id="rId3"/>
    <sheet name="Exemplo 3 e 4" sheetId="3" r:id="rId4"/>
    <sheet name="Exemplo 5" sheetId="4" r:id="rId5"/>
    <sheet name="Exemplo 6" sheetId="6" r:id="rId6"/>
    <sheet name="Exemplo 7" sheetId="7" r:id="rId7"/>
    <sheet name="Exemplo 8" sheetId="8" r:id="rId8"/>
    <sheet name="Exemplo 9" sheetId="9" r:id="rId9"/>
    <sheet name="Exemplo 10" sheetId="10" r:id="rId10"/>
    <sheet name="Exemplo 11" sheetId="11" r:id="rId11"/>
    <sheet name="Exemplo 12" sheetId="13" r:id="rId12"/>
    <sheet name="Exemplo 13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4" l="1"/>
  <c r="F81" i="14"/>
  <c r="F82" i="14"/>
  <c r="F83" i="14"/>
  <c r="F84" i="14"/>
  <c r="F85" i="14"/>
  <c r="F79" i="14"/>
  <c r="D54" i="14"/>
  <c r="D55" i="14"/>
  <c r="D56" i="14"/>
  <c r="D57" i="14"/>
  <c r="D58" i="14"/>
  <c r="D59" i="14"/>
  <c r="D53" i="14"/>
  <c r="G31" i="14"/>
  <c r="G30" i="14"/>
  <c r="F7" i="14"/>
  <c r="F6" i="14"/>
  <c r="F5" i="14"/>
  <c r="J95" i="13"/>
  <c r="J96" i="13"/>
  <c r="J97" i="13"/>
  <c r="J98" i="13"/>
  <c r="J94" i="13"/>
  <c r="J88" i="13"/>
  <c r="J89" i="13"/>
  <c r="J90" i="13"/>
  <c r="J91" i="13"/>
  <c r="J87" i="13"/>
  <c r="J81" i="13"/>
  <c r="J82" i="13"/>
  <c r="J83" i="13"/>
  <c r="J84" i="13"/>
  <c r="J76" i="13"/>
  <c r="J77" i="13"/>
  <c r="J78" i="13"/>
  <c r="J75" i="13"/>
  <c r="J61" i="13"/>
  <c r="J62" i="13"/>
  <c r="J63" i="13"/>
  <c r="J60" i="13"/>
  <c r="J54" i="13"/>
  <c r="J55" i="13"/>
  <c r="J56" i="13"/>
  <c r="J57" i="13"/>
  <c r="J53" i="13"/>
  <c r="J44" i="13"/>
  <c r="J45" i="13"/>
  <c r="J46" i="13"/>
  <c r="J47" i="13"/>
  <c r="J48" i="13"/>
  <c r="J49" i="13"/>
  <c r="J50" i="13"/>
  <c r="J43" i="13"/>
  <c r="D5" i="13"/>
  <c r="E5" i="13"/>
  <c r="F5" i="13"/>
  <c r="G5" i="13"/>
  <c r="H5" i="13"/>
  <c r="I5" i="13"/>
  <c r="C5" i="13"/>
  <c r="D149" i="11"/>
  <c r="D145" i="11"/>
  <c r="E145" i="11"/>
  <c r="F145" i="11"/>
  <c r="G145" i="11"/>
  <c r="H145" i="11"/>
  <c r="I145" i="11"/>
  <c r="C145" i="11"/>
  <c r="F119" i="11"/>
  <c r="H96" i="11"/>
  <c r="F96" i="11"/>
  <c r="H93" i="11"/>
  <c r="F93" i="11"/>
  <c r="H90" i="11"/>
  <c r="F90" i="11"/>
  <c r="H87" i="11"/>
  <c r="F87" i="11"/>
  <c r="H61" i="11"/>
  <c r="G61" i="11"/>
  <c r="F61" i="11"/>
  <c r="E61" i="11"/>
  <c r="E32" i="11"/>
  <c r="F5" i="11"/>
  <c r="G5" i="11"/>
  <c r="H5" i="11"/>
  <c r="E5" i="11"/>
  <c r="E104" i="10" l="1"/>
  <c r="F104" i="10" s="1"/>
  <c r="G82" i="10"/>
  <c r="G83" i="10"/>
  <c r="G84" i="10"/>
  <c r="G85" i="10"/>
  <c r="G86" i="10"/>
  <c r="G87" i="10"/>
  <c r="G88" i="10"/>
  <c r="G89" i="10"/>
  <c r="G90" i="10"/>
  <c r="G91" i="10"/>
  <c r="G92" i="10"/>
  <c r="G93" i="10"/>
  <c r="G81" i="10"/>
  <c r="H57" i="10"/>
  <c r="H58" i="10"/>
  <c r="H59" i="10"/>
  <c r="H60" i="10"/>
  <c r="H61" i="10"/>
  <c r="H62" i="10"/>
  <c r="H63" i="10"/>
  <c r="H64" i="10"/>
  <c r="H65" i="10"/>
  <c r="H66" i="10"/>
  <c r="H56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31" i="10"/>
  <c r="H9" i="10"/>
  <c r="H8" i="10"/>
  <c r="H7" i="10"/>
  <c r="H6" i="10"/>
  <c r="H5" i="10"/>
  <c r="H4" i="10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33" i="9"/>
  <c r="AH4" i="9"/>
  <c r="AG4" i="9"/>
  <c r="AF4" i="9"/>
  <c r="AE4" i="9"/>
  <c r="AD4" i="9"/>
  <c r="AC4" i="9"/>
  <c r="I8" i="8"/>
  <c r="I7" i="8"/>
  <c r="I6" i="8"/>
  <c r="I5" i="8"/>
  <c r="I4" i="8"/>
  <c r="G4" i="7"/>
  <c r="F4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5" i="6"/>
  <c r="J9" i="4" l="1"/>
  <c r="J10" i="4"/>
  <c r="J11" i="4"/>
  <c r="J12" i="4"/>
  <c r="J8" i="4"/>
  <c r="I9" i="4"/>
  <c r="I10" i="4"/>
  <c r="I11" i="4"/>
  <c r="I12" i="4"/>
  <c r="I8" i="4"/>
  <c r="J20" i="3"/>
  <c r="J21" i="3"/>
  <c r="J22" i="3"/>
  <c r="J23" i="3"/>
  <c r="J19" i="3"/>
  <c r="K7" i="3"/>
  <c r="K8" i="3"/>
  <c r="K9" i="3"/>
  <c r="K6" i="3"/>
  <c r="K5" i="3"/>
  <c r="G4" i="2"/>
  <c r="G6" i="2"/>
  <c r="G7" i="2" s="1"/>
  <c r="G8" i="2" s="1"/>
  <c r="G5" i="2"/>
  <c r="I6" i="5"/>
  <c r="I7" i="5" s="1"/>
  <c r="I5" i="5"/>
  <c r="I10" i="5" l="1"/>
  <c r="I9" i="5"/>
  <c r="I8" i="5"/>
  <c r="G80" i="14"/>
  <c r="G81" i="14"/>
  <c r="G82" i="14"/>
  <c r="G83" i="14"/>
  <c r="G84" i="14"/>
  <c r="G85" i="14"/>
  <c r="G79" i="14"/>
  <c r="H34" i="7" l="1"/>
  <c r="H33" i="7"/>
  <c r="H32" i="7"/>
  <c r="H29" i="7"/>
  <c r="H28" i="7"/>
  <c r="H27" i="7"/>
  <c r="G88" i="13" l="1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41" i="13"/>
  <c r="J32" i="10" l="1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31" i="10"/>
</calcChain>
</file>

<file path=xl/sharedStrings.xml><?xml version="1.0" encoding="utf-8"?>
<sst xmlns="http://schemas.openxmlformats.org/spreadsheetml/2006/main" count="1334" uniqueCount="432">
  <si>
    <t>SOMA()</t>
  </si>
  <si>
    <t>MÍNIMO()</t>
  </si>
  <si>
    <t>MÁXIMO()</t>
  </si>
  <si>
    <t>MÉDIA()</t>
  </si>
  <si>
    <t>DATA()</t>
  </si>
  <si>
    <t>MAIÚSCULA()</t>
  </si>
  <si>
    <t>MINÚSCULA()</t>
  </si>
  <si>
    <t>MAIOR()</t>
  </si>
  <si>
    <t>MENOR()</t>
  </si>
  <si>
    <t>MOD()</t>
  </si>
  <si>
    <t>CONTAR.VAZIO()</t>
  </si>
  <si>
    <t>SE()</t>
  </si>
  <si>
    <t>CONT.SE()</t>
  </si>
  <si>
    <t>SOMASE()</t>
  </si>
  <si>
    <t>PROCV()</t>
  </si>
  <si>
    <t>1ª parcela</t>
  </si>
  <si>
    <t>2ª parcela</t>
  </si>
  <si>
    <t>3ª parcela</t>
  </si>
  <si>
    <t>4ª parcela</t>
  </si>
  <si>
    <t>5ª parcela</t>
  </si>
  <si>
    <t>Data para pagamento das parcelas</t>
  </si>
  <si>
    <t>Voos Agendados</t>
  </si>
  <si>
    <t>Embarque</t>
  </si>
  <si>
    <t>Desembarque</t>
  </si>
  <si>
    <t>Dias</t>
  </si>
  <si>
    <t>Nº de Dias Comprados</t>
  </si>
  <si>
    <t>Agência de Turismo</t>
  </si>
  <si>
    <t>Ida</t>
  </si>
  <si>
    <t>Volta</t>
  </si>
  <si>
    <t>Controle de Pagamento de Funcionários</t>
  </si>
  <si>
    <t>Funcionário</t>
  </si>
  <si>
    <t>Data Pagto</t>
  </si>
  <si>
    <t>Dias p/ Pagamento</t>
  </si>
  <si>
    <t>Dia da Semana</t>
  </si>
  <si>
    <t>Maria</t>
  </si>
  <si>
    <t>João</t>
  </si>
  <si>
    <t>Marcos</t>
  </si>
  <si>
    <t>José</t>
  </si>
  <si>
    <t>Sebastião</t>
  </si>
  <si>
    <t>Data atual:</t>
  </si>
  <si>
    <t>HOJE()</t>
  </si>
  <si>
    <t>DIAS360()</t>
  </si>
  <si>
    <t>DIA.DA.SEMANA()</t>
  </si>
  <si>
    <t>PRINCIPAIS FÓRMULAS</t>
  </si>
  <si>
    <t>CONT.NÚM()</t>
  </si>
  <si>
    <t>Funções</t>
  </si>
  <si>
    <t>Exemplos</t>
  </si>
  <si>
    <t>DIA()</t>
  </si>
  <si>
    <t>MÊS()</t>
  </si>
  <si>
    <t>SEMANA</t>
  </si>
  <si>
    <t>MÊS</t>
  </si>
  <si>
    <t>DIA</t>
  </si>
  <si>
    <t>HOJE</t>
  </si>
  <si>
    <t>DATA</t>
  </si>
  <si>
    <t>Exemplo 1 - Principais funções da categoria Data</t>
  </si>
  <si>
    <t>Exemplo 5 - Aplicando as funções HOJE(), DIAS360() e DIA.DA.SEMANA()</t>
  </si>
  <si>
    <t>Exemplo 3 - Subtração em Datas</t>
  </si>
  <si>
    <t>Exemplo 4 - Adição em Datas</t>
  </si>
  <si>
    <t>Exemplo 2 - Aplicando as funções DATA() e DATAM()</t>
  </si>
  <si>
    <t>ANO()</t>
  </si>
  <si>
    <t>ANO</t>
  </si>
  <si>
    <t>Exemplo 6 - Aplicando as funções MAIÚSCULA(), MINÚSCULA e PRI.MAIÚSCULA()</t>
  </si>
  <si>
    <t>Nome</t>
  </si>
  <si>
    <t>Sobrenome</t>
  </si>
  <si>
    <t>das Graças</t>
  </si>
  <si>
    <t>Silva</t>
  </si>
  <si>
    <t>Rubens Filho</t>
  </si>
  <si>
    <t>Marcondes</t>
  </si>
  <si>
    <t>Souza</t>
  </si>
  <si>
    <t>Nome Maiúsculo</t>
  </si>
  <si>
    <t>Nome Minúsculo</t>
  </si>
  <si>
    <t>Nome Inicial Maiúsculo</t>
  </si>
  <si>
    <t>Exemplo 7 - Funções MAIOR() e MENOR()</t>
  </si>
  <si>
    <t>Data mais Distante</t>
  </si>
  <si>
    <t>Data mais Próxima</t>
  </si>
  <si>
    <t>Aline</t>
  </si>
  <si>
    <t>Michele</t>
  </si>
  <si>
    <t>Rodrigo</t>
  </si>
  <si>
    <t>Bruno</t>
  </si>
  <si>
    <t>Carlos</t>
  </si>
  <si>
    <t>Daniela</t>
  </si>
  <si>
    <t>Erico</t>
  </si>
  <si>
    <t>Fabiana</t>
  </si>
  <si>
    <t>Gabriel</t>
  </si>
  <si>
    <t>Helena</t>
  </si>
  <si>
    <t>Leandro</t>
  </si>
  <si>
    <t>Fernandes</t>
  </si>
  <si>
    <t>Braga</t>
  </si>
  <si>
    <t>Cardoso</t>
  </si>
  <si>
    <t>Almeida</t>
  </si>
  <si>
    <t>Pereira</t>
  </si>
  <si>
    <t>Garcia</t>
  </si>
  <si>
    <t>Moura</t>
  </si>
  <si>
    <t>Fidalgo</t>
  </si>
  <si>
    <t>Menezes</t>
  </si>
  <si>
    <t>Flavio</t>
  </si>
  <si>
    <t>Mendonça</t>
  </si>
  <si>
    <t>Albuquerque</t>
  </si>
  <si>
    <t>Alunos</t>
  </si>
  <si>
    <t>Médias</t>
  </si>
  <si>
    <t>Ranking das melhores médias</t>
  </si>
  <si>
    <t>Ranking das piores médias</t>
  </si>
  <si>
    <t>1º Lugar</t>
  </si>
  <si>
    <t>2º Lugar</t>
  </si>
  <si>
    <t>3º Lugar</t>
  </si>
  <si>
    <t>Exemplo 8 - Função MOD()</t>
  </si>
  <si>
    <t>Valor 1 (Dividendo)</t>
  </si>
  <si>
    <t>Valor 2 (Divisor)</t>
  </si>
  <si>
    <t>Qual é o resto desta Divisão?</t>
  </si>
  <si>
    <t>Exemplo 9 - Função CONTAR.VAZIO()</t>
  </si>
  <si>
    <t>Lista de Presença</t>
  </si>
  <si>
    <t>Faltas</t>
  </si>
  <si>
    <t>x</t>
  </si>
  <si>
    <t>Aula 01</t>
  </si>
  <si>
    <t>Aula 02</t>
  </si>
  <si>
    <t>Aula 03</t>
  </si>
  <si>
    <t>Aula 04</t>
  </si>
  <si>
    <t>Aula 05</t>
  </si>
  <si>
    <t>Aula 06</t>
  </si>
  <si>
    <t>Aula 07</t>
  </si>
  <si>
    <t>Aula 08</t>
  </si>
  <si>
    <t>Aula 09</t>
  </si>
  <si>
    <t>Aula 10</t>
  </si>
  <si>
    <t>Aula 11</t>
  </si>
  <si>
    <t>Aula 12</t>
  </si>
  <si>
    <t>Aula 13</t>
  </si>
  <si>
    <t>Aula 14</t>
  </si>
  <si>
    <t>Aula 15</t>
  </si>
  <si>
    <t>Aula 16</t>
  </si>
  <si>
    <t>Vendedor</t>
  </si>
  <si>
    <t>Total</t>
  </si>
  <si>
    <t>Data</t>
  </si>
  <si>
    <t>Mais Exemplos da função CONTAR.VAZIO()</t>
  </si>
  <si>
    <t>Mais Exemplos da função MAIOR() e MENOR()</t>
  </si>
  <si>
    <t>Cidade/UF</t>
  </si>
  <si>
    <t>CPF</t>
  </si>
  <si>
    <t>Data Aniversário</t>
  </si>
  <si>
    <t>São Paulo/SP</t>
  </si>
  <si>
    <t>Rio de Janeiro/RJ</t>
  </si>
  <si>
    <t>Belo Horizonte/BH</t>
  </si>
  <si>
    <t>Curitiba/PR</t>
  </si>
  <si>
    <t>Goiania/GO</t>
  </si>
  <si>
    <t>Campinas/SP</t>
  </si>
  <si>
    <t>Ribeirão Preto/SP</t>
  </si>
  <si>
    <t>Sorocaba/SP</t>
  </si>
  <si>
    <t>Salvador/BA</t>
  </si>
  <si>
    <t>Recife/PE</t>
  </si>
  <si>
    <t>Florianópolis/SC</t>
  </si>
  <si>
    <t>Telefone</t>
  </si>
  <si>
    <t>Data de Cadastro</t>
  </si>
  <si>
    <t>(11) 91234-4567</t>
  </si>
  <si>
    <t>(21) 1234-4567</t>
  </si>
  <si>
    <t>(31) 1234-5678</t>
  </si>
  <si>
    <t>(41) 1234-5678</t>
  </si>
  <si>
    <t>(62) 1234-5678</t>
  </si>
  <si>
    <t>(19) 1234-5678</t>
  </si>
  <si>
    <t>(16) 1234-5678</t>
  </si>
  <si>
    <t>(15) 1234-5678</t>
  </si>
  <si>
    <t>(81) 1234-5678</t>
  </si>
  <si>
    <t>(71) 1234-5678</t>
  </si>
  <si>
    <t>(48) 1234-5678</t>
  </si>
  <si>
    <t>447.141.372-47</t>
  </si>
  <si>
    <t>854.583.245-10</t>
  </si>
  <si>
    <t>883.717.447-06</t>
  </si>
  <si>
    <t>721.893.546-09</t>
  </si>
  <si>
    <t>687.646.920-43</t>
  </si>
  <si>
    <t>924.713.764-01</t>
  </si>
  <si>
    <t>916.623.123-00</t>
  </si>
  <si>
    <t>537.346.523-24</t>
  </si>
  <si>
    <t>948.483.546-50</t>
  </si>
  <si>
    <t>237.559.445-29</t>
  </si>
  <si>
    <t>814.318.372-61</t>
  </si>
  <si>
    <t>Exemplo 10 - Função SE()</t>
  </si>
  <si>
    <t>1º Bim</t>
  </si>
  <si>
    <t>2º Bim</t>
  </si>
  <si>
    <t>3º Bim</t>
  </si>
  <si>
    <t>4º Bim</t>
  </si>
  <si>
    <t>Média</t>
  </si>
  <si>
    <t>Status</t>
  </si>
  <si>
    <t>Sinais</t>
  </si>
  <si>
    <t>Condição</t>
  </si>
  <si>
    <t>&gt;</t>
  </si>
  <si>
    <t>&lt;</t>
  </si>
  <si>
    <t>&lt;&gt;</t>
  </si>
  <si>
    <t>Descomplicando as Principais Funções do Excel</t>
  </si>
  <si>
    <t>Principais Sinais para Condição</t>
  </si>
  <si>
    <t>&gt;=</t>
  </si>
  <si>
    <t>&lt;=</t>
  </si>
  <si>
    <t>=</t>
  </si>
  <si>
    <t>Maior que</t>
  </si>
  <si>
    <t>Menor que</t>
  </si>
  <si>
    <t>Diferente</t>
  </si>
  <si>
    <t>Maior e igual a</t>
  </si>
  <si>
    <t>Menor e igual a</t>
  </si>
  <si>
    <t>Igual a</t>
  </si>
  <si>
    <t>Turma A - Período Manhã</t>
  </si>
  <si>
    <t>Mais Exemplos da função SE()</t>
  </si>
  <si>
    <t>Regras</t>
  </si>
  <si>
    <t>Resultado</t>
  </si>
  <si>
    <t>Aprovado</t>
  </si>
  <si>
    <t>Média maior ou igual a 7</t>
  </si>
  <si>
    <t>Média menor que 7</t>
  </si>
  <si>
    <t>Reprovado</t>
  </si>
  <si>
    <t>Valor 1</t>
  </si>
  <si>
    <t>Valor 2</t>
  </si>
  <si>
    <t xml:space="preserve">Menor que </t>
  </si>
  <si>
    <t>É igual a</t>
  </si>
  <si>
    <t>Planos Empresariais</t>
  </si>
  <si>
    <t>Clientes</t>
  </si>
  <si>
    <t>Valor</t>
  </si>
  <si>
    <t>Planos</t>
  </si>
  <si>
    <t>Valor com Desconto</t>
  </si>
  <si>
    <t>Econômico</t>
  </si>
  <si>
    <t>Premium</t>
  </si>
  <si>
    <t>Prata</t>
  </si>
  <si>
    <t>Nenhum Desc.</t>
  </si>
  <si>
    <r>
      <t xml:space="preserve">Desconto </t>
    </r>
    <r>
      <rPr>
        <b/>
        <sz val="14"/>
        <color theme="1"/>
        <rFont val="Calibri"/>
        <family val="2"/>
        <scheme val="minor"/>
      </rPr>
      <t>10%</t>
    </r>
  </si>
  <si>
    <r>
      <t xml:space="preserve">Desconto </t>
    </r>
    <r>
      <rPr>
        <b/>
        <sz val="14"/>
        <color theme="1"/>
        <rFont val="Calibri"/>
        <family val="2"/>
        <scheme val="minor"/>
      </rPr>
      <t>5%</t>
    </r>
  </si>
  <si>
    <t>Controle de Vendas</t>
  </si>
  <si>
    <t>Vendedores</t>
  </si>
  <si>
    <t>Vendas</t>
  </si>
  <si>
    <t>Status da Meta</t>
  </si>
  <si>
    <t>Meta</t>
  </si>
  <si>
    <t>Meta atingida</t>
  </si>
  <si>
    <t>Meta não atingida</t>
  </si>
  <si>
    <t>Meta maior ou igual</t>
  </si>
  <si>
    <t>Meta menor ou igual</t>
  </si>
  <si>
    <t>Rogério</t>
  </si>
  <si>
    <t>Marcelo</t>
  </si>
  <si>
    <t>Eduardo</t>
  </si>
  <si>
    <t>Mônica</t>
  </si>
  <si>
    <t>Tiago</t>
  </si>
  <si>
    <t>Mariana</t>
  </si>
  <si>
    <t>Patrícia</t>
  </si>
  <si>
    <t>Jorge</t>
  </si>
  <si>
    <t>Lais</t>
  </si>
  <si>
    <t>Vagner</t>
  </si>
  <si>
    <t>Clóvis</t>
  </si>
  <si>
    <t>Débora</t>
  </si>
  <si>
    <t xml:space="preserve">Cód. </t>
  </si>
  <si>
    <t>Exemplo Ranking</t>
  </si>
  <si>
    <t>Modelo Educacional</t>
  </si>
  <si>
    <t>Modelo Comercial</t>
  </si>
  <si>
    <t>Modelo Tratamento de Datas</t>
  </si>
  <si>
    <t>Funcionários</t>
  </si>
  <si>
    <t>Departamentos</t>
  </si>
  <si>
    <t>Salários</t>
  </si>
  <si>
    <t>Tempo na Empresa</t>
  </si>
  <si>
    <t>Folha de Pagamento</t>
  </si>
  <si>
    <t>ADM</t>
  </si>
  <si>
    <t>FINANCEIRO</t>
  </si>
  <si>
    <t>RH</t>
  </si>
  <si>
    <t>Monica</t>
  </si>
  <si>
    <t>MARKETING</t>
  </si>
  <si>
    <t>JURÍDICO</t>
  </si>
  <si>
    <t>COMPRAS</t>
  </si>
  <si>
    <t>OPERACIONAL</t>
  </si>
  <si>
    <t>Ana</t>
  </si>
  <si>
    <t>TOTAL DE SALÁRIOS POR DEPARTAMENTO</t>
  </si>
  <si>
    <t>Exemplo 11 - Funções CONT.SE() e CONT.SES()</t>
  </si>
  <si>
    <t>Exemplo 12 - Funções SOMASE() e SOMASES()</t>
  </si>
  <si>
    <t>Idade</t>
  </si>
  <si>
    <t>Fase</t>
  </si>
  <si>
    <t>Adulto</t>
  </si>
  <si>
    <t>Adolescente</t>
  </si>
  <si>
    <t>Criança</t>
  </si>
  <si>
    <t>Mais Exemplos da função CONT.SE()</t>
  </si>
  <si>
    <t>Idoso</t>
  </si>
  <si>
    <t>0 - 11 anos</t>
  </si>
  <si>
    <t>12 - 17 anos</t>
  </si>
  <si>
    <t>18 - 64 anos</t>
  </si>
  <si>
    <t>65 anos ou mais</t>
  </si>
  <si>
    <t>Modelo Classificação de Idades</t>
  </si>
  <si>
    <t>Total de pessoas em cada Fase da vida</t>
  </si>
  <si>
    <t>Total de pessoas em cada Idade</t>
  </si>
  <si>
    <t>Exemplo da função CONT.SES()</t>
  </si>
  <si>
    <t>Modelo Folha de Pagamento</t>
  </si>
  <si>
    <t>Loja</t>
  </si>
  <si>
    <t>Nº de vezes</t>
  </si>
  <si>
    <t>Vendas de Novembro</t>
  </si>
  <si>
    <t>Loja 1</t>
  </si>
  <si>
    <t>Loja 2</t>
  </si>
  <si>
    <t>Dia</t>
  </si>
  <si>
    <t>Mais Exemplos da função CONT.SES()</t>
  </si>
  <si>
    <t>Nome Completo</t>
  </si>
  <si>
    <t>Maria da Silva</t>
  </si>
  <si>
    <t>João Barbosa Silva</t>
  </si>
  <si>
    <t>Marcos Augusto Souza</t>
  </si>
  <si>
    <t>José Maurício Filho</t>
  </si>
  <si>
    <t>Sebastião Cardoso Alves</t>
  </si>
  <si>
    <t>Aline Marcondes Souza</t>
  </si>
  <si>
    <t>Michele Almeida Silva</t>
  </si>
  <si>
    <t>Rodrigo Antônio Filho</t>
  </si>
  <si>
    <t>Bruno Figueiredo de Souza</t>
  </si>
  <si>
    <t>Carlos Novaes</t>
  </si>
  <si>
    <t>Daniela Gonçalves da Cruz</t>
  </si>
  <si>
    <t>Maria das Graças</t>
  </si>
  <si>
    <t>João Pedro Bosso</t>
  </si>
  <si>
    <t>Marcos Aguiar</t>
  </si>
  <si>
    <t>José Benedito Filho</t>
  </si>
  <si>
    <t>Sebastião Almeida Alves</t>
  </si>
  <si>
    <t>Aline Tavares</t>
  </si>
  <si>
    <t>Michele Vilas Boas</t>
  </si>
  <si>
    <t>Rodrigo Fontes</t>
  </si>
  <si>
    <t>Bruno Novaes</t>
  </si>
  <si>
    <t>Carlos Alves Filho</t>
  </si>
  <si>
    <t>Daniela Souza da Cruz</t>
  </si>
  <si>
    <t>Quantos alunos tem o nome ou sobrenome SILVA?</t>
  </si>
  <si>
    <t>Sexo</t>
  </si>
  <si>
    <t>F</t>
  </si>
  <si>
    <t>M</t>
  </si>
  <si>
    <t>Total de Crianças (Masculino)</t>
  </si>
  <si>
    <t>Total de Crianças (Feminino)</t>
  </si>
  <si>
    <t>Total de Adolescentes (Masculino)</t>
  </si>
  <si>
    <t>Total de Adolescentes (Feminino)</t>
  </si>
  <si>
    <t>Total de Adultos (Masculino)</t>
  </si>
  <si>
    <t>Total de Adultos (Feminino)</t>
  </si>
  <si>
    <t>Total de Idosos (Masculino)</t>
  </si>
  <si>
    <t>Total de Idosos (Feminino)</t>
  </si>
  <si>
    <t>Modelo Comparativo</t>
  </si>
  <si>
    <t>Exemplo das funções CONT.SE() e CONT.SES()</t>
  </si>
  <si>
    <r>
      <t>Modelo Localizaç</t>
    </r>
    <r>
      <rPr>
        <sz val="20"/>
        <color theme="0" tint="-0.14999847407452621"/>
        <rFont val="Calibri Light"/>
        <family val="2"/>
        <scheme val="major"/>
      </rPr>
      <t>ã</t>
    </r>
    <r>
      <rPr>
        <sz val="20"/>
        <color theme="0" tint="-0.14999847407452621"/>
        <rFont val="Adobe Fangsong Std R"/>
        <family val="1"/>
        <charset val="128"/>
      </rPr>
      <t>o de Textos</t>
    </r>
  </si>
  <si>
    <t>Nº de Funcionários por Departamento</t>
  </si>
  <si>
    <t>Mais Exemplos da função SOMASE()</t>
  </si>
  <si>
    <t>Produto</t>
  </si>
  <si>
    <t>Região</t>
  </si>
  <si>
    <t>Quant. Vendida</t>
  </si>
  <si>
    <t>Valor Unitário</t>
  </si>
  <si>
    <t>Loja Apple</t>
  </si>
  <si>
    <t>iPhone</t>
  </si>
  <si>
    <t>iPad</t>
  </si>
  <si>
    <t>Macbook Pro</t>
  </si>
  <si>
    <t>Macbook Air</t>
  </si>
  <si>
    <t>Sudeste</t>
  </si>
  <si>
    <t>Nordeste</t>
  </si>
  <si>
    <t>Centro-Oeste</t>
  </si>
  <si>
    <t>Norte</t>
  </si>
  <si>
    <t>Sul</t>
  </si>
  <si>
    <t>Total Vendido</t>
  </si>
  <si>
    <t>Por vendedores</t>
  </si>
  <si>
    <t>Por região</t>
  </si>
  <si>
    <t>Por produto</t>
  </si>
  <si>
    <t>Total vendas</t>
  </si>
  <si>
    <t>Qual o nº de vezes que o Vendedor fez uma venda em cada Loja?</t>
  </si>
  <si>
    <t>Exemplo da função SOMASES()</t>
  </si>
  <si>
    <t>Total de Vendas</t>
  </si>
  <si>
    <t>Digite o nome:</t>
  </si>
  <si>
    <t>Por produtos x total de vendas</t>
  </si>
  <si>
    <t>Por região x total de vendas</t>
  </si>
  <si>
    <t>Por região x quant. vendida</t>
  </si>
  <si>
    <t>Exemplo 13 - Função PROCV()</t>
  </si>
  <si>
    <t>Endereço</t>
  </si>
  <si>
    <t>Cidade</t>
  </si>
  <si>
    <t>UF</t>
  </si>
  <si>
    <t>E-mail</t>
  </si>
  <si>
    <t>Rua Dr. Eduardo de Souza, 100</t>
  </si>
  <si>
    <t>Av. Brasília, 1234</t>
  </si>
  <si>
    <t>Tv. Geraldo Moura, 50</t>
  </si>
  <si>
    <t>Av. Jorge Tibiriçá, 500</t>
  </si>
  <si>
    <t>Rua Marcondes de Aguiar, sn</t>
  </si>
  <si>
    <t>Av. Tancredo Neves, 2000</t>
  </si>
  <si>
    <t>Av. Carlos Albuquerque, 6000</t>
  </si>
  <si>
    <t>Rua Floriano Peixoto, 78</t>
  </si>
  <si>
    <t>Rua Maria da Glória, 33</t>
  </si>
  <si>
    <t>Av. Dom Pedro, 1500</t>
  </si>
  <si>
    <t>Sorocaba</t>
  </si>
  <si>
    <t>SP</t>
  </si>
  <si>
    <t>mariadasdores@hotmail.com</t>
  </si>
  <si>
    <t>Campinas</t>
  </si>
  <si>
    <t>joao_arantes@gmail.com</t>
  </si>
  <si>
    <t>Belo Horizonte</t>
  </si>
  <si>
    <t>MG</t>
  </si>
  <si>
    <t>marcossilva@ibest.com</t>
  </si>
  <si>
    <t>Curitiba</t>
  </si>
  <si>
    <t>PR</t>
  </si>
  <si>
    <t>josefelix@yahoo.com.br</t>
  </si>
  <si>
    <t>Salvador</t>
  </si>
  <si>
    <t>BA</t>
  </si>
  <si>
    <t>tiao1977@hotmail.com</t>
  </si>
  <si>
    <t>São Paulo</t>
  </si>
  <si>
    <t>(11) 1234-5678</t>
  </si>
  <si>
    <t>aline_alonso@gmail.com</t>
  </si>
  <si>
    <t>Recife</t>
  </si>
  <si>
    <t>PE</t>
  </si>
  <si>
    <t>michelescarpin@itau.com.br</t>
  </si>
  <si>
    <t>Rio de Janeiro</t>
  </si>
  <si>
    <t>RJ</t>
  </si>
  <si>
    <t>(21) 1234-5678</t>
  </si>
  <si>
    <t>rodrigoarantes@bb.com.br</t>
  </si>
  <si>
    <t>Florianópolis</t>
  </si>
  <si>
    <t>SC</t>
  </si>
  <si>
    <t>bruno-costa121@hotmail.com</t>
  </si>
  <si>
    <t>Goiania</t>
  </si>
  <si>
    <t>GO</t>
  </si>
  <si>
    <t>carlos.silva@gmail.com</t>
  </si>
  <si>
    <t>Consulta Rápida</t>
  </si>
  <si>
    <t>Cliente:</t>
  </si>
  <si>
    <t>Telefone:</t>
  </si>
  <si>
    <t>E-mail:</t>
  </si>
  <si>
    <t>Mais Exemplos da função PROCV()</t>
  </si>
  <si>
    <t>Cidade:</t>
  </si>
  <si>
    <t>Fabrício</t>
  </si>
  <si>
    <t>Alencar</t>
  </si>
  <si>
    <t>Tatiane</t>
  </si>
  <si>
    <t>Felipe</t>
  </si>
  <si>
    <t>Juliana</t>
  </si>
  <si>
    <t>Venda Realizada</t>
  </si>
  <si>
    <t>Comissão (R$)</t>
  </si>
  <si>
    <t>Tabela de Comissionamento</t>
  </si>
  <si>
    <t>Meta de vendas</t>
  </si>
  <si>
    <t>Comissão (%)</t>
  </si>
  <si>
    <t>Cód.</t>
  </si>
  <si>
    <t>Valor pago</t>
  </si>
  <si>
    <t>Cód.:</t>
  </si>
  <si>
    <t>Nome:</t>
  </si>
  <si>
    <t>Valor:</t>
  </si>
  <si>
    <t>Salário</t>
  </si>
  <si>
    <t>INSS</t>
  </si>
  <si>
    <t>Salário Líquido</t>
  </si>
  <si>
    <t>De</t>
  </si>
  <si>
    <t>Até</t>
  </si>
  <si>
    <t>Salário de Contribuição (R$)</t>
  </si>
  <si>
    <t>Alíquota para fins de recolhimento ao INSS (%)</t>
  </si>
  <si>
    <t>maria</t>
  </si>
  <si>
    <t>Cliente</t>
  </si>
  <si>
    <t>Data de Aniversário</t>
  </si>
  <si>
    <t>Tel</t>
  </si>
  <si>
    <t>Cidade UF</t>
  </si>
  <si>
    <t>Bônus de Triênio</t>
  </si>
  <si>
    <t>Nº funcionários possuem mais 3 anos de tempo de empresa e o salário seja acima de R$2.000?</t>
  </si>
  <si>
    <t>Por Produto x quant. vendida</t>
  </si>
  <si>
    <t>Vendas Individuais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</si>
</sst>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[$-416]d\-mmm;@"/>
    <numFmt numFmtId="166" formatCode="0.0%"/>
    <numFmt numFmtId="167" formatCode="00000"/>
    <numFmt numFmtId="168" formatCode="&quot;R$&quot;\ #,##0.00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0" tint="-0.14999847407452621"/>
      <name val="Adobe Fangsong Std R"/>
      <family val="1"/>
      <charset val="128"/>
    </font>
    <font>
      <sz val="28"/>
      <color theme="0" tint="-0.14999847407452621"/>
      <name val="Adobe Fangsong Std R"/>
      <family val="1"/>
      <charset val="128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0" tint="-0.14999847407452621"/>
      <name val="Adobe Fangsong Std R"/>
      <family val="1"/>
      <charset val="128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0" tint="-0.14999847407452621"/>
      <name val="Calibri Light"/>
      <family val="2"/>
      <scheme val="major"/>
    </font>
    <font>
      <sz val="2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97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7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14" fontId="4" fillId="0" borderId="0" xfId="0" applyNumberFormat="1" applyFont="1" applyBorder="1" applyAlignment="1">
      <alignment horizontal="center"/>
    </xf>
    <xf numFmtId="14" fontId="0" fillId="0" borderId="0" xfId="0" applyNumberFormat="1"/>
    <xf numFmtId="0" fontId="6" fillId="0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8" fillId="2" borderId="0" xfId="0" applyFont="1" applyFill="1" applyAlignment="1"/>
    <xf numFmtId="0" fontId="0" fillId="2" borderId="0" xfId="0" applyFill="1"/>
    <xf numFmtId="0" fontId="9" fillId="2" borderId="0" xfId="0" applyFont="1" applyFill="1" applyAlignment="1">
      <alignment vertical="center"/>
    </xf>
    <xf numFmtId="14" fontId="4" fillId="0" borderId="13" xfId="0" applyNumberFormat="1" applyFont="1" applyBorder="1" applyAlignment="1">
      <alignment horizontal="left"/>
    </xf>
    <xf numFmtId="14" fontId="4" fillId="0" borderId="6" xfId="0" applyNumberFormat="1" applyFont="1" applyBorder="1" applyAlignment="1">
      <alignment horizontal="left"/>
    </xf>
    <xf numFmtId="14" fontId="4" fillId="0" borderId="15" xfId="0" applyNumberFormat="1" applyFont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11" fillId="3" borderId="18" xfId="0" applyFont="1" applyFill="1" applyBorder="1" applyAlignment="1">
      <alignment horizontal="right"/>
    </xf>
    <xf numFmtId="0" fontId="0" fillId="0" borderId="1" xfId="0" applyFont="1" applyBorder="1"/>
    <xf numFmtId="0" fontId="3" fillId="0" borderId="1" xfId="0" applyFont="1" applyBorder="1" applyAlignment="1">
      <alignment horizontal="left" vertical="center" indent="1"/>
    </xf>
    <xf numFmtId="14" fontId="5" fillId="0" borderId="19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 indent="1"/>
    </xf>
    <xf numFmtId="0" fontId="13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indent="1"/>
    </xf>
    <xf numFmtId="0" fontId="1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indent="1"/>
    </xf>
    <xf numFmtId="164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indent="1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/>
    <xf numFmtId="14" fontId="1" fillId="0" borderId="0" xfId="0" applyNumberFormat="1" applyFont="1" applyBorder="1" applyAlignment="1">
      <alignment horizontal="left" indent="1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14" fontId="0" fillId="0" borderId="0" xfId="0" applyNumberFormat="1" applyBorder="1" applyAlignment="1">
      <alignment horizont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/>
    <xf numFmtId="44" fontId="4" fillId="0" borderId="1" xfId="0" applyNumberFormat="1" applyFont="1" applyBorder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0" fillId="5" borderId="0" xfId="0" applyFill="1"/>
    <xf numFmtId="0" fontId="18" fillId="5" borderId="0" xfId="0" applyFont="1" applyFill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0" fontId="19" fillId="3" borderId="1" xfId="0" applyFont="1" applyFill="1" applyBorder="1" applyAlignment="1">
      <alignment horizontal="center" vertical="center"/>
    </xf>
    <xf numFmtId="44" fontId="16" fillId="0" borderId="1" xfId="0" applyNumberFormat="1" applyFont="1" applyBorder="1" applyAlignment="1">
      <alignment horizontal="center" vertical="center"/>
    </xf>
    <xf numFmtId="0" fontId="18" fillId="5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indent="1"/>
    </xf>
    <xf numFmtId="0" fontId="18" fillId="5" borderId="0" xfId="0" applyFont="1" applyFill="1" applyAlignment="1">
      <alignment horizontal="left" vertical="center" indent="1"/>
    </xf>
    <xf numFmtId="14" fontId="4" fillId="0" borderId="0" xfId="0" applyNumberFormat="1" applyFont="1" applyBorder="1" applyAlignment="1">
      <alignment horizontal="left" indent="1"/>
    </xf>
    <xf numFmtId="44" fontId="4" fillId="0" borderId="0" xfId="0" applyNumberFormat="1" applyFont="1" applyBorder="1"/>
    <xf numFmtId="0" fontId="4" fillId="0" borderId="0" xfId="0" applyFont="1" applyBorder="1" applyAlignment="1">
      <alignment horizontal="left" indent="1"/>
    </xf>
    <xf numFmtId="4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0" fontId="16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 vertical="center" indent="1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 indent="1"/>
    </xf>
    <xf numFmtId="0" fontId="14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/>
    </xf>
    <xf numFmtId="49" fontId="13" fillId="3" borderId="2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16" fontId="2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indent="1"/>
    </xf>
    <xf numFmtId="0" fontId="6" fillId="3" borderId="1" xfId="0" applyFont="1" applyFill="1" applyBorder="1" applyAlignment="1">
      <alignment horizontal="center" vertical="center"/>
    </xf>
    <xf numFmtId="44" fontId="4" fillId="0" borderId="1" xfId="1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4" fillId="7" borderId="1" xfId="0" applyFont="1" applyFill="1" applyBorder="1" applyAlignment="1"/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indent="1"/>
    </xf>
    <xf numFmtId="166" fontId="4" fillId="0" borderId="1" xfId="2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4" fillId="0" borderId="1" xfId="2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9" borderId="1" xfId="0" applyFont="1" applyFill="1" applyBorder="1" applyAlignment="1">
      <alignment horizontal="left" indent="1"/>
    </xf>
    <xf numFmtId="44" fontId="4" fillId="9" borderId="1" xfId="0" applyNumberFormat="1" applyFont="1" applyFill="1" applyBorder="1" applyAlignment="1">
      <alignment horizontal="left" indent="1"/>
    </xf>
    <xf numFmtId="166" fontId="4" fillId="0" borderId="1" xfId="2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8" fontId="4" fillId="0" borderId="1" xfId="2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inden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 textRotation="255"/>
    </xf>
    <xf numFmtId="0" fontId="6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16" fontId="24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 inden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44" fontId="1" fillId="0" borderId="20" xfId="0" applyNumberFormat="1" applyFont="1" applyBorder="1" applyAlignment="1">
      <alignment horizontal="center" vertical="center"/>
    </xf>
    <xf numFmtId="44" fontId="1" fillId="0" borderId="21" xfId="0" applyNumberFormat="1" applyFont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C00097"/>
      <color rgb="FFC2D1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157162</xdr:colOff>
      <xdr:row>2</xdr:row>
      <xdr:rowOff>19050</xdr:rowOff>
    </xdr:from>
    <xdr:to>
      <xdr:col>6</xdr:col>
      <xdr:colOff>319087</xdr:colOff>
      <xdr:row>2</xdr:row>
      <xdr:rowOff>180975</xdr:rowOff>
    </xdr:to>
    <xdr:pic>
      <xdr:nvPicPr>
        <xdr:cNvPr id="2" name="Imagem 1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1000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3</xdr:row>
      <xdr:rowOff>18596</xdr:rowOff>
    </xdr:from>
    <xdr:to>
      <xdr:col>6</xdr:col>
      <xdr:colOff>319087</xdr:colOff>
      <xdr:row>3</xdr:row>
      <xdr:rowOff>180521</xdr:rowOff>
    </xdr:to>
    <xdr:pic>
      <xdr:nvPicPr>
        <xdr:cNvPr id="3" name="Imagem 2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1199696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4</xdr:row>
      <xdr:rowOff>18142</xdr:rowOff>
    </xdr:from>
    <xdr:to>
      <xdr:col>6</xdr:col>
      <xdr:colOff>319087</xdr:colOff>
      <xdr:row>4</xdr:row>
      <xdr:rowOff>180067</xdr:rowOff>
    </xdr:to>
    <xdr:pic>
      <xdr:nvPicPr>
        <xdr:cNvPr id="4" name="Imagem 3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1399267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5</xdr:row>
      <xdr:rowOff>17688</xdr:rowOff>
    </xdr:from>
    <xdr:to>
      <xdr:col>6</xdr:col>
      <xdr:colOff>319087</xdr:colOff>
      <xdr:row>5</xdr:row>
      <xdr:rowOff>179613</xdr:rowOff>
    </xdr:to>
    <xdr:pic>
      <xdr:nvPicPr>
        <xdr:cNvPr id="5" name="Imagem 4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1598838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6</xdr:row>
      <xdr:rowOff>17234</xdr:rowOff>
    </xdr:from>
    <xdr:to>
      <xdr:col>6</xdr:col>
      <xdr:colOff>319087</xdr:colOff>
      <xdr:row>6</xdr:row>
      <xdr:rowOff>179159</xdr:rowOff>
    </xdr:to>
    <xdr:pic>
      <xdr:nvPicPr>
        <xdr:cNvPr id="6" name="Imagem 5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1798409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7</xdr:row>
      <xdr:rowOff>16780</xdr:rowOff>
    </xdr:from>
    <xdr:to>
      <xdr:col>6</xdr:col>
      <xdr:colOff>319087</xdr:colOff>
      <xdr:row>7</xdr:row>
      <xdr:rowOff>178705</xdr:rowOff>
    </xdr:to>
    <xdr:pic>
      <xdr:nvPicPr>
        <xdr:cNvPr id="7" name="Imagem 6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199798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8</xdr:row>
      <xdr:rowOff>16326</xdr:rowOff>
    </xdr:from>
    <xdr:to>
      <xdr:col>6</xdr:col>
      <xdr:colOff>319087</xdr:colOff>
      <xdr:row>8</xdr:row>
      <xdr:rowOff>178251</xdr:rowOff>
    </xdr:to>
    <xdr:pic>
      <xdr:nvPicPr>
        <xdr:cNvPr id="9" name="Imagem 8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2197551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9</xdr:row>
      <xdr:rowOff>15872</xdr:rowOff>
    </xdr:from>
    <xdr:to>
      <xdr:col>6</xdr:col>
      <xdr:colOff>319087</xdr:colOff>
      <xdr:row>9</xdr:row>
      <xdr:rowOff>177797</xdr:rowOff>
    </xdr:to>
    <xdr:pic>
      <xdr:nvPicPr>
        <xdr:cNvPr id="10" name="Imagem 9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2397122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10</xdr:row>
      <xdr:rowOff>15418</xdr:rowOff>
    </xdr:from>
    <xdr:to>
      <xdr:col>6</xdr:col>
      <xdr:colOff>319087</xdr:colOff>
      <xdr:row>10</xdr:row>
      <xdr:rowOff>177343</xdr:rowOff>
    </xdr:to>
    <xdr:pic>
      <xdr:nvPicPr>
        <xdr:cNvPr id="11" name="Imagem 10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2596693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11</xdr:row>
      <xdr:rowOff>14964</xdr:rowOff>
    </xdr:from>
    <xdr:to>
      <xdr:col>6</xdr:col>
      <xdr:colOff>319087</xdr:colOff>
      <xdr:row>11</xdr:row>
      <xdr:rowOff>176889</xdr:rowOff>
    </xdr:to>
    <xdr:pic>
      <xdr:nvPicPr>
        <xdr:cNvPr id="12" name="Imagem 11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2796264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12</xdr:row>
      <xdr:rowOff>14510</xdr:rowOff>
    </xdr:from>
    <xdr:to>
      <xdr:col>6</xdr:col>
      <xdr:colOff>319087</xdr:colOff>
      <xdr:row>12</xdr:row>
      <xdr:rowOff>176435</xdr:rowOff>
    </xdr:to>
    <xdr:pic>
      <xdr:nvPicPr>
        <xdr:cNvPr id="13" name="Imagem 12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299583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13</xdr:row>
      <xdr:rowOff>14056</xdr:rowOff>
    </xdr:from>
    <xdr:to>
      <xdr:col>6</xdr:col>
      <xdr:colOff>319087</xdr:colOff>
      <xdr:row>13</xdr:row>
      <xdr:rowOff>175981</xdr:rowOff>
    </xdr:to>
    <xdr:pic>
      <xdr:nvPicPr>
        <xdr:cNvPr id="14" name="Imagem 13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3195406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14</xdr:row>
      <xdr:rowOff>13602</xdr:rowOff>
    </xdr:from>
    <xdr:to>
      <xdr:col>6</xdr:col>
      <xdr:colOff>319087</xdr:colOff>
      <xdr:row>14</xdr:row>
      <xdr:rowOff>175527</xdr:rowOff>
    </xdr:to>
    <xdr:pic>
      <xdr:nvPicPr>
        <xdr:cNvPr id="15" name="Imagem 14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3394977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15</xdr:row>
      <xdr:rowOff>13148</xdr:rowOff>
    </xdr:from>
    <xdr:to>
      <xdr:col>6</xdr:col>
      <xdr:colOff>319087</xdr:colOff>
      <xdr:row>15</xdr:row>
      <xdr:rowOff>175073</xdr:rowOff>
    </xdr:to>
    <xdr:pic>
      <xdr:nvPicPr>
        <xdr:cNvPr id="16" name="Imagem 15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3594548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16</xdr:row>
      <xdr:rowOff>12694</xdr:rowOff>
    </xdr:from>
    <xdr:to>
      <xdr:col>6</xdr:col>
      <xdr:colOff>319087</xdr:colOff>
      <xdr:row>16</xdr:row>
      <xdr:rowOff>174619</xdr:rowOff>
    </xdr:to>
    <xdr:pic>
      <xdr:nvPicPr>
        <xdr:cNvPr id="17" name="Imagem 16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3794119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17</xdr:row>
      <xdr:rowOff>12240</xdr:rowOff>
    </xdr:from>
    <xdr:to>
      <xdr:col>6</xdr:col>
      <xdr:colOff>319087</xdr:colOff>
      <xdr:row>17</xdr:row>
      <xdr:rowOff>174165</xdr:rowOff>
    </xdr:to>
    <xdr:pic>
      <xdr:nvPicPr>
        <xdr:cNvPr id="18" name="Imagem 17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399369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18</xdr:row>
      <xdr:rowOff>11786</xdr:rowOff>
    </xdr:from>
    <xdr:to>
      <xdr:col>6</xdr:col>
      <xdr:colOff>319087</xdr:colOff>
      <xdr:row>18</xdr:row>
      <xdr:rowOff>173711</xdr:rowOff>
    </xdr:to>
    <xdr:pic>
      <xdr:nvPicPr>
        <xdr:cNvPr id="19" name="Imagem 18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4193261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19</xdr:row>
      <xdr:rowOff>11332</xdr:rowOff>
    </xdr:from>
    <xdr:to>
      <xdr:col>6</xdr:col>
      <xdr:colOff>319087</xdr:colOff>
      <xdr:row>19</xdr:row>
      <xdr:rowOff>173257</xdr:rowOff>
    </xdr:to>
    <xdr:pic>
      <xdr:nvPicPr>
        <xdr:cNvPr id="20" name="Imagem 19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4392832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20</xdr:row>
      <xdr:rowOff>10878</xdr:rowOff>
    </xdr:from>
    <xdr:to>
      <xdr:col>6</xdr:col>
      <xdr:colOff>319087</xdr:colOff>
      <xdr:row>20</xdr:row>
      <xdr:rowOff>172803</xdr:rowOff>
    </xdr:to>
    <xdr:pic>
      <xdr:nvPicPr>
        <xdr:cNvPr id="21" name="Imagem 20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4592403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21</xdr:row>
      <xdr:rowOff>10424</xdr:rowOff>
    </xdr:from>
    <xdr:to>
      <xdr:col>6</xdr:col>
      <xdr:colOff>319087</xdr:colOff>
      <xdr:row>21</xdr:row>
      <xdr:rowOff>172349</xdr:rowOff>
    </xdr:to>
    <xdr:pic>
      <xdr:nvPicPr>
        <xdr:cNvPr id="22" name="Imagem 21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4791974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22</xdr:row>
      <xdr:rowOff>9970</xdr:rowOff>
    </xdr:from>
    <xdr:to>
      <xdr:col>6</xdr:col>
      <xdr:colOff>319087</xdr:colOff>
      <xdr:row>22</xdr:row>
      <xdr:rowOff>171895</xdr:rowOff>
    </xdr:to>
    <xdr:pic>
      <xdr:nvPicPr>
        <xdr:cNvPr id="23" name="Imagem 22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499154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157162</xdr:colOff>
      <xdr:row>23</xdr:row>
      <xdr:rowOff>9525</xdr:rowOff>
    </xdr:from>
    <xdr:to>
      <xdr:col>6</xdr:col>
      <xdr:colOff>319087</xdr:colOff>
      <xdr:row>23</xdr:row>
      <xdr:rowOff>171450</xdr:rowOff>
    </xdr:to>
    <xdr:pic>
      <xdr:nvPicPr>
        <xdr:cNvPr id="24" name="Imagem 23" descr="https://cdn4.iconfinder.com/data/icons/defaulticon/icons/png/256x256/check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8987" y="51911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workbookViewId="0">
      <selection activeCell="F3" sqref="F3"/>
    </sheetView>
  </sheetViews>
  <sheetFormatPr defaultRowHeight="15"/>
  <cols>
    <col min="1" max="1" width="23.7109375" bestFit="1" customWidth="1"/>
    <col min="2" max="2" width="13.28515625" customWidth="1"/>
    <col min="3" max="3" width="17.7109375" customWidth="1"/>
    <col min="4" max="4" width="21.7109375" customWidth="1"/>
    <col min="6" max="6" width="20.140625" bestFit="1" customWidth="1"/>
    <col min="7" max="7" width="7.140625" customWidth="1"/>
    <col min="10" max="10" width="12.42578125" bestFit="1" customWidth="1"/>
  </cols>
  <sheetData>
    <row r="1" spans="1:20" s="14" customFormat="1" ht="67.5">
      <c r="A1" s="119" t="s">
        <v>184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3"/>
      <c r="R1" s="13"/>
      <c r="S1" s="118"/>
      <c r="T1" s="118"/>
    </row>
    <row r="2" spans="1:20" ht="15.75">
      <c r="A2" s="24"/>
    </row>
    <row r="3" spans="1:20" ht="15.75" customHeight="1">
      <c r="E3" s="120" t="s">
        <v>43</v>
      </c>
      <c r="F3" s="27" t="s">
        <v>0</v>
      </c>
      <c r="G3" s="2"/>
    </row>
    <row r="4" spans="1:20" ht="15.75">
      <c r="E4" s="120"/>
      <c r="F4" s="27" t="s">
        <v>1</v>
      </c>
      <c r="G4" s="26"/>
    </row>
    <row r="5" spans="1:20" ht="15.75">
      <c r="E5" s="120"/>
      <c r="F5" s="27" t="s">
        <v>2</v>
      </c>
      <c r="G5" s="26"/>
    </row>
    <row r="6" spans="1:20" ht="15.75">
      <c r="E6" s="120"/>
      <c r="F6" s="27" t="s">
        <v>3</v>
      </c>
      <c r="G6" s="26"/>
    </row>
    <row r="7" spans="1:20" ht="15.75">
      <c r="E7" s="120"/>
      <c r="F7" s="27" t="s">
        <v>44</v>
      </c>
      <c r="G7" s="26"/>
    </row>
    <row r="8" spans="1:20" ht="15.75">
      <c r="E8" s="120"/>
      <c r="F8" s="27" t="s">
        <v>4</v>
      </c>
      <c r="G8" s="26"/>
    </row>
    <row r="9" spans="1:20" ht="15.75">
      <c r="E9" s="120"/>
      <c r="F9" s="30" t="s">
        <v>40</v>
      </c>
      <c r="G9" s="26"/>
    </row>
    <row r="10" spans="1:20" ht="15.75">
      <c r="E10" s="120"/>
      <c r="F10" s="30" t="s">
        <v>47</v>
      </c>
      <c r="G10" s="26"/>
    </row>
    <row r="11" spans="1:20" ht="15.75">
      <c r="E11" s="120"/>
      <c r="F11" s="30" t="s">
        <v>48</v>
      </c>
      <c r="G11" s="26"/>
    </row>
    <row r="12" spans="1:20" ht="15.75">
      <c r="E12" s="120"/>
      <c r="F12" s="30" t="s">
        <v>59</v>
      </c>
      <c r="G12" s="26"/>
    </row>
    <row r="13" spans="1:20" ht="15.75">
      <c r="E13" s="120"/>
      <c r="F13" s="30" t="s">
        <v>41</v>
      </c>
      <c r="G13" s="26"/>
    </row>
    <row r="14" spans="1:20" ht="15.75">
      <c r="E14" s="120"/>
      <c r="F14" s="30" t="s">
        <v>42</v>
      </c>
      <c r="G14" s="26"/>
    </row>
    <row r="15" spans="1:20" ht="15.75">
      <c r="E15" s="120"/>
      <c r="F15" s="27" t="s">
        <v>5</v>
      </c>
      <c r="G15" s="26"/>
    </row>
    <row r="16" spans="1:20" ht="15.75">
      <c r="E16" s="120"/>
      <c r="F16" s="27" t="s">
        <v>6</v>
      </c>
      <c r="G16" s="26"/>
    </row>
    <row r="17" spans="5:7" ht="15.75">
      <c r="E17" s="120"/>
      <c r="F17" s="27" t="s">
        <v>7</v>
      </c>
      <c r="G17" s="26"/>
    </row>
    <row r="18" spans="5:7" ht="15.75">
      <c r="E18" s="120"/>
      <c r="F18" s="27" t="s">
        <v>8</v>
      </c>
      <c r="G18" s="26"/>
    </row>
    <row r="19" spans="5:7" ht="15.75">
      <c r="E19" s="120"/>
      <c r="F19" s="27" t="s">
        <v>9</v>
      </c>
      <c r="G19" s="26"/>
    </row>
    <row r="20" spans="5:7" ht="15.75">
      <c r="E20" s="120"/>
      <c r="F20" s="27" t="s">
        <v>10</v>
      </c>
      <c r="G20" s="26"/>
    </row>
    <row r="21" spans="5:7" ht="15.75">
      <c r="E21" s="120"/>
      <c r="F21" s="27" t="s">
        <v>11</v>
      </c>
      <c r="G21" s="26"/>
    </row>
    <row r="22" spans="5:7" ht="15.75">
      <c r="E22" s="120"/>
      <c r="F22" s="27" t="s">
        <v>12</v>
      </c>
      <c r="G22" s="26"/>
    </row>
    <row r="23" spans="5:7" ht="15.75">
      <c r="E23" s="120"/>
      <c r="F23" s="27" t="s">
        <v>13</v>
      </c>
      <c r="G23" s="26"/>
    </row>
    <row r="24" spans="5:7" ht="15.75">
      <c r="E24" s="120"/>
      <c r="F24" s="27" t="s">
        <v>14</v>
      </c>
      <c r="G24" s="26"/>
    </row>
  </sheetData>
  <mergeCells count="3">
    <mergeCell ref="S1:T1"/>
    <mergeCell ref="A1:P1"/>
    <mergeCell ref="E3:E24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4"/>
  <sheetViews>
    <sheetView showGridLines="0" topLeftCell="A121" workbookViewId="0">
      <selection activeCell="E102" sqref="E102"/>
    </sheetView>
  </sheetViews>
  <sheetFormatPr defaultRowHeight="15"/>
  <cols>
    <col min="1" max="1" width="3.28515625" customWidth="1"/>
    <col min="2" max="2" width="30.7109375" customWidth="1"/>
    <col min="3" max="3" width="21.28515625" bestFit="1" customWidth="1"/>
    <col min="5" max="5" width="15.140625" bestFit="1" customWidth="1"/>
    <col min="6" max="6" width="21.7109375" bestFit="1" customWidth="1"/>
    <col min="7" max="7" width="22.7109375" bestFit="1" customWidth="1"/>
    <col min="8" max="8" width="24.28515625" bestFit="1" customWidth="1"/>
    <col min="9" max="9" width="15.7109375" customWidth="1"/>
    <col min="10" max="10" width="18.140625" bestFit="1" customWidth="1"/>
    <col min="11" max="11" width="15.7109375" customWidth="1"/>
    <col min="12" max="12" width="13.42578125" bestFit="1" customWidth="1"/>
    <col min="14" max="14" width="14" customWidth="1"/>
  </cols>
  <sheetData>
    <row r="1" spans="2:24" s="14" customFormat="1" ht="61.5" customHeight="1">
      <c r="B1" s="119" t="s">
        <v>172</v>
      </c>
      <c r="C1" s="119"/>
      <c r="D1" s="119"/>
      <c r="E1" s="119"/>
      <c r="F1" s="119"/>
      <c r="G1" s="119"/>
      <c r="H1" s="119"/>
      <c r="I1" s="119"/>
      <c r="J1" s="119"/>
      <c r="K1" s="119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3" spans="2:24" ht="18.75">
      <c r="B3" s="140" t="s">
        <v>185</v>
      </c>
      <c r="C3" s="141"/>
      <c r="E3" s="33" t="s">
        <v>203</v>
      </c>
      <c r="F3" s="33" t="s">
        <v>180</v>
      </c>
      <c r="G3" s="33" t="s">
        <v>204</v>
      </c>
      <c r="H3" s="33" t="s">
        <v>198</v>
      </c>
    </row>
    <row r="4" spans="2:24" ht="18.75">
      <c r="B4" s="49" t="s">
        <v>179</v>
      </c>
      <c r="C4" s="49" t="s">
        <v>180</v>
      </c>
      <c r="E4" s="50">
        <v>10</v>
      </c>
      <c r="F4" s="52" t="s">
        <v>189</v>
      </c>
      <c r="G4" s="50">
        <v>8</v>
      </c>
      <c r="H4" s="50" t="b">
        <f>E4&gt;G4</f>
        <v>1</v>
      </c>
    </row>
    <row r="5" spans="2:24" ht="18.75">
      <c r="B5" s="50" t="s">
        <v>181</v>
      </c>
      <c r="C5" s="34" t="s">
        <v>189</v>
      </c>
      <c r="E5" s="50">
        <v>10</v>
      </c>
      <c r="F5" s="52" t="s">
        <v>205</v>
      </c>
      <c r="G5" s="50">
        <v>8</v>
      </c>
      <c r="H5" s="50" t="b">
        <f>E5&lt;G5</f>
        <v>0</v>
      </c>
    </row>
    <row r="6" spans="2:24" ht="18.75">
      <c r="B6" s="50" t="s">
        <v>182</v>
      </c>
      <c r="C6" s="34" t="s">
        <v>190</v>
      </c>
      <c r="E6" s="50">
        <v>10</v>
      </c>
      <c r="F6" s="52" t="s">
        <v>191</v>
      </c>
      <c r="G6" s="50">
        <v>8</v>
      </c>
      <c r="H6" s="50" t="b">
        <f>E6&lt;&gt;G6</f>
        <v>1</v>
      </c>
    </row>
    <row r="7" spans="2:24" ht="18.75">
      <c r="B7" s="50" t="s">
        <v>183</v>
      </c>
      <c r="C7" s="34" t="s">
        <v>191</v>
      </c>
      <c r="E7" s="50">
        <v>10</v>
      </c>
      <c r="F7" s="52" t="s">
        <v>192</v>
      </c>
      <c r="G7" s="50">
        <v>10</v>
      </c>
      <c r="H7" s="50" t="b">
        <f>E7&gt;=G7</f>
        <v>1</v>
      </c>
    </row>
    <row r="8" spans="2:24" ht="18.75">
      <c r="B8" s="50" t="s">
        <v>186</v>
      </c>
      <c r="C8" s="34" t="s">
        <v>192</v>
      </c>
      <c r="E8" s="50">
        <v>20</v>
      </c>
      <c r="F8" s="52" t="s">
        <v>193</v>
      </c>
      <c r="G8" s="50">
        <v>20</v>
      </c>
      <c r="H8" s="50" t="b">
        <f>E8&lt;=G8</f>
        <v>1</v>
      </c>
    </row>
    <row r="9" spans="2:24" ht="18.75">
      <c r="B9" s="50" t="s">
        <v>187</v>
      </c>
      <c r="C9" s="34" t="s">
        <v>193</v>
      </c>
      <c r="E9" s="50">
        <v>100</v>
      </c>
      <c r="F9" s="52" t="s">
        <v>206</v>
      </c>
      <c r="G9" s="50">
        <v>99</v>
      </c>
      <c r="H9" s="50" t="b">
        <f>E9=G9</f>
        <v>0</v>
      </c>
    </row>
    <row r="10" spans="2:24" ht="18.75">
      <c r="B10" s="50" t="s">
        <v>188</v>
      </c>
      <c r="C10" s="34" t="s">
        <v>194</v>
      </c>
    </row>
    <row r="26" spans="2:23" s="14" customFormat="1" ht="38.25">
      <c r="B26" s="65" t="s">
        <v>196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15"/>
      <c r="W26" s="15"/>
    </row>
    <row r="27" spans="2:23" s="59" customFormat="1" ht="38.25">
      <c r="B27" s="66" t="s">
        <v>241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0"/>
      <c r="O27" s="60"/>
      <c r="P27" s="60"/>
      <c r="Q27" s="60"/>
      <c r="R27" s="60"/>
      <c r="S27" s="60"/>
      <c r="T27" s="60"/>
      <c r="U27" s="60"/>
      <c r="V27" s="58"/>
      <c r="W27" s="58"/>
    </row>
    <row r="29" spans="2:23" ht="18.75">
      <c r="B29" s="140" t="s">
        <v>197</v>
      </c>
      <c r="C29" s="141"/>
      <c r="E29" s="142" t="s">
        <v>195</v>
      </c>
      <c r="F29" s="143"/>
      <c r="G29" s="143"/>
      <c r="H29" s="143"/>
      <c r="I29" s="143"/>
      <c r="J29" s="143"/>
      <c r="K29" s="144"/>
    </row>
    <row r="30" spans="2:23" ht="18.75">
      <c r="B30" s="52" t="s">
        <v>200</v>
      </c>
      <c r="C30" s="34" t="s">
        <v>199</v>
      </c>
      <c r="E30" s="33" t="s">
        <v>98</v>
      </c>
      <c r="F30" s="33" t="s">
        <v>173</v>
      </c>
      <c r="G30" s="33" t="s">
        <v>174</v>
      </c>
      <c r="H30" s="33" t="s">
        <v>175</v>
      </c>
      <c r="I30" s="33" t="s">
        <v>176</v>
      </c>
      <c r="J30" s="33" t="s">
        <v>177</v>
      </c>
      <c r="K30" s="33" t="s">
        <v>178</v>
      </c>
    </row>
    <row r="31" spans="2:23" ht="17.100000000000001" customHeight="1">
      <c r="B31" s="52" t="s">
        <v>201</v>
      </c>
      <c r="C31" s="34" t="s">
        <v>202</v>
      </c>
      <c r="E31" s="32" t="s">
        <v>34</v>
      </c>
      <c r="F31" s="35">
        <v>8</v>
      </c>
      <c r="G31" s="35">
        <v>9</v>
      </c>
      <c r="H31" s="35">
        <v>6</v>
      </c>
      <c r="I31" s="35">
        <v>8.5</v>
      </c>
      <c r="J31" s="35">
        <f>AVERAGE(F31:I31)</f>
        <v>7.875</v>
      </c>
      <c r="K31" s="51" t="str">
        <f>IF(J31&gt;=7,$C$30,$C$31)</f>
        <v>Aprovado</v>
      </c>
    </row>
    <row r="32" spans="2:23" ht="17.100000000000001" customHeight="1">
      <c r="E32" s="32" t="s">
        <v>35</v>
      </c>
      <c r="F32" s="35">
        <v>4.5</v>
      </c>
      <c r="G32" s="35">
        <v>5.5</v>
      </c>
      <c r="H32" s="35">
        <v>2.5</v>
      </c>
      <c r="I32" s="35">
        <v>5</v>
      </c>
      <c r="J32" s="35">
        <f t="shared" ref="J32:J47" si="0">AVERAGE(F32:I32)</f>
        <v>4.375</v>
      </c>
      <c r="K32" s="51" t="str">
        <f t="shared" ref="K32:K47" si="1">IF(J32&gt;=7,$C$30,$C$31)</f>
        <v>Reprovado</v>
      </c>
    </row>
    <row r="33" spans="2:11" ht="17.100000000000001" customHeight="1">
      <c r="B33" s="140" t="s">
        <v>185</v>
      </c>
      <c r="C33" s="141"/>
      <c r="E33" s="32" t="s">
        <v>36</v>
      </c>
      <c r="F33" s="35">
        <v>2.2000000000000002</v>
      </c>
      <c r="G33" s="35">
        <v>3.2</v>
      </c>
      <c r="H33" s="35">
        <v>4.2</v>
      </c>
      <c r="I33" s="35">
        <v>3</v>
      </c>
      <c r="J33" s="35">
        <f t="shared" si="0"/>
        <v>3.1500000000000004</v>
      </c>
      <c r="K33" s="51" t="str">
        <f t="shared" si="1"/>
        <v>Reprovado</v>
      </c>
    </row>
    <row r="34" spans="2:11" ht="17.100000000000001" customHeight="1">
      <c r="B34" s="49" t="s">
        <v>179</v>
      </c>
      <c r="C34" s="49" t="s">
        <v>180</v>
      </c>
      <c r="E34" s="32" t="s">
        <v>37</v>
      </c>
      <c r="F34" s="35">
        <v>1.5</v>
      </c>
      <c r="G34" s="35">
        <v>2.5</v>
      </c>
      <c r="H34" s="35">
        <v>4.5</v>
      </c>
      <c r="I34" s="35">
        <v>2</v>
      </c>
      <c r="J34" s="35">
        <f t="shared" si="0"/>
        <v>2.625</v>
      </c>
      <c r="K34" s="51" t="str">
        <f t="shared" si="1"/>
        <v>Reprovado</v>
      </c>
    </row>
    <row r="35" spans="2:11" ht="17.100000000000001" customHeight="1">
      <c r="B35" s="50" t="s">
        <v>181</v>
      </c>
      <c r="C35" s="34" t="s">
        <v>189</v>
      </c>
      <c r="E35" s="32" t="s">
        <v>38</v>
      </c>
      <c r="F35" s="35">
        <v>9.5</v>
      </c>
      <c r="G35" s="35">
        <v>10</v>
      </c>
      <c r="H35" s="35">
        <v>7.5</v>
      </c>
      <c r="I35" s="35">
        <v>10</v>
      </c>
      <c r="J35" s="35">
        <f t="shared" si="0"/>
        <v>9.25</v>
      </c>
      <c r="K35" s="51" t="str">
        <f t="shared" si="1"/>
        <v>Aprovado</v>
      </c>
    </row>
    <row r="36" spans="2:11" ht="17.100000000000001" customHeight="1">
      <c r="B36" s="50" t="s">
        <v>182</v>
      </c>
      <c r="C36" s="34" t="s">
        <v>190</v>
      </c>
      <c r="E36" s="32" t="s">
        <v>75</v>
      </c>
      <c r="F36" s="35">
        <v>10</v>
      </c>
      <c r="G36" s="35">
        <v>10</v>
      </c>
      <c r="H36" s="35">
        <v>8</v>
      </c>
      <c r="I36" s="35">
        <v>10</v>
      </c>
      <c r="J36" s="35">
        <f t="shared" si="0"/>
        <v>9.5</v>
      </c>
      <c r="K36" s="51" t="str">
        <f t="shared" si="1"/>
        <v>Aprovado</v>
      </c>
    </row>
    <row r="37" spans="2:11" ht="17.100000000000001" customHeight="1">
      <c r="B37" s="50" t="s">
        <v>183</v>
      </c>
      <c r="C37" s="34" t="s">
        <v>191</v>
      </c>
      <c r="E37" s="32" t="s">
        <v>76</v>
      </c>
      <c r="F37" s="35">
        <v>9.5</v>
      </c>
      <c r="G37" s="35">
        <v>10</v>
      </c>
      <c r="H37" s="35">
        <v>7.5</v>
      </c>
      <c r="I37" s="35">
        <v>10</v>
      </c>
      <c r="J37" s="35">
        <f t="shared" si="0"/>
        <v>9.25</v>
      </c>
      <c r="K37" s="51" t="str">
        <f t="shared" si="1"/>
        <v>Aprovado</v>
      </c>
    </row>
    <row r="38" spans="2:11" ht="17.100000000000001" customHeight="1">
      <c r="B38" s="50" t="s">
        <v>186</v>
      </c>
      <c r="C38" s="34" t="s">
        <v>192</v>
      </c>
      <c r="E38" s="32" t="s">
        <v>77</v>
      </c>
      <c r="F38" s="35">
        <v>7.5</v>
      </c>
      <c r="G38" s="35">
        <v>8.5</v>
      </c>
      <c r="H38" s="35">
        <v>5.5</v>
      </c>
      <c r="I38" s="35">
        <v>8</v>
      </c>
      <c r="J38" s="35">
        <f t="shared" si="0"/>
        <v>7.375</v>
      </c>
      <c r="K38" s="51" t="str">
        <f t="shared" si="1"/>
        <v>Aprovado</v>
      </c>
    </row>
    <row r="39" spans="2:11" ht="17.100000000000001" customHeight="1">
      <c r="B39" s="50" t="s">
        <v>187</v>
      </c>
      <c r="C39" s="34" t="s">
        <v>193</v>
      </c>
      <c r="E39" s="32" t="s">
        <v>78</v>
      </c>
      <c r="F39" s="35">
        <v>6.4</v>
      </c>
      <c r="G39" s="35">
        <v>7.4</v>
      </c>
      <c r="H39" s="35">
        <v>4.4000000000000004</v>
      </c>
      <c r="I39" s="35">
        <v>6.9</v>
      </c>
      <c r="J39" s="35">
        <f t="shared" si="0"/>
        <v>6.2750000000000004</v>
      </c>
      <c r="K39" s="51" t="str">
        <f t="shared" si="1"/>
        <v>Reprovado</v>
      </c>
    </row>
    <row r="40" spans="2:11" ht="17.100000000000001" customHeight="1">
      <c r="B40" s="50" t="s">
        <v>188</v>
      </c>
      <c r="C40" s="34" t="s">
        <v>194</v>
      </c>
      <c r="E40" s="32" t="s">
        <v>79</v>
      </c>
      <c r="F40" s="35">
        <v>6.6</v>
      </c>
      <c r="G40" s="35">
        <v>7.6</v>
      </c>
      <c r="H40" s="35">
        <v>4.5999999999999996</v>
      </c>
      <c r="I40" s="35">
        <v>7.1</v>
      </c>
      <c r="J40" s="35">
        <f t="shared" si="0"/>
        <v>6.4749999999999996</v>
      </c>
      <c r="K40" s="51" t="str">
        <f t="shared" si="1"/>
        <v>Reprovado</v>
      </c>
    </row>
    <row r="41" spans="2:11" ht="17.100000000000001" customHeight="1">
      <c r="E41" s="32" t="s">
        <v>80</v>
      </c>
      <c r="F41" s="35">
        <v>5</v>
      </c>
      <c r="G41" s="35">
        <v>6</v>
      </c>
      <c r="H41" s="35">
        <v>3</v>
      </c>
      <c r="I41" s="35">
        <v>5.5</v>
      </c>
      <c r="J41" s="35">
        <f t="shared" si="0"/>
        <v>4.875</v>
      </c>
      <c r="K41" s="51" t="str">
        <f t="shared" si="1"/>
        <v>Reprovado</v>
      </c>
    </row>
    <row r="42" spans="2:11" ht="17.100000000000001" customHeight="1">
      <c r="E42" s="32" t="s">
        <v>81</v>
      </c>
      <c r="F42" s="35">
        <v>3</v>
      </c>
      <c r="G42" s="35">
        <v>4</v>
      </c>
      <c r="H42" s="35">
        <v>1</v>
      </c>
      <c r="I42" s="35">
        <v>3.5</v>
      </c>
      <c r="J42" s="35">
        <f t="shared" si="0"/>
        <v>2.875</v>
      </c>
      <c r="K42" s="51" t="str">
        <f t="shared" si="1"/>
        <v>Reprovado</v>
      </c>
    </row>
    <row r="43" spans="2:11" ht="17.100000000000001" customHeight="1">
      <c r="E43" s="32" t="s">
        <v>82</v>
      </c>
      <c r="F43" s="35">
        <v>2.8</v>
      </c>
      <c r="G43" s="35">
        <v>3.8</v>
      </c>
      <c r="H43" s="35">
        <v>4.8</v>
      </c>
      <c r="I43" s="35">
        <v>3.2</v>
      </c>
      <c r="J43" s="35">
        <f t="shared" si="0"/>
        <v>3.6499999999999995</v>
      </c>
      <c r="K43" s="51" t="str">
        <f t="shared" si="1"/>
        <v>Reprovado</v>
      </c>
    </row>
    <row r="44" spans="2:11" ht="17.100000000000001" customHeight="1">
      <c r="E44" s="32" t="s">
        <v>83</v>
      </c>
      <c r="F44" s="35">
        <v>4.8</v>
      </c>
      <c r="G44" s="35">
        <v>5.8</v>
      </c>
      <c r="H44" s="35">
        <v>6.8</v>
      </c>
      <c r="I44" s="35">
        <v>5.3</v>
      </c>
      <c r="J44" s="35">
        <f t="shared" si="0"/>
        <v>5.6749999999999998</v>
      </c>
      <c r="K44" s="51" t="str">
        <f t="shared" si="1"/>
        <v>Reprovado</v>
      </c>
    </row>
    <row r="45" spans="2:11" ht="17.100000000000001" customHeight="1">
      <c r="E45" s="32" t="s">
        <v>84</v>
      </c>
      <c r="F45" s="35">
        <v>9.9</v>
      </c>
      <c r="G45" s="35">
        <v>10</v>
      </c>
      <c r="H45" s="35">
        <v>7.9</v>
      </c>
      <c r="I45" s="35">
        <v>10</v>
      </c>
      <c r="J45" s="35">
        <f t="shared" si="0"/>
        <v>9.4499999999999993</v>
      </c>
      <c r="K45" s="51" t="str">
        <f t="shared" si="1"/>
        <v>Aprovado</v>
      </c>
    </row>
    <row r="46" spans="2:11" ht="17.100000000000001" customHeight="1">
      <c r="E46" s="32" t="s">
        <v>95</v>
      </c>
      <c r="F46" s="35">
        <v>9.1999999999999993</v>
      </c>
      <c r="G46" s="35">
        <v>10</v>
      </c>
      <c r="H46" s="35">
        <v>7.2</v>
      </c>
      <c r="I46" s="35">
        <v>9.8000000000000007</v>
      </c>
      <c r="J46" s="35">
        <f t="shared" si="0"/>
        <v>9.0500000000000007</v>
      </c>
      <c r="K46" s="51" t="str">
        <f t="shared" si="1"/>
        <v>Aprovado</v>
      </c>
    </row>
    <row r="47" spans="2:11" ht="17.100000000000001" customHeight="1">
      <c r="E47" s="32" t="s">
        <v>85</v>
      </c>
      <c r="F47" s="35">
        <v>7</v>
      </c>
      <c r="G47" s="35">
        <v>8</v>
      </c>
      <c r="H47" s="35">
        <v>5</v>
      </c>
      <c r="I47" s="35">
        <v>7.5</v>
      </c>
      <c r="J47" s="35">
        <f t="shared" si="0"/>
        <v>6.875</v>
      </c>
      <c r="K47" s="51" t="str">
        <f t="shared" si="1"/>
        <v>Reprovado</v>
      </c>
    </row>
    <row r="48" spans="2:11" ht="17.100000000000001" customHeight="1">
      <c r="E48" s="67"/>
      <c r="F48" s="71"/>
      <c r="G48" s="71"/>
      <c r="H48" s="71"/>
      <c r="I48" s="71"/>
      <c r="J48" s="71"/>
      <c r="K48" s="72"/>
    </row>
    <row r="51" spans="2:23" s="14" customFormat="1" ht="38.25">
      <c r="B51" s="65" t="s">
        <v>196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15"/>
      <c r="W51" s="15"/>
    </row>
    <row r="52" spans="2:23" s="59" customFormat="1" ht="38.25">
      <c r="B52" s="66" t="s">
        <v>242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0"/>
      <c r="O52" s="60"/>
      <c r="P52" s="60"/>
      <c r="Q52" s="60"/>
      <c r="R52" s="60"/>
      <c r="S52" s="60"/>
      <c r="T52" s="60"/>
      <c r="U52" s="60"/>
      <c r="V52" s="58"/>
      <c r="W52" s="58"/>
    </row>
    <row r="54" spans="2:23" ht="18.75">
      <c r="B54" s="140" t="s">
        <v>197</v>
      </c>
      <c r="C54" s="141"/>
      <c r="E54" s="142" t="s">
        <v>207</v>
      </c>
      <c r="F54" s="143"/>
      <c r="G54" s="143"/>
      <c r="H54" s="143"/>
    </row>
    <row r="55" spans="2:23" ht="18.75">
      <c r="B55" s="52" t="s">
        <v>213</v>
      </c>
      <c r="C55" s="34" t="s">
        <v>216</v>
      </c>
      <c r="E55" s="33" t="s">
        <v>208</v>
      </c>
      <c r="F55" s="33" t="s">
        <v>209</v>
      </c>
      <c r="G55" s="33" t="s">
        <v>210</v>
      </c>
      <c r="H55" s="33" t="s">
        <v>211</v>
      </c>
    </row>
    <row r="56" spans="2:23" ht="18.75">
      <c r="B56" s="52" t="s">
        <v>214</v>
      </c>
      <c r="C56" s="34" t="s">
        <v>217</v>
      </c>
      <c r="E56" s="32" t="s">
        <v>34</v>
      </c>
      <c r="F56" s="55">
        <v>120</v>
      </c>
      <c r="G56" s="34" t="s">
        <v>212</v>
      </c>
      <c r="H56" s="115">
        <f>IF(G56=$B$55,F56-(F56*10%),IF(G56=$B$56,F56-(F56*5%),F56))</f>
        <v>120</v>
      </c>
    </row>
    <row r="57" spans="2:23" ht="18.75">
      <c r="B57" s="52" t="s">
        <v>212</v>
      </c>
      <c r="C57" s="34" t="s">
        <v>215</v>
      </c>
      <c r="E57" s="32" t="s">
        <v>35</v>
      </c>
      <c r="F57" s="55">
        <v>500</v>
      </c>
      <c r="G57" s="34" t="s">
        <v>212</v>
      </c>
      <c r="H57" s="115">
        <f t="shared" ref="H57:H66" si="2">IF(G57=$B$55,F57-(F57*10%),IF(G57=$B$56,F57-(F57*5%),F57))</f>
        <v>500</v>
      </c>
    </row>
    <row r="58" spans="2:23" ht="18.75">
      <c r="E58" s="32" t="s">
        <v>36</v>
      </c>
      <c r="F58" s="55">
        <v>780</v>
      </c>
      <c r="G58" s="34" t="s">
        <v>213</v>
      </c>
      <c r="H58" s="115">
        <f t="shared" si="2"/>
        <v>702</v>
      </c>
    </row>
    <row r="59" spans="2:23" ht="18.75">
      <c r="E59" s="32" t="s">
        <v>37</v>
      </c>
      <c r="F59" s="55">
        <v>320</v>
      </c>
      <c r="G59" s="34" t="s">
        <v>214</v>
      </c>
      <c r="H59" s="115">
        <f t="shared" si="2"/>
        <v>304</v>
      </c>
    </row>
    <row r="60" spans="2:23" ht="18.75">
      <c r="E60" s="32" t="s">
        <v>38</v>
      </c>
      <c r="F60" s="55">
        <v>180</v>
      </c>
      <c r="G60" s="34" t="s">
        <v>212</v>
      </c>
      <c r="H60" s="115">
        <f t="shared" si="2"/>
        <v>180</v>
      </c>
    </row>
    <row r="61" spans="2:23" ht="18.75">
      <c r="E61" s="32" t="s">
        <v>75</v>
      </c>
      <c r="F61" s="55">
        <v>850</v>
      </c>
      <c r="G61" s="34" t="s">
        <v>213</v>
      </c>
      <c r="H61" s="115">
        <f t="shared" si="2"/>
        <v>765</v>
      </c>
    </row>
    <row r="62" spans="2:23" ht="18.75">
      <c r="E62" s="32" t="s">
        <v>76</v>
      </c>
      <c r="F62" s="55">
        <v>300</v>
      </c>
      <c r="G62" s="34" t="s">
        <v>212</v>
      </c>
      <c r="H62" s="115">
        <f t="shared" si="2"/>
        <v>300</v>
      </c>
    </row>
    <row r="63" spans="2:23" ht="18.75">
      <c r="E63" s="32" t="s">
        <v>77</v>
      </c>
      <c r="F63" s="55">
        <v>700</v>
      </c>
      <c r="G63" s="34" t="s">
        <v>214</v>
      </c>
      <c r="H63" s="115">
        <f t="shared" si="2"/>
        <v>665</v>
      </c>
    </row>
    <row r="64" spans="2:23" ht="18.75">
      <c r="E64" s="32" t="s">
        <v>78</v>
      </c>
      <c r="F64" s="55">
        <v>1000</v>
      </c>
      <c r="G64" s="34" t="s">
        <v>213</v>
      </c>
      <c r="H64" s="115">
        <f t="shared" si="2"/>
        <v>900</v>
      </c>
    </row>
    <row r="65" spans="2:23" ht="18.75">
      <c r="E65" s="32" t="s">
        <v>79</v>
      </c>
      <c r="F65" s="55">
        <v>1250</v>
      </c>
      <c r="G65" s="34" t="s">
        <v>213</v>
      </c>
      <c r="H65" s="115">
        <f t="shared" si="2"/>
        <v>1125</v>
      </c>
    </row>
    <row r="66" spans="2:23" ht="18.75">
      <c r="E66" s="32" t="s">
        <v>80</v>
      </c>
      <c r="F66" s="55">
        <v>900</v>
      </c>
      <c r="G66" s="34" t="s">
        <v>214</v>
      </c>
      <c r="H66" s="115">
        <f t="shared" si="2"/>
        <v>855</v>
      </c>
    </row>
    <row r="67" spans="2:23" ht="18.75">
      <c r="E67" s="67"/>
      <c r="F67" s="68"/>
      <c r="G67" s="69"/>
      <c r="H67" s="70"/>
      <c r="I67" s="70"/>
    </row>
    <row r="68" spans="2:23" ht="18.75">
      <c r="E68" s="67"/>
      <c r="F68" s="68"/>
      <c r="G68" s="69"/>
      <c r="H68" s="70"/>
      <c r="I68" s="70"/>
    </row>
    <row r="69" spans="2:23" ht="18.75">
      <c r="E69" s="67"/>
      <c r="F69" s="68"/>
      <c r="G69" s="69"/>
      <c r="H69" s="70"/>
      <c r="I69" s="70"/>
    </row>
    <row r="70" spans="2:23" ht="18.75">
      <c r="E70" s="67"/>
      <c r="F70" s="68"/>
      <c r="G70" s="69"/>
      <c r="H70" s="70"/>
      <c r="I70" s="70"/>
    </row>
    <row r="71" spans="2:23" ht="18.75">
      <c r="E71" s="67"/>
      <c r="F71" s="68"/>
      <c r="G71" s="69"/>
      <c r="H71" s="70"/>
      <c r="I71" s="70"/>
    </row>
    <row r="74" spans="2:23" s="14" customFormat="1" ht="38.25">
      <c r="B74" s="65" t="s">
        <v>196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15"/>
      <c r="W74" s="15"/>
    </row>
    <row r="75" spans="2:23" s="59" customFormat="1" ht="38.25">
      <c r="B75" s="66" t="s">
        <v>242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0"/>
      <c r="O75" s="60"/>
      <c r="P75" s="60"/>
      <c r="Q75" s="60"/>
      <c r="R75" s="60"/>
      <c r="S75" s="60"/>
      <c r="T75" s="60"/>
      <c r="U75" s="60"/>
      <c r="V75" s="58"/>
      <c r="W75" s="58"/>
    </row>
    <row r="77" spans="2:23" ht="31.5">
      <c r="E77" s="62" t="s">
        <v>222</v>
      </c>
      <c r="F77" s="63">
        <v>50000</v>
      </c>
    </row>
    <row r="79" spans="2:23" ht="18.75">
      <c r="B79" s="140" t="s">
        <v>197</v>
      </c>
      <c r="C79" s="141"/>
      <c r="E79" s="142" t="s">
        <v>218</v>
      </c>
      <c r="F79" s="143"/>
      <c r="G79" s="144"/>
    </row>
    <row r="80" spans="2:23" ht="18.75">
      <c r="B80" s="61" t="s">
        <v>225</v>
      </c>
      <c r="C80" s="51" t="s">
        <v>223</v>
      </c>
      <c r="E80" s="31" t="s">
        <v>219</v>
      </c>
      <c r="F80" s="31" t="s">
        <v>220</v>
      </c>
      <c r="G80" s="31" t="s">
        <v>221</v>
      </c>
    </row>
    <row r="81" spans="2:7" ht="18.75">
      <c r="B81" s="61" t="s">
        <v>226</v>
      </c>
      <c r="C81" s="51" t="s">
        <v>224</v>
      </c>
      <c r="E81" s="3" t="s">
        <v>227</v>
      </c>
      <c r="F81" s="55">
        <v>59999</v>
      </c>
      <c r="G81" s="34" t="str">
        <f>IF(F81&gt;=$F$77,$C$80,$C$81)</f>
        <v>Meta atingida</v>
      </c>
    </row>
    <row r="82" spans="2:7" ht="18.75">
      <c r="E82" s="3" t="s">
        <v>228</v>
      </c>
      <c r="F82" s="55">
        <v>70000</v>
      </c>
      <c r="G82" s="34" t="str">
        <f t="shared" ref="G82:G93" si="3">IF(F82&gt;=$F$77,$C$80,$C$81)</f>
        <v>Meta atingida</v>
      </c>
    </row>
    <row r="83" spans="2:7" ht="18.75">
      <c r="E83" s="3" t="s">
        <v>229</v>
      </c>
      <c r="F83" s="55">
        <v>100000</v>
      </c>
      <c r="G83" s="34" t="str">
        <f t="shared" si="3"/>
        <v>Meta atingida</v>
      </c>
    </row>
    <row r="84" spans="2:7" ht="18.75">
      <c r="E84" s="3" t="s">
        <v>230</v>
      </c>
      <c r="F84" s="55">
        <v>45000</v>
      </c>
      <c r="G84" s="34" t="str">
        <f t="shared" si="3"/>
        <v>Meta não atingida</v>
      </c>
    </row>
    <row r="85" spans="2:7" ht="18.75">
      <c r="E85" s="3" t="s">
        <v>231</v>
      </c>
      <c r="F85" s="55">
        <v>1800</v>
      </c>
      <c r="G85" s="34" t="str">
        <f t="shared" si="3"/>
        <v>Meta não atingida</v>
      </c>
    </row>
    <row r="86" spans="2:7" ht="18.75">
      <c r="E86" s="3" t="s">
        <v>232</v>
      </c>
      <c r="F86" s="55">
        <v>15000</v>
      </c>
      <c r="G86" s="34" t="str">
        <f t="shared" si="3"/>
        <v>Meta não atingida</v>
      </c>
    </row>
    <row r="87" spans="2:7" ht="18.75">
      <c r="E87" s="3" t="s">
        <v>233</v>
      </c>
      <c r="F87" s="55">
        <v>25000</v>
      </c>
      <c r="G87" s="34" t="str">
        <f t="shared" si="3"/>
        <v>Meta não atingida</v>
      </c>
    </row>
    <row r="88" spans="2:7" ht="18.75">
      <c r="E88" s="3" t="s">
        <v>234</v>
      </c>
      <c r="F88" s="55">
        <v>51000</v>
      </c>
      <c r="G88" s="34" t="str">
        <f t="shared" si="3"/>
        <v>Meta atingida</v>
      </c>
    </row>
    <row r="89" spans="2:7" ht="18.75">
      <c r="E89" s="3" t="s">
        <v>235</v>
      </c>
      <c r="F89" s="55">
        <v>50100</v>
      </c>
      <c r="G89" s="34" t="str">
        <f t="shared" si="3"/>
        <v>Meta atingida</v>
      </c>
    </row>
    <row r="90" spans="2:7" ht="18.75">
      <c r="E90" s="3" t="s">
        <v>236</v>
      </c>
      <c r="F90" s="55">
        <v>60000</v>
      </c>
      <c r="G90" s="34" t="str">
        <f t="shared" si="3"/>
        <v>Meta atingida</v>
      </c>
    </row>
    <row r="91" spans="2:7" ht="18.75">
      <c r="E91" s="3" t="s">
        <v>237</v>
      </c>
      <c r="F91" s="55">
        <v>9000</v>
      </c>
      <c r="G91" s="34" t="str">
        <f t="shared" si="3"/>
        <v>Meta não atingida</v>
      </c>
    </row>
    <row r="92" spans="2:7" ht="18.75">
      <c r="E92" s="3" t="s">
        <v>238</v>
      </c>
      <c r="F92" s="55">
        <v>2000</v>
      </c>
      <c r="G92" s="34" t="str">
        <f t="shared" si="3"/>
        <v>Meta não atingida</v>
      </c>
    </row>
    <row r="93" spans="2:7" ht="18.75">
      <c r="E93" s="3" t="s">
        <v>75</v>
      </c>
      <c r="F93" s="55">
        <v>35000</v>
      </c>
      <c r="G93" s="34" t="str">
        <f t="shared" si="3"/>
        <v>Meta não atingida</v>
      </c>
    </row>
    <row r="94" spans="2:7" ht="18.75">
      <c r="E94" s="73"/>
      <c r="F94" s="68"/>
      <c r="G94" s="69"/>
    </row>
    <row r="97" spans="2:23" s="14" customFormat="1" ht="38.25">
      <c r="B97" s="65" t="s">
        <v>196</v>
      </c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15"/>
      <c r="W97" s="15"/>
    </row>
    <row r="98" spans="2:23" s="59" customFormat="1" ht="38.25">
      <c r="B98" s="66" t="s">
        <v>243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0"/>
      <c r="O98" s="60"/>
      <c r="P98" s="60"/>
      <c r="Q98" s="60"/>
      <c r="R98" s="60"/>
      <c r="S98" s="60"/>
      <c r="T98" s="60"/>
      <c r="U98" s="60"/>
      <c r="V98" s="58"/>
      <c r="W98" s="58"/>
    </row>
    <row r="100" spans="2:23" ht="31.5">
      <c r="E100" s="139" t="s">
        <v>131</v>
      </c>
      <c r="F100" s="139"/>
    </row>
    <row r="101" spans="2:23" ht="42.75" customHeight="1">
      <c r="E101" s="138">
        <v>44153</v>
      </c>
      <c r="F101" s="138"/>
    </row>
    <row r="103" spans="2:23" ht="18.75">
      <c r="E103" s="31" t="s">
        <v>239</v>
      </c>
      <c r="F103" s="31" t="s">
        <v>33</v>
      </c>
    </row>
    <row r="104" spans="2:23" ht="40.5" customHeight="1">
      <c r="E104" s="74">
        <f>WEEKDAY(E101,1)</f>
        <v>4</v>
      </c>
      <c r="F104" s="74" t="str">
        <f>IF(E104=1,"Domingo",IF(E104=2,"Segunda=feira",IF(E104=3,"Terça-feira",IF(E104=4,"Quarta-feira",IF(E104=5,"Quinta-feira",IF(E104=6,"Sexta-feira",IF(E104=7,"Sabado")))))))</f>
        <v>Quarta-feira</v>
      </c>
    </row>
  </sheetData>
  <mergeCells count="11">
    <mergeCell ref="B1:K1"/>
    <mergeCell ref="E101:F101"/>
    <mergeCell ref="E100:F100"/>
    <mergeCell ref="B79:C79"/>
    <mergeCell ref="E79:G79"/>
    <mergeCell ref="B33:C33"/>
    <mergeCell ref="E29:K29"/>
    <mergeCell ref="B54:C54"/>
    <mergeCell ref="B3:C3"/>
    <mergeCell ref="B29:C29"/>
    <mergeCell ref="E54:H5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showGridLines="0" topLeftCell="A156" workbookViewId="0">
      <selection activeCell="G153" sqref="G153"/>
    </sheetView>
  </sheetViews>
  <sheetFormatPr defaultRowHeight="15"/>
  <cols>
    <col min="2" max="2" width="20" customWidth="1"/>
    <col min="3" max="3" width="20.5703125" bestFit="1" customWidth="1"/>
    <col min="4" max="4" width="19" customWidth="1"/>
    <col min="5" max="9" width="20.140625" customWidth="1"/>
    <col min="10" max="13" width="13.85546875" customWidth="1"/>
  </cols>
  <sheetData>
    <row r="1" spans="1:23" s="14" customFormat="1" ht="61.5" customHeight="1">
      <c r="A1" s="119" t="s">
        <v>259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" customHeight="1"/>
    <row r="3" spans="1:23" ht="21.75" customHeight="1">
      <c r="B3" s="31" t="s">
        <v>62</v>
      </c>
      <c r="C3" s="31" t="s">
        <v>262</v>
      </c>
      <c r="E3" s="142" t="s">
        <v>273</v>
      </c>
      <c r="F3" s="143"/>
      <c r="G3" s="143"/>
      <c r="H3" s="144"/>
    </row>
    <row r="4" spans="1:23" ht="18" customHeight="1">
      <c r="B4" s="78" t="s">
        <v>34</v>
      </c>
      <c r="C4" s="78" t="s">
        <v>263</v>
      </c>
      <c r="E4" s="86" t="s">
        <v>265</v>
      </c>
      <c r="F4" s="86" t="s">
        <v>264</v>
      </c>
      <c r="G4" s="86" t="s">
        <v>263</v>
      </c>
      <c r="H4" s="86" t="s">
        <v>267</v>
      </c>
    </row>
    <row r="5" spans="1:23" ht="18.75">
      <c r="B5" s="78" t="s">
        <v>35</v>
      </c>
      <c r="C5" s="78" t="s">
        <v>264</v>
      </c>
      <c r="E5" s="50">
        <f>COUNTIF($C$4:$C$25,E4)</f>
        <v>9</v>
      </c>
      <c r="F5" s="117">
        <f t="shared" ref="F5:H5" si="0">COUNTIF($C$4:$C$25,F4)</f>
        <v>4</v>
      </c>
      <c r="G5" s="117">
        <f t="shared" si="0"/>
        <v>6</v>
      </c>
      <c r="H5" s="117">
        <f t="shared" si="0"/>
        <v>3</v>
      </c>
    </row>
    <row r="6" spans="1:23" ht="15" customHeight="1">
      <c r="B6" s="78" t="s">
        <v>36</v>
      </c>
      <c r="C6" s="78" t="s">
        <v>265</v>
      </c>
    </row>
    <row r="7" spans="1:23" ht="15" customHeight="1">
      <c r="B7" s="78" t="s">
        <v>37</v>
      </c>
      <c r="C7" s="78" t="s">
        <v>264</v>
      </c>
    </row>
    <row r="8" spans="1:23" ht="15" customHeight="1">
      <c r="B8" s="78" t="s">
        <v>38</v>
      </c>
      <c r="C8" s="78" t="s">
        <v>267</v>
      </c>
    </row>
    <row r="9" spans="1:23" ht="15" customHeight="1">
      <c r="B9" s="78" t="s">
        <v>75</v>
      </c>
      <c r="C9" s="78" t="s">
        <v>264</v>
      </c>
    </row>
    <row r="10" spans="1:23" ht="15" customHeight="1">
      <c r="B10" s="78" t="s">
        <v>76</v>
      </c>
      <c r="C10" s="78" t="s">
        <v>263</v>
      </c>
    </row>
    <row r="11" spans="1:23" ht="15" customHeight="1">
      <c r="B11" s="78" t="s">
        <v>77</v>
      </c>
      <c r="C11" s="78" t="s">
        <v>267</v>
      </c>
    </row>
    <row r="12" spans="1:23" ht="18.75">
      <c r="B12" s="78" t="s">
        <v>78</v>
      </c>
      <c r="C12" s="78" t="s">
        <v>265</v>
      </c>
    </row>
    <row r="13" spans="1:23" ht="18.75">
      <c r="B13" s="78" t="s">
        <v>79</v>
      </c>
      <c r="C13" s="78" t="s">
        <v>263</v>
      </c>
    </row>
    <row r="14" spans="1:23" ht="18.75">
      <c r="B14" s="78" t="s">
        <v>80</v>
      </c>
      <c r="C14" s="78" t="s">
        <v>265</v>
      </c>
    </row>
    <row r="15" spans="1:23" ht="18.75">
      <c r="B15" s="78" t="s">
        <v>34</v>
      </c>
      <c r="C15" s="78" t="s">
        <v>265</v>
      </c>
    </row>
    <row r="16" spans="1:23" ht="18.75">
      <c r="B16" s="78" t="s">
        <v>35</v>
      </c>
      <c r="C16" s="78" t="s">
        <v>265</v>
      </c>
    </row>
    <row r="17" spans="1:23" ht="18.75">
      <c r="B17" s="78" t="s">
        <v>36</v>
      </c>
      <c r="C17" s="78" t="s">
        <v>263</v>
      </c>
    </row>
    <row r="18" spans="1:23" ht="18.75">
      <c r="B18" s="78" t="s">
        <v>37</v>
      </c>
      <c r="C18" s="78" t="s">
        <v>265</v>
      </c>
    </row>
    <row r="19" spans="1:23" ht="18.75">
      <c r="B19" s="78" t="s">
        <v>38</v>
      </c>
      <c r="C19" s="78" t="s">
        <v>263</v>
      </c>
    </row>
    <row r="20" spans="1:23" ht="18.75">
      <c r="B20" s="78" t="s">
        <v>75</v>
      </c>
      <c r="C20" s="78" t="s">
        <v>267</v>
      </c>
    </row>
    <row r="21" spans="1:23" ht="18.75">
      <c r="B21" s="78" t="s">
        <v>76</v>
      </c>
      <c r="C21" s="78" t="s">
        <v>265</v>
      </c>
    </row>
    <row r="22" spans="1:23" ht="18.75">
      <c r="B22" s="78" t="s">
        <v>77</v>
      </c>
      <c r="C22" s="78" t="s">
        <v>263</v>
      </c>
    </row>
    <row r="23" spans="1:23" ht="18.75">
      <c r="B23" s="78" t="s">
        <v>78</v>
      </c>
      <c r="C23" s="78" t="s">
        <v>265</v>
      </c>
    </row>
    <row r="24" spans="1:23" ht="18.75">
      <c r="B24" s="78" t="s">
        <v>79</v>
      </c>
      <c r="C24" s="78" t="s">
        <v>265</v>
      </c>
    </row>
    <row r="25" spans="1:23" ht="18.75">
      <c r="B25" s="78" t="s">
        <v>80</v>
      </c>
      <c r="C25" s="78" t="s">
        <v>264</v>
      </c>
    </row>
    <row r="28" spans="1:23" s="14" customFormat="1" ht="38.25">
      <c r="A28" s="65" t="s">
        <v>266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15"/>
      <c r="W28" s="15"/>
    </row>
    <row r="29" spans="1:23" s="59" customFormat="1" ht="38.25">
      <c r="A29" s="66" t="s">
        <v>321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0"/>
      <c r="O29" s="60"/>
      <c r="P29" s="60"/>
      <c r="Q29" s="60"/>
      <c r="R29" s="60"/>
      <c r="S29" s="60"/>
      <c r="T29" s="60"/>
      <c r="U29" s="60"/>
      <c r="V29" s="58"/>
      <c r="W29" s="58"/>
    </row>
    <row r="31" spans="1:23" ht="48.75" customHeight="1">
      <c r="B31" s="150" t="s">
        <v>284</v>
      </c>
      <c r="C31" s="150"/>
      <c r="E31" s="146" t="s">
        <v>307</v>
      </c>
      <c r="F31" s="147"/>
    </row>
    <row r="32" spans="1:23" ht="21">
      <c r="B32" s="145" t="s">
        <v>285</v>
      </c>
      <c r="C32" s="145"/>
      <c r="E32" s="148">
        <f>COUNTIF(B32:C53,"*Silva*")</f>
        <v>3</v>
      </c>
      <c r="F32" s="149"/>
    </row>
    <row r="33" spans="2:3" ht="18.75">
      <c r="B33" s="145" t="s">
        <v>286</v>
      </c>
      <c r="C33" s="145"/>
    </row>
    <row r="34" spans="2:3" ht="18.75">
      <c r="B34" s="145" t="s">
        <v>287</v>
      </c>
      <c r="C34" s="145"/>
    </row>
    <row r="35" spans="2:3" ht="18.75">
      <c r="B35" s="145" t="s">
        <v>288</v>
      </c>
      <c r="C35" s="145"/>
    </row>
    <row r="36" spans="2:3" ht="18.75">
      <c r="B36" s="145" t="s">
        <v>289</v>
      </c>
      <c r="C36" s="145"/>
    </row>
    <row r="37" spans="2:3" ht="18.75">
      <c r="B37" s="145" t="s">
        <v>290</v>
      </c>
      <c r="C37" s="145"/>
    </row>
    <row r="38" spans="2:3" ht="18.75">
      <c r="B38" s="145" t="s">
        <v>291</v>
      </c>
      <c r="C38" s="145"/>
    </row>
    <row r="39" spans="2:3" ht="18.75">
      <c r="B39" s="145" t="s">
        <v>292</v>
      </c>
      <c r="C39" s="145"/>
    </row>
    <row r="40" spans="2:3" ht="18.75">
      <c r="B40" s="145" t="s">
        <v>293</v>
      </c>
      <c r="C40" s="145"/>
    </row>
    <row r="41" spans="2:3" ht="18.75">
      <c r="B41" s="145" t="s">
        <v>294</v>
      </c>
      <c r="C41" s="145"/>
    </row>
    <row r="42" spans="2:3" ht="18.75">
      <c r="B42" s="145" t="s">
        <v>295</v>
      </c>
      <c r="C42" s="145"/>
    </row>
    <row r="43" spans="2:3" ht="18.75">
      <c r="B43" s="145" t="s">
        <v>296</v>
      </c>
      <c r="C43" s="145"/>
    </row>
    <row r="44" spans="2:3" ht="18.75">
      <c r="B44" s="145" t="s">
        <v>297</v>
      </c>
      <c r="C44" s="145"/>
    </row>
    <row r="45" spans="2:3" ht="18.75">
      <c r="B45" s="145" t="s">
        <v>298</v>
      </c>
      <c r="C45" s="145"/>
    </row>
    <row r="46" spans="2:3" ht="18.75">
      <c r="B46" s="145" t="s">
        <v>299</v>
      </c>
      <c r="C46" s="145"/>
    </row>
    <row r="47" spans="2:3" ht="18.75">
      <c r="B47" s="145" t="s">
        <v>300</v>
      </c>
      <c r="C47" s="145"/>
    </row>
    <row r="48" spans="2:3" ht="18.75">
      <c r="B48" s="145" t="s">
        <v>301</v>
      </c>
      <c r="C48" s="145"/>
    </row>
    <row r="49" spans="1:23" ht="18.75">
      <c r="B49" s="145" t="s">
        <v>302</v>
      </c>
      <c r="C49" s="145"/>
    </row>
    <row r="50" spans="1:23" ht="18.75">
      <c r="B50" s="145" t="s">
        <v>303</v>
      </c>
      <c r="C50" s="145"/>
    </row>
    <row r="51" spans="1:23" ht="18.75">
      <c r="B51" s="145" t="s">
        <v>304</v>
      </c>
      <c r="C51" s="145"/>
    </row>
    <row r="52" spans="1:23" ht="18.75">
      <c r="B52" s="145" t="s">
        <v>305</v>
      </c>
      <c r="C52" s="145"/>
    </row>
    <row r="53" spans="1:23" ht="18.75">
      <c r="B53" s="145" t="s">
        <v>306</v>
      </c>
      <c r="C53" s="145"/>
    </row>
    <row r="55" spans="1:23" s="14" customFormat="1" ht="38.25">
      <c r="A55" s="65" t="s">
        <v>266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15"/>
      <c r="W55" s="15"/>
    </row>
    <row r="56" spans="1:23" s="59" customFormat="1" ht="38.25">
      <c r="A56" s="66" t="s">
        <v>272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0"/>
      <c r="O56" s="60"/>
      <c r="P56" s="60"/>
      <c r="Q56" s="60"/>
      <c r="R56" s="60"/>
      <c r="S56" s="60"/>
      <c r="T56" s="60"/>
      <c r="U56" s="60"/>
      <c r="V56" s="58"/>
      <c r="W56" s="58"/>
    </row>
    <row r="57" spans="1:23" ht="18.75">
      <c r="B57" s="69"/>
      <c r="C57" s="69"/>
      <c r="D57" s="11"/>
      <c r="E57" s="77"/>
    </row>
    <row r="58" spans="1:23" ht="18.75">
      <c r="B58" s="31" t="s">
        <v>62</v>
      </c>
      <c r="C58" s="31" t="s">
        <v>261</v>
      </c>
      <c r="E58" s="142" t="s">
        <v>274</v>
      </c>
      <c r="F58" s="143"/>
      <c r="G58" s="143"/>
      <c r="H58" s="144"/>
    </row>
    <row r="59" spans="1:23" ht="18.75">
      <c r="B59" s="78" t="s">
        <v>34</v>
      </c>
      <c r="C59" s="79">
        <v>20</v>
      </c>
      <c r="E59" s="86" t="s">
        <v>265</v>
      </c>
      <c r="F59" s="86" t="s">
        <v>264</v>
      </c>
      <c r="G59" s="86" t="s">
        <v>263</v>
      </c>
      <c r="H59" s="86" t="s">
        <v>267</v>
      </c>
    </row>
    <row r="60" spans="1:23" ht="18.75">
      <c r="B60" s="78" t="s">
        <v>35</v>
      </c>
      <c r="C60" s="79">
        <v>12</v>
      </c>
      <c r="E60" s="84" t="s">
        <v>268</v>
      </c>
      <c r="F60" s="87" t="s">
        <v>269</v>
      </c>
      <c r="G60" s="84" t="s">
        <v>270</v>
      </c>
      <c r="H60" s="84" t="s">
        <v>271</v>
      </c>
    </row>
    <row r="61" spans="1:23" ht="18.75">
      <c r="B61" s="78" t="s">
        <v>36</v>
      </c>
      <c r="C61" s="79">
        <v>2</v>
      </c>
      <c r="E61" s="50">
        <f>COUNTIF(C59:C80,"&lt;=11")</f>
        <v>9</v>
      </c>
      <c r="F61" s="79">
        <f>COUNTIF(C59:C80,"&lt;=17")-E61</f>
        <v>4</v>
      </c>
      <c r="G61" s="79">
        <f>COUNTIF(C59:C80,"&lt;=64")-SUM(E61:F61)</f>
        <v>6</v>
      </c>
      <c r="H61" s="50">
        <f>COUNTIF(C59:C80,"&gt;=65")</f>
        <v>3</v>
      </c>
    </row>
    <row r="62" spans="1:23" ht="18.75">
      <c r="B62" s="78" t="s">
        <v>37</v>
      </c>
      <c r="C62" s="79">
        <v>17</v>
      </c>
    </row>
    <row r="63" spans="1:23" ht="18.75">
      <c r="B63" s="78" t="s">
        <v>38</v>
      </c>
      <c r="C63" s="79">
        <v>68</v>
      </c>
    </row>
    <row r="64" spans="1:23" ht="18.75">
      <c r="B64" s="78" t="s">
        <v>75</v>
      </c>
      <c r="C64" s="79">
        <v>15</v>
      </c>
    </row>
    <row r="65" spans="2:3" ht="18.75">
      <c r="B65" s="78" t="s">
        <v>76</v>
      </c>
      <c r="C65" s="79">
        <v>35</v>
      </c>
    </row>
    <row r="66" spans="2:3" ht="18.75">
      <c r="B66" s="78" t="s">
        <v>77</v>
      </c>
      <c r="C66" s="79">
        <v>70</v>
      </c>
    </row>
    <row r="67" spans="2:3" ht="18.75">
      <c r="B67" s="78" t="s">
        <v>78</v>
      </c>
      <c r="C67" s="79">
        <v>5</v>
      </c>
    </row>
    <row r="68" spans="2:3" ht="18.75">
      <c r="B68" s="78" t="s">
        <v>79</v>
      </c>
      <c r="C68" s="79">
        <v>45</v>
      </c>
    </row>
    <row r="69" spans="2:3" ht="18.75">
      <c r="B69" s="78" t="s">
        <v>80</v>
      </c>
      <c r="C69" s="79">
        <v>11</v>
      </c>
    </row>
    <row r="70" spans="2:3" ht="18.75">
      <c r="B70" s="78" t="s">
        <v>34</v>
      </c>
      <c r="C70" s="79">
        <v>10</v>
      </c>
    </row>
    <row r="71" spans="2:3" ht="18.75">
      <c r="B71" s="78" t="s">
        <v>35</v>
      </c>
      <c r="C71" s="79">
        <v>8</v>
      </c>
    </row>
    <row r="72" spans="2:3" ht="18.75">
      <c r="B72" s="78" t="s">
        <v>36</v>
      </c>
      <c r="C72" s="79">
        <v>32</v>
      </c>
    </row>
    <row r="73" spans="2:3" ht="18.75">
      <c r="B73" s="78" t="s">
        <v>37</v>
      </c>
      <c r="C73" s="79">
        <v>1</v>
      </c>
    </row>
    <row r="74" spans="2:3" ht="18.75">
      <c r="B74" s="78" t="s">
        <v>38</v>
      </c>
      <c r="C74" s="79">
        <v>55</v>
      </c>
    </row>
    <row r="75" spans="2:3" ht="18.75">
      <c r="B75" s="78" t="s">
        <v>75</v>
      </c>
      <c r="C75" s="79">
        <v>65</v>
      </c>
    </row>
    <row r="76" spans="2:3" ht="18.75">
      <c r="B76" s="78" t="s">
        <v>76</v>
      </c>
      <c r="C76" s="79">
        <v>9</v>
      </c>
    </row>
    <row r="77" spans="2:3" ht="18.75">
      <c r="B77" s="78" t="s">
        <v>77</v>
      </c>
      <c r="C77" s="79">
        <v>64</v>
      </c>
    </row>
    <row r="78" spans="2:3" ht="18.75">
      <c r="B78" s="78" t="s">
        <v>78</v>
      </c>
      <c r="C78" s="79">
        <v>2</v>
      </c>
    </row>
    <row r="79" spans="2:3" ht="18.75">
      <c r="B79" s="78" t="s">
        <v>79</v>
      </c>
      <c r="C79" s="79">
        <v>10</v>
      </c>
    </row>
    <row r="80" spans="2:3" ht="18.75">
      <c r="B80" s="78" t="s">
        <v>80</v>
      </c>
      <c r="C80" s="79">
        <v>17</v>
      </c>
    </row>
    <row r="81" spans="1:23" ht="18.75">
      <c r="B81" s="69"/>
      <c r="C81" s="69"/>
      <c r="D81" s="11"/>
      <c r="E81" s="77"/>
    </row>
    <row r="82" spans="1:23" ht="18.75">
      <c r="B82" s="69"/>
      <c r="C82" s="69"/>
      <c r="D82" s="11"/>
      <c r="E82" s="77"/>
    </row>
    <row r="83" spans="1:23" s="14" customFormat="1" ht="38.25">
      <c r="A83" s="65" t="s">
        <v>283</v>
      </c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15"/>
      <c r="W83" s="15"/>
    </row>
    <row r="84" spans="1:23" s="59" customFormat="1" ht="38.25">
      <c r="A84" s="66" t="s">
        <v>319</v>
      </c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0"/>
      <c r="O84" s="60"/>
      <c r="P84" s="60"/>
      <c r="Q84" s="60"/>
      <c r="R84" s="60"/>
      <c r="S84" s="60"/>
      <c r="T84" s="60"/>
      <c r="U84" s="60"/>
      <c r="V84" s="58"/>
      <c r="W84" s="58"/>
    </row>
    <row r="85" spans="1:23" ht="18.75">
      <c r="B85" s="69"/>
      <c r="C85" s="69"/>
      <c r="D85" s="11"/>
      <c r="E85" s="77"/>
    </row>
    <row r="86" spans="1:23" ht="18.75">
      <c r="B86" s="31" t="s">
        <v>62</v>
      </c>
      <c r="C86" s="31" t="s">
        <v>262</v>
      </c>
      <c r="D86" s="31" t="s">
        <v>308</v>
      </c>
      <c r="E86" s="77"/>
      <c r="F86" s="151" t="s">
        <v>311</v>
      </c>
      <c r="G86" s="152"/>
      <c r="H86" s="153" t="s">
        <v>312</v>
      </c>
      <c r="I86" s="154"/>
    </row>
    <row r="87" spans="1:23" ht="18.75">
      <c r="B87" s="78" t="s">
        <v>34</v>
      </c>
      <c r="C87" s="78" t="s">
        <v>263</v>
      </c>
      <c r="D87" s="54" t="s">
        <v>309</v>
      </c>
      <c r="E87" s="77"/>
      <c r="F87" s="155">
        <f>COUNTIFS(C87:C108,"Criança",D87:D108,"M")</f>
        <v>6</v>
      </c>
      <c r="G87" s="156"/>
      <c r="H87" s="155">
        <f>COUNTIFS(C87:C108,"Criança",D87:D108,"F")</f>
        <v>3</v>
      </c>
      <c r="I87" s="156"/>
    </row>
    <row r="88" spans="1:23" ht="18.75">
      <c r="B88" s="78" t="s">
        <v>35</v>
      </c>
      <c r="C88" s="78" t="s">
        <v>264</v>
      </c>
      <c r="D88" s="54" t="s">
        <v>310</v>
      </c>
      <c r="E88" s="77"/>
    </row>
    <row r="89" spans="1:23" ht="18.75">
      <c r="B89" s="78" t="s">
        <v>36</v>
      </c>
      <c r="C89" s="78" t="s">
        <v>265</v>
      </c>
      <c r="D89" s="54" t="s">
        <v>310</v>
      </c>
      <c r="E89" s="77"/>
      <c r="F89" s="151" t="s">
        <v>313</v>
      </c>
      <c r="G89" s="152"/>
      <c r="H89" s="153" t="s">
        <v>314</v>
      </c>
      <c r="I89" s="154"/>
    </row>
    <row r="90" spans="1:23" ht="18.75">
      <c r="B90" s="78" t="s">
        <v>37</v>
      </c>
      <c r="C90" s="78" t="s">
        <v>264</v>
      </c>
      <c r="D90" s="54" t="s">
        <v>310</v>
      </c>
      <c r="E90" s="77"/>
      <c r="F90" s="155">
        <f>COUNTIFS(C87:C108,"Adolescente",D87:D108,"M")</f>
        <v>2</v>
      </c>
      <c r="G90" s="156"/>
      <c r="H90" s="155">
        <f>COUNTIFS(C87:C108,"Adolescente",D87:D108,"F")</f>
        <v>2</v>
      </c>
      <c r="I90" s="156"/>
    </row>
    <row r="91" spans="1:23" ht="18.75">
      <c r="B91" s="78" t="s">
        <v>38</v>
      </c>
      <c r="C91" s="78" t="s">
        <v>267</v>
      </c>
      <c r="D91" s="54" t="s">
        <v>310</v>
      </c>
      <c r="E91" s="77"/>
    </row>
    <row r="92" spans="1:23" ht="18.75">
      <c r="B92" s="78" t="s">
        <v>75</v>
      </c>
      <c r="C92" s="78" t="s">
        <v>264</v>
      </c>
      <c r="D92" s="54" t="s">
        <v>309</v>
      </c>
      <c r="E92" s="77"/>
      <c r="F92" s="151" t="s">
        <v>315</v>
      </c>
      <c r="G92" s="152"/>
      <c r="H92" s="153" t="s">
        <v>316</v>
      </c>
      <c r="I92" s="154"/>
    </row>
    <row r="93" spans="1:23" ht="18.75">
      <c r="B93" s="78" t="s">
        <v>76</v>
      </c>
      <c r="C93" s="78" t="s">
        <v>263</v>
      </c>
      <c r="D93" s="54" t="s">
        <v>309</v>
      </c>
      <c r="E93" s="77"/>
      <c r="F93" s="155">
        <f>COUNTIFS(C87:C108,"Adulto",D87:D108,"M")</f>
        <v>4</v>
      </c>
      <c r="G93" s="156"/>
      <c r="H93" s="155">
        <f>COUNTIFS(C87:C108,"Adulto",D87:D108,"F")</f>
        <v>2</v>
      </c>
      <c r="I93" s="156"/>
    </row>
    <row r="94" spans="1:23" ht="18.75">
      <c r="B94" s="78" t="s">
        <v>77</v>
      </c>
      <c r="C94" s="78" t="s">
        <v>267</v>
      </c>
      <c r="D94" s="54" t="s">
        <v>310</v>
      </c>
      <c r="E94" s="77"/>
    </row>
    <row r="95" spans="1:23" ht="18.75">
      <c r="B95" s="78" t="s">
        <v>78</v>
      </c>
      <c r="C95" s="78" t="s">
        <v>265</v>
      </c>
      <c r="D95" s="54" t="s">
        <v>310</v>
      </c>
      <c r="E95" s="77"/>
      <c r="F95" s="151" t="s">
        <v>317</v>
      </c>
      <c r="G95" s="152"/>
      <c r="H95" s="153" t="s">
        <v>318</v>
      </c>
      <c r="I95" s="154"/>
    </row>
    <row r="96" spans="1:23" ht="18.75">
      <c r="B96" s="78" t="s">
        <v>79</v>
      </c>
      <c r="C96" s="78" t="s">
        <v>263</v>
      </c>
      <c r="D96" s="54" t="s">
        <v>310</v>
      </c>
      <c r="E96" s="77"/>
      <c r="F96" s="155">
        <f>COUNTIFS(C87:C108,"Idoso",D87:D108,"M")</f>
        <v>2</v>
      </c>
      <c r="G96" s="156"/>
      <c r="H96" s="155">
        <f>COUNTIFS(C87:C108,"Idoso",D87:D108,"F")</f>
        <v>1</v>
      </c>
      <c r="I96" s="156"/>
    </row>
    <row r="97" spans="1:23" ht="18.75">
      <c r="B97" s="78" t="s">
        <v>80</v>
      </c>
      <c r="C97" s="78" t="s">
        <v>265</v>
      </c>
      <c r="D97" s="54" t="s">
        <v>309</v>
      </c>
      <c r="E97" s="77"/>
    </row>
    <row r="98" spans="1:23" ht="18.75">
      <c r="B98" s="78" t="s">
        <v>34</v>
      </c>
      <c r="C98" s="78" t="s">
        <v>265</v>
      </c>
      <c r="D98" s="54" t="s">
        <v>309</v>
      </c>
      <c r="E98" s="77"/>
    </row>
    <row r="99" spans="1:23" ht="18.75">
      <c r="B99" s="78" t="s">
        <v>35</v>
      </c>
      <c r="C99" s="78" t="s">
        <v>265</v>
      </c>
      <c r="D99" s="54" t="s">
        <v>310</v>
      </c>
      <c r="E99" s="77"/>
    </row>
    <row r="100" spans="1:23" ht="18.75">
      <c r="B100" s="78" t="s">
        <v>36</v>
      </c>
      <c r="C100" s="78" t="s">
        <v>263</v>
      </c>
      <c r="D100" s="54" t="s">
        <v>310</v>
      </c>
      <c r="E100" s="77"/>
    </row>
    <row r="101" spans="1:23" ht="18.75">
      <c r="B101" s="78" t="s">
        <v>37</v>
      </c>
      <c r="C101" s="78" t="s">
        <v>265</v>
      </c>
      <c r="D101" s="54" t="s">
        <v>310</v>
      </c>
      <c r="E101" s="77"/>
    </row>
    <row r="102" spans="1:23" ht="18.75">
      <c r="B102" s="78" t="s">
        <v>38</v>
      </c>
      <c r="C102" s="78" t="s">
        <v>263</v>
      </c>
      <c r="D102" s="54" t="s">
        <v>310</v>
      </c>
      <c r="E102" s="77"/>
    </row>
    <row r="103" spans="1:23" ht="18.75">
      <c r="B103" s="78" t="s">
        <v>75</v>
      </c>
      <c r="C103" s="78" t="s">
        <v>267</v>
      </c>
      <c r="D103" s="54" t="s">
        <v>309</v>
      </c>
      <c r="E103" s="77"/>
    </row>
    <row r="104" spans="1:23" ht="18.75">
      <c r="B104" s="78" t="s">
        <v>76</v>
      </c>
      <c r="C104" s="78" t="s">
        <v>265</v>
      </c>
      <c r="D104" s="54" t="s">
        <v>309</v>
      </c>
      <c r="E104" s="77"/>
    </row>
    <row r="105" spans="1:23" ht="18.75">
      <c r="B105" s="78" t="s">
        <v>77</v>
      </c>
      <c r="C105" s="78" t="s">
        <v>263</v>
      </c>
      <c r="D105" s="54" t="s">
        <v>310</v>
      </c>
      <c r="E105" s="77"/>
    </row>
    <row r="106" spans="1:23" ht="18.75">
      <c r="B106" s="78" t="s">
        <v>78</v>
      </c>
      <c r="C106" s="78" t="s">
        <v>265</v>
      </c>
      <c r="D106" s="54" t="s">
        <v>310</v>
      </c>
      <c r="E106" s="77"/>
    </row>
    <row r="107" spans="1:23" ht="18.75">
      <c r="B107" s="78" t="s">
        <v>79</v>
      </c>
      <c r="C107" s="78" t="s">
        <v>265</v>
      </c>
      <c r="D107" s="54" t="s">
        <v>310</v>
      </c>
      <c r="E107" s="77"/>
    </row>
    <row r="108" spans="1:23" ht="18.75">
      <c r="B108" s="78" t="s">
        <v>80</v>
      </c>
      <c r="C108" s="78" t="s">
        <v>264</v>
      </c>
      <c r="D108" s="54" t="s">
        <v>309</v>
      </c>
      <c r="E108" s="77"/>
    </row>
    <row r="109" spans="1:23" ht="18.75">
      <c r="B109" s="69"/>
      <c r="C109" s="69"/>
      <c r="D109" s="11"/>
      <c r="E109" s="77"/>
    </row>
    <row r="111" spans="1:23" s="14" customFormat="1" ht="38.25">
      <c r="A111" s="65" t="s">
        <v>275</v>
      </c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15"/>
      <c r="W111" s="15"/>
    </row>
    <row r="112" spans="1:23" s="59" customFormat="1" ht="38.25">
      <c r="A112" s="66" t="s">
        <v>242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0"/>
      <c r="O112" s="60"/>
      <c r="P112" s="60"/>
      <c r="Q112" s="60"/>
      <c r="R112" s="60"/>
      <c r="S112" s="60"/>
      <c r="T112" s="60"/>
      <c r="U112" s="60"/>
      <c r="V112" s="58"/>
      <c r="W112" s="58"/>
    </row>
    <row r="113" spans="2:9" ht="18.75">
      <c r="B113" s="69"/>
      <c r="C113" s="69"/>
      <c r="D113" s="11"/>
      <c r="E113" s="77"/>
    </row>
    <row r="114" spans="2:9" ht="18.75">
      <c r="B114" s="142" t="s">
        <v>279</v>
      </c>
      <c r="C114" s="143"/>
      <c r="D114" s="144"/>
      <c r="F114" s="142" t="s">
        <v>343</v>
      </c>
      <c r="G114" s="143"/>
      <c r="H114" s="143"/>
      <c r="I114" s="144"/>
    </row>
    <row r="115" spans="2:9" ht="18.75">
      <c r="B115" s="31" t="s">
        <v>129</v>
      </c>
      <c r="C115" s="31" t="s">
        <v>277</v>
      </c>
      <c r="D115" s="31" t="s">
        <v>282</v>
      </c>
      <c r="F115" s="132" t="s">
        <v>129</v>
      </c>
      <c r="G115" s="133"/>
      <c r="H115" s="132" t="s">
        <v>277</v>
      </c>
      <c r="I115" s="133"/>
    </row>
    <row r="116" spans="2:9" ht="17.100000000000001" customHeight="1">
      <c r="B116" s="78" t="s">
        <v>34</v>
      </c>
      <c r="C116" s="79" t="s">
        <v>280</v>
      </c>
      <c r="D116" s="80">
        <v>42309</v>
      </c>
      <c r="F116" s="159" t="s">
        <v>36</v>
      </c>
      <c r="G116" s="160"/>
      <c r="H116" s="159" t="s">
        <v>281</v>
      </c>
      <c r="I116" s="160"/>
    </row>
    <row r="117" spans="2:9" ht="17.100000000000001" customHeight="1">
      <c r="B117" s="78" t="s">
        <v>35</v>
      </c>
      <c r="C117" s="79" t="s">
        <v>280</v>
      </c>
      <c r="D117" s="80">
        <v>42310</v>
      </c>
      <c r="E117" s="77"/>
    </row>
    <row r="118" spans="2:9" ht="17.100000000000001" customHeight="1">
      <c r="B118" s="78" t="s">
        <v>36</v>
      </c>
      <c r="C118" s="79" t="s">
        <v>281</v>
      </c>
      <c r="D118" s="80">
        <v>42313</v>
      </c>
      <c r="F118" s="31" t="s">
        <v>278</v>
      </c>
    </row>
    <row r="119" spans="2:9" ht="17.100000000000001" customHeight="1">
      <c r="B119" s="78" t="s">
        <v>37</v>
      </c>
      <c r="C119" s="79" t="s">
        <v>281</v>
      </c>
      <c r="D119" s="80">
        <v>42314</v>
      </c>
      <c r="F119" s="161">
        <f>COUNTIFS(B116:B137,F116,C116:C137,H116)</f>
        <v>3</v>
      </c>
    </row>
    <row r="120" spans="2:9" ht="17.100000000000001" customHeight="1">
      <c r="B120" s="78" t="s">
        <v>38</v>
      </c>
      <c r="C120" s="79" t="s">
        <v>280</v>
      </c>
      <c r="D120" s="80">
        <v>42315</v>
      </c>
      <c r="F120" s="161"/>
    </row>
    <row r="121" spans="2:9" ht="17.100000000000001" customHeight="1">
      <c r="B121" s="78" t="s">
        <v>75</v>
      </c>
      <c r="C121" s="79" t="s">
        <v>281</v>
      </c>
      <c r="D121" s="80">
        <v>42318</v>
      </c>
      <c r="F121" s="161"/>
    </row>
    <row r="122" spans="2:9" ht="17.100000000000001" customHeight="1">
      <c r="B122" s="78" t="s">
        <v>35</v>
      </c>
      <c r="C122" s="79" t="s">
        <v>280</v>
      </c>
      <c r="D122" s="80">
        <v>42320</v>
      </c>
      <c r="E122" s="77"/>
    </row>
    <row r="123" spans="2:9" ht="17.100000000000001" customHeight="1">
      <c r="B123" s="78" t="s">
        <v>34</v>
      </c>
      <c r="C123" s="79" t="s">
        <v>280</v>
      </c>
      <c r="D123" s="80">
        <v>42321</v>
      </c>
      <c r="E123" s="77"/>
    </row>
    <row r="124" spans="2:9" ht="17.100000000000001" customHeight="1">
      <c r="B124" s="78" t="s">
        <v>36</v>
      </c>
      <c r="C124" s="79" t="s">
        <v>280</v>
      </c>
      <c r="D124" s="80">
        <v>42322</v>
      </c>
      <c r="E124" s="77"/>
    </row>
    <row r="125" spans="2:9" ht="17.100000000000001" customHeight="1">
      <c r="B125" s="78" t="s">
        <v>36</v>
      </c>
      <c r="C125" s="79" t="s">
        <v>281</v>
      </c>
      <c r="D125" s="80">
        <v>42324</v>
      </c>
      <c r="E125" s="77"/>
    </row>
    <row r="126" spans="2:9" ht="17.100000000000001" customHeight="1">
      <c r="B126" s="78" t="s">
        <v>35</v>
      </c>
      <c r="C126" s="79" t="s">
        <v>280</v>
      </c>
      <c r="D126" s="80">
        <v>42326</v>
      </c>
      <c r="E126" s="77"/>
    </row>
    <row r="127" spans="2:9" ht="17.100000000000001" customHeight="1">
      <c r="B127" s="78" t="s">
        <v>37</v>
      </c>
      <c r="C127" s="79" t="s">
        <v>281</v>
      </c>
      <c r="D127" s="80">
        <v>42328</v>
      </c>
      <c r="E127" s="77"/>
    </row>
    <row r="128" spans="2:9" ht="17.100000000000001" customHeight="1">
      <c r="B128" s="78" t="s">
        <v>34</v>
      </c>
      <c r="C128" s="79" t="s">
        <v>281</v>
      </c>
      <c r="D128" s="80">
        <v>42328</v>
      </c>
      <c r="E128" s="77"/>
    </row>
    <row r="129" spans="1:23" ht="17.100000000000001" customHeight="1">
      <c r="B129" s="78" t="s">
        <v>36</v>
      </c>
      <c r="C129" s="79" t="s">
        <v>281</v>
      </c>
      <c r="D129" s="80">
        <v>42329</v>
      </c>
      <c r="E129" s="77"/>
    </row>
    <row r="130" spans="1:23" ht="17.100000000000001" customHeight="1">
      <c r="B130" s="78" t="s">
        <v>35</v>
      </c>
      <c r="C130" s="79" t="s">
        <v>280</v>
      </c>
      <c r="D130" s="80">
        <v>42330</v>
      </c>
      <c r="E130" s="77"/>
    </row>
    <row r="131" spans="1:23" ht="17.100000000000001" customHeight="1">
      <c r="B131" s="78" t="s">
        <v>38</v>
      </c>
      <c r="C131" s="79" t="s">
        <v>280</v>
      </c>
      <c r="D131" s="80">
        <v>42331</v>
      </c>
      <c r="E131" s="77"/>
    </row>
    <row r="132" spans="1:23" ht="17.100000000000001" customHeight="1">
      <c r="B132" s="78" t="s">
        <v>35</v>
      </c>
      <c r="C132" s="79" t="s">
        <v>280</v>
      </c>
      <c r="D132" s="80">
        <v>42333</v>
      </c>
      <c r="E132" s="77"/>
    </row>
    <row r="133" spans="1:23" ht="17.100000000000001" customHeight="1">
      <c r="B133" s="78" t="s">
        <v>75</v>
      </c>
      <c r="C133" s="79" t="s">
        <v>281</v>
      </c>
      <c r="D133" s="80">
        <v>42335</v>
      </c>
      <c r="E133" s="77"/>
    </row>
    <row r="134" spans="1:23" ht="17.100000000000001" customHeight="1">
      <c r="B134" s="78" t="s">
        <v>34</v>
      </c>
      <c r="C134" s="79" t="s">
        <v>280</v>
      </c>
      <c r="D134" s="80">
        <v>42335</v>
      </c>
      <c r="E134" s="77"/>
    </row>
    <row r="135" spans="1:23" ht="17.100000000000001" customHeight="1">
      <c r="B135" s="78" t="s">
        <v>35</v>
      </c>
      <c r="C135" s="79" t="s">
        <v>280</v>
      </c>
      <c r="D135" s="80">
        <v>42336</v>
      </c>
      <c r="E135" s="77"/>
    </row>
    <row r="136" spans="1:23" ht="17.100000000000001" customHeight="1">
      <c r="B136" s="78" t="s">
        <v>75</v>
      </c>
      <c r="C136" s="79" t="s">
        <v>281</v>
      </c>
      <c r="D136" s="80">
        <v>42337</v>
      </c>
      <c r="E136" s="77"/>
    </row>
    <row r="137" spans="1:23" ht="17.100000000000001" customHeight="1">
      <c r="B137" s="78" t="s">
        <v>35</v>
      </c>
      <c r="C137" s="79" t="s">
        <v>280</v>
      </c>
      <c r="D137" s="80">
        <v>42338</v>
      </c>
      <c r="E137" s="77"/>
    </row>
    <row r="140" spans="1:23" s="14" customFormat="1" ht="38.25">
      <c r="A140" s="65" t="s">
        <v>320</v>
      </c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15"/>
      <c r="W140" s="15"/>
    </row>
    <row r="141" spans="1:23" s="59" customFormat="1" ht="38.25">
      <c r="A141" s="66" t="s">
        <v>276</v>
      </c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0"/>
      <c r="O141" s="60"/>
      <c r="P141" s="60"/>
      <c r="Q141" s="60"/>
      <c r="R141" s="60"/>
      <c r="S141" s="60"/>
      <c r="T141" s="60"/>
      <c r="U141" s="60"/>
      <c r="V141" s="58"/>
      <c r="W141" s="58"/>
    </row>
    <row r="143" spans="1:23" ht="18.75">
      <c r="C143" s="142" t="s">
        <v>322</v>
      </c>
      <c r="D143" s="143"/>
      <c r="E143" s="143"/>
      <c r="F143" s="143"/>
      <c r="G143" s="143"/>
      <c r="H143" s="143"/>
      <c r="I143" s="144"/>
    </row>
    <row r="144" spans="1:23" ht="18.75">
      <c r="C144" s="82" t="s">
        <v>249</v>
      </c>
      <c r="D144" s="82" t="s">
        <v>250</v>
      </c>
      <c r="E144" s="82" t="s">
        <v>251</v>
      </c>
      <c r="F144" s="82" t="s">
        <v>254</v>
      </c>
      <c r="G144" s="82" t="s">
        <v>253</v>
      </c>
      <c r="H144" s="82" t="s">
        <v>256</v>
      </c>
      <c r="I144" s="82" t="s">
        <v>255</v>
      </c>
      <c r="J144" s="75"/>
    </row>
    <row r="145" spans="3:9" ht="18.75">
      <c r="C145" s="50">
        <f>COUNTIF($E$153:$E$176,C144)</f>
        <v>4</v>
      </c>
      <c r="D145" s="117">
        <f t="shared" ref="D145:I145" si="1">COUNTIF($E$153:$E$176,D144)</f>
        <v>3</v>
      </c>
      <c r="E145" s="117">
        <f t="shared" si="1"/>
        <v>4</v>
      </c>
      <c r="F145" s="117">
        <f t="shared" si="1"/>
        <v>2</v>
      </c>
      <c r="G145" s="117">
        <f t="shared" si="1"/>
        <v>4</v>
      </c>
      <c r="H145" s="117">
        <f t="shared" si="1"/>
        <v>4</v>
      </c>
      <c r="I145" s="117">
        <f t="shared" si="1"/>
        <v>3</v>
      </c>
    </row>
    <row r="146" spans="3:9" ht="18.75">
      <c r="C146" s="116"/>
      <c r="D146" s="116"/>
      <c r="E146" s="116"/>
      <c r="F146" s="116"/>
      <c r="G146" s="116"/>
      <c r="H146" s="116"/>
      <c r="I146" s="116"/>
    </row>
    <row r="147" spans="3:9" ht="18.75">
      <c r="D147" s="162" t="s">
        <v>428</v>
      </c>
      <c r="E147" s="162"/>
      <c r="F147" s="162"/>
      <c r="G147" s="162"/>
    </row>
    <row r="148" spans="3:9" ht="46.5" customHeight="1">
      <c r="D148" s="157" t="s">
        <v>429</v>
      </c>
      <c r="E148" s="157"/>
      <c r="F148" s="157"/>
      <c r="G148" s="157"/>
    </row>
    <row r="149" spans="3:9" ht="36.75" customHeight="1">
      <c r="D149" s="158">
        <f>COUNTIFS(F153:F176,"&gt;3",G153:G176,"&gt;2000")</f>
        <v>13</v>
      </c>
      <c r="E149" s="158"/>
      <c r="F149" s="158"/>
      <c r="G149" s="158"/>
    </row>
    <row r="150" spans="3:9" ht="15" customHeight="1"/>
    <row r="151" spans="3:9" ht="18.75">
      <c r="D151" s="142" t="s">
        <v>248</v>
      </c>
      <c r="E151" s="143"/>
      <c r="F151" s="143"/>
      <c r="G151" s="144"/>
    </row>
    <row r="152" spans="3:9" ht="37.5">
      <c r="D152" s="31" t="s">
        <v>244</v>
      </c>
      <c r="E152" s="31" t="s">
        <v>245</v>
      </c>
      <c r="F152" s="83" t="s">
        <v>247</v>
      </c>
      <c r="G152" s="31" t="s">
        <v>246</v>
      </c>
    </row>
    <row r="153" spans="3:9" ht="18.75">
      <c r="D153" s="34" t="s">
        <v>227</v>
      </c>
      <c r="E153" s="34" t="s">
        <v>250</v>
      </c>
      <c r="F153" s="54">
        <v>1</v>
      </c>
      <c r="G153" s="55">
        <v>2500</v>
      </c>
    </row>
    <row r="154" spans="3:9" ht="18.75" customHeight="1">
      <c r="D154" s="34" t="s">
        <v>228</v>
      </c>
      <c r="E154" s="34" t="s">
        <v>253</v>
      </c>
      <c r="F154" s="54">
        <v>5</v>
      </c>
      <c r="G154" s="55">
        <v>3800</v>
      </c>
    </row>
    <row r="155" spans="3:9" ht="18.75">
      <c r="D155" s="34" t="s">
        <v>229</v>
      </c>
      <c r="E155" s="34" t="s">
        <v>253</v>
      </c>
      <c r="F155" s="54">
        <v>10</v>
      </c>
      <c r="G155" s="55">
        <v>6200</v>
      </c>
    </row>
    <row r="156" spans="3:9" ht="18.75">
      <c r="D156" s="34" t="s">
        <v>252</v>
      </c>
      <c r="E156" s="34" t="s">
        <v>251</v>
      </c>
      <c r="F156" s="54">
        <v>7</v>
      </c>
      <c r="G156" s="55">
        <v>5500</v>
      </c>
    </row>
    <row r="157" spans="3:9" ht="18.75">
      <c r="D157" s="34" t="s">
        <v>231</v>
      </c>
      <c r="E157" s="34" t="s">
        <v>249</v>
      </c>
      <c r="F157" s="54">
        <v>2</v>
      </c>
      <c r="G157" s="55">
        <v>1800</v>
      </c>
    </row>
    <row r="158" spans="3:9" ht="18.75">
      <c r="D158" s="34" t="s">
        <v>232</v>
      </c>
      <c r="E158" s="34" t="s">
        <v>254</v>
      </c>
      <c r="F158" s="54">
        <v>3</v>
      </c>
      <c r="G158" s="55">
        <v>6000</v>
      </c>
    </row>
    <row r="159" spans="3:9" ht="18.75">
      <c r="D159" s="34" t="s">
        <v>233</v>
      </c>
      <c r="E159" s="34" t="s">
        <v>256</v>
      </c>
      <c r="F159" s="54">
        <v>6</v>
      </c>
      <c r="G159" s="55">
        <v>1900</v>
      </c>
    </row>
    <row r="160" spans="3:9" ht="18.75">
      <c r="D160" s="34" t="s">
        <v>234</v>
      </c>
      <c r="E160" s="34" t="s">
        <v>256</v>
      </c>
      <c r="F160" s="54">
        <v>15</v>
      </c>
      <c r="G160" s="55">
        <v>3200</v>
      </c>
    </row>
    <row r="161" spans="4:7" ht="18.75">
      <c r="D161" s="34" t="s">
        <v>235</v>
      </c>
      <c r="E161" s="34" t="s">
        <v>255</v>
      </c>
      <c r="F161" s="54">
        <v>6</v>
      </c>
      <c r="G161" s="55">
        <v>3500</v>
      </c>
    </row>
    <row r="162" spans="4:7" ht="18.75">
      <c r="D162" s="34" t="s">
        <v>236</v>
      </c>
      <c r="E162" s="34" t="s">
        <v>249</v>
      </c>
      <c r="F162" s="54">
        <v>1</v>
      </c>
      <c r="G162" s="55">
        <v>1200</v>
      </c>
    </row>
    <row r="163" spans="4:7" ht="18.75">
      <c r="D163" s="34" t="s">
        <v>237</v>
      </c>
      <c r="E163" s="34" t="s">
        <v>250</v>
      </c>
      <c r="F163" s="54">
        <v>2</v>
      </c>
      <c r="G163" s="55">
        <v>2200</v>
      </c>
    </row>
    <row r="164" spans="4:7" ht="18.75">
      <c r="D164" s="34" t="s">
        <v>238</v>
      </c>
      <c r="E164" s="34" t="s">
        <v>251</v>
      </c>
      <c r="F164" s="54">
        <v>4</v>
      </c>
      <c r="G164" s="55">
        <v>3800</v>
      </c>
    </row>
    <row r="165" spans="4:7" ht="18.75">
      <c r="D165" s="34" t="s">
        <v>257</v>
      </c>
      <c r="E165" s="34" t="s">
        <v>251</v>
      </c>
      <c r="F165" s="54">
        <v>3</v>
      </c>
      <c r="G165" s="76">
        <v>3200</v>
      </c>
    </row>
    <row r="166" spans="4:7" ht="18.75">
      <c r="D166" s="34" t="s">
        <v>34</v>
      </c>
      <c r="E166" s="34" t="s">
        <v>253</v>
      </c>
      <c r="F166" s="54">
        <v>5</v>
      </c>
      <c r="G166" s="76">
        <v>3800</v>
      </c>
    </row>
    <row r="167" spans="4:7" ht="18.75">
      <c r="D167" s="34" t="s">
        <v>35</v>
      </c>
      <c r="E167" s="34" t="s">
        <v>256</v>
      </c>
      <c r="F167" s="54">
        <v>6</v>
      </c>
      <c r="G167" s="76">
        <v>2800</v>
      </c>
    </row>
    <row r="168" spans="4:7" ht="18.75">
      <c r="D168" s="34" t="s">
        <v>36</v>
      </c>
      <c r="E168" s="34" t="s">
        <v>255</v>
      </c>
      <c r="F168" s="54">
        <v>10</v>
      </c>
      <c r="G168" s="76">
        <v>3500</v>
      </c>
    </row>
    <row r="169" spans="4:7" ht="18.75">
      <c r="D169" s="34" t="s">
        <v>37</v>
      </c>
      <c r="E169" s="34" t="s">
        <v>249</v>
      </c>
      <c r="F169" s="54">
        <v>6</v>
      </c>
      <c r="G169" s="76">
        <v>4500</v>
      </c>
    </row>
    <row r="170" spans="4:7" ht="18.75">
      <c r="D170" s="34" t="s">
        <v>38</v>
      </c>
      <c r="E170" s="34" t="s">
        <v>254</v>
      </c>
      <c r="F170" s="54">
        <v>9</v>
      </c>
      <c r="G170" s="76">
        <v>8000</v>
      </c>
    </row>
    <row r="171" spans="4:7" ht="18.75">
      <c r="D171" s="34" t="s">
        <v>75</v>
      </c>
      <c r="E171" s="34" t="s">
        <v>253</v>
      </c>
      <c r="F171" s="54">
        <v>4</v>
      </c>
      <c r="G171" s="76">
        <v>3200</v>
      </c>
    </row>
    <row r="172" spans="4:7" ht="18.75">
      <c r="D172" s="34" t="s">
        <v>76</v>
      </c>
      <c r="E172" s="34" t="s">
        <v>256</v>
      </c>
      <c r="F172" s="54">
        <v>1</v>
      </c>
      <c r="G172" s="76">
        <v>850</v>
      </c>
    </row>
    <row r="173" spans="4:7" ht="18.75">
      <c r="D173" s="34" t="s">
        <v>77</v>
      </c>
      <c r="E173" s="34" t="s">
        <v>255</v>
      </c>
      <c r="F173" s="54">
        <v>2</v>
      </c>
      <c r="G173" s="76">
        <v>1100</v>
      </c>
    </row>
    <row r="174" spans="4:7" ht="18.75">
      <c r="D174" s="34" t="s">
        <v>78</v>
      </c>
      <c r="E174" s="34" t="s">
        <v>249</v>
      </c>
      <c r="F174" s="54">
        <v>6</v>
      </c>
      <c r="G174" s="76">
        <v>4200</v>
      </c>
    </row>
    <row r="175" spans="4:7" ht="18.75">
      <c r="D175" s="34" t="s">
        <v>79</v>
      </c>
      <c r="E175" s="34" t="s">
        <v>250</v>
      </c>
      <c r="F175" s="4">
        <v>2</v>
      </c>
      <c r="G175" s="76">
        <v>3200</v>
      </c>
    </row>
    <row r="176" spans="4:7" ht="18.75">
      <c r="D176" s="34" t="s">
        <v>80</v>
      </c>
      <c r="E176" s="34" t="s">
        <v>251</v>
      </c>
      <c r="F176" s="4">
        <v>1</v>
      </c>
      <c r="G176" s="76">
        <v>2500</v>
      </c>
    </row>
    <row r="199" spans="2:3" ht="18.75">
      <c r="B199" s="69"/>
      <c r="C199" s="69"/>
    </row>
    <row r="200" spans="2:3" ht="18.75">
      <c r="B200" s="69"/>
      <c r="C200" s="69"/>
    </row>
  </sheetData>
  <mergeCells count="56">
    <mergeCell ref="D148:G148"/>
    <mergeCell ref="D149:G149"/>
    <mergeCell ref="D151:G151"/>
    <mergeCell ref="F96:G96"/>
    <mergeCell ref="H96:I96"/>
    <mergeCell ref="B114:D114"/>
    <mergeCell ref="F116:G116"/>
    <mergeCell ref="H116:I116"/>
    <mergeCell ref="F119:F121"/>
    <mergeCell ref="D147:G147"/>
    <mergeCell ref="F114:I114"/>
    <mergeCell ref="F115:G115"/>
    <mergeCell ref="H115:I115"/>
    <mergeCell ref="A1:K1"/>
    <mergeCell ref="C143:I143"/>
    <mergeCell ref="F92:G92"/>
    <mergeCell ref="H92:I92"/>
    <mergeCell ref="F95:G95"/>
    <mergeCell ref="H95:I95"/>
    <mergeCell ref="F90:G90"/>
    <mergeCell ref="H90:I90"/>
    <mergeCell ref="F93:G93"/>
    <mergeCell ref="H93:I93"/>
    <mergeCell ref="H86:I86"/>
    <mergeCell ref="F87:G87"/>
    <mergeCell ref="H87:I87"/>
    <mergeCell ref="F89:G89"/>
    <mergeCell ref="H89:I89"/>
    <mergeCell ref="B51:C51"/>
    <mergeCell ref="F86:G86"/>
    <mergeCell ref="B38:C38"/>
    <mergeCell ref="B39:C39"/>
    <mergeCell ref="B40:C40"/>
    <mergeCell ref="B41:C41"/>
    <mergeCell ref="B42:C42"/>
    <mergeCell ref="B52:C52"/>
    <mergeCell ref="B53:C53"/>
    <mergeCell ref="B46:C46"/>
    <mergeCell ref="B47:C47"/>
    <mergeCell ref="B48:C48"/>
    <mergeCell ref="B49:C49"/>
    <mergeCell ref="B50:C50"/>
    <mergeCell ref="E3:H3"/>
    <mergeCell ref="E58:H58"/>
    <mergeCell ref="B43:C43"/>
    <mergeCell ref="B44:C44"/>
    <mergeCell ref="B45:C45"/>
    <mergeCell ref="E31:F31"/>
    <mergeCell ref="E32:F32"/>
    <mergeCell ref="B31:C31"/>
    <mergeCell ref="B32:C32"/>
    <mergeCell ref="B33:C33"/>
    <mergeCell ref="B34:C34"/>
    <mergeCell ref="B35:C35"/>
    <mergeCell ref="B36:C36"/>
    <mergeCell ref="B37:C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showGridLines="0" topLeftCell="A79" workbookViewId="0">
      <selection activeCell="J94" sqref="J94:J98"/>
    </sheetView>
  </sheetViews>
  <sheetFormatPr defaultRowHeight="15"/>
  <cols>
    <col min="2" max="2" width="15.85546875" bestFit="1" customWidth="1"/>
    <col min="3" max="3" width="19.28515625" bestFit="1" customWidth="1"/>
    <col min="4" max="4" width="17.5703125" bestFit="1" customWidth="1"/>
    <col min="5" max="5" width="19.28515625" bestFit="1" customWidth="1"/>
    <col min="6" max="6" width="16.5703125" bestFit="1" customWidth="1"/>
    <col min="7" max="7" width="19.5703125" bestFit="1" customWidth="1"/>
    <col min="8" max="8" width="14.7109375" bestFit="1" customWidth="1"/>
    <col min="9" max="9" width="18.140625" bestFit="1" customWidth="1"/>
    <col min="10" max="10" width="23.85546875" bestFit="1" customWidth="1"/>
    <col min="11" max="11" width="15.85546875" customWidth="1"/>
    <col min="12" max="12" width="14.7109375" bestFit="1" customWidth="1"/>
  </cols>
  <sheetData>
    <row r="1" spans="1:22" s="14" customFormat="1" ht="61.5" customHeight="1">
      <c r="A1" s="119" t="s">
        <v>260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ht="18.75">
      <c r="C3" s="165" t="s">
        <v>258</v>
      </c>
      <c r="D3" s="166"/>
      <c r="E3" s="166"/>
      <c r="F3" s="166"/>
      <c r="G3" s="166"/>
      <c r="H3" s="166"/>
      <c r="I3" s="167"/>
    </row>
    <row r="4" spans="1:22">
      <c r="C4" s="82" t="s">
        <v>249</v>
      </c>
      <c r="D4" s="82" t="s">
        <v>250</v>
      </c>
      <c r="E4" s="82" t="s">
        <v>251</v>
      </c>
      <c r="F4" s="82" t="s">
        <v>254</v>
      </c>
      <c r="G4" s="82" t="s">
        <v>253</v>
      </c>
      <c r="H4" s="82" t="s">
        <v>256</v>
      </c>
      <c r="I4" s="82" t="s">
        <v>255</v>
      </c>
    </row>
    <row r="5" spans="1:22" ht="15" customHeight="1">
      <c r="C5" s="163">
        <f>SUMIF($E$10:$E$33,C4,$G$10:$G$33)</f>
        <v>11700</v>
      </c>
      <c r="D5" s="163">
        <f t="shared" ref="D5:I5" si="0">SUMIF($E$10:$E$33,D4,$G$10:$G$33)</f>
        <v>7900</v>
      </c>
      <c r="E5" s="163">
        <f t="shared" si="0"/>
        <v>15000</v>
      </c>
      <c r="F5" s="163">
        <f t="shared" si="0"/>
        <v>14000</v>
      </c>
      <c r="G5" s="163">
        <f t="shared" si="0"/>
        <v>17000</v>
      </c>
      <c r="H5" s="163">
        <f t="shared" si="0"/>
        <v>8750</v>
      </c>
      <c r="I5" s="163">
        <f t="shared" si="0"/>
        <v>8100</v>
      </c>
    </row>
    <row r="6" spans="1:22" ht="15" customHeight="1">
      <c r="C6" s="164"/>
      <c r="D6" s="164"/>
      <c r="E6" s="164"/>
      <c r="F6" s="164"/>
      <c r="G6" s="164"/>
      <c r="H6" s="164"/>
      <c r="I6" s="164"/>
    </row>
    <row r="8" spans="1:22" ht="18.75">
      <c r="D8" s="165" t="s">
        <v>248</v>
      </c>
      <c r="E8" s="166"/>
      <c r="F8" s="166"/>
      <c r="G8" s="167"/>
    </row>
    <row r="9" spans="1:22" ht="37.5">
      <c r="D9" s="37" t="s">
        <v>244</v>
      </c>
      <c r="E9" s="37" t="s">
        <v>245</v>
      </c>
      <c r="F9" s="53" t="s">
        <v>247</v>
      </c>
      <c r="G9" s="37" t="s">
        <v>246</v>
      </c>
    </row>
    <row r="10" spans="1:22" ht="18.75">
      <c r="D10" s="34" t="s">
        <v>227</v>
      </c>
      <c r="E10" s="34" t="s">
        <v>250</v>
      </c>
      <c r="F10" s="54">
        <v>1</v>
      </c>
      <c r="G10" s="55">
        <v>2500</v>
      </c>
    </row>
    <row r="11" spans="1:22" ht="18.75">
      <c r="D11" s="34" t="s">
        <v>228</v>
      </c>
      <c r="E11" s="34" t="s">
        <v>253</v>
      </c>
      <c r="F11" s="54">
        <v>5</v>
      </c>
      <c r="G11" s="55">
        <v>3800</v>
      </c>
    </row>
    <row r="12" spans="1:22" ht="18.75">
      <c r="D12" s="34" t="s">
        <v>229</v>
      </c>
      <c r="E12" s="34" t="s">
        <v>253</v>
      </c>
      <c r="F12" s="54">
        <v>10</v>
      </c>
      <c r="G12" s="55">
        <v>6200</v>
      </c>
    </row>
    <row r="13" spans="1:22" ht="18.75">
      <c r="D13" s="34" t="s">
        <v>252</v>
      </c>
      <c r="E13" s="34" t="s">
        <v>251</v>
      </c>
      <c r="F13" s="54">
        <v>7</v>
      </c>
      <c r="G13" s="55">
        <v>5500</v>
      </c>
    </row>
    <row r="14" spans="1:22" ht="18.75">
      <c r="D14" s="34" t="s">
        <v>231</v>
      </c>
      <c r="E14" s="34" t="s">
        <v>249</v>
      </c>
      <c r="F14" s="54">
        <v>2</v>
      </c>
      <c r="G14" s="55">
        <v>1800</v>
      </c>
    </row>
    <row r="15" spans="1:22" ht="18.75">
      <c r="D15" s="34" t="s">
        <v>232</v>
      </c>
      <c r="E15" s="34" t="s">
        <v>254</v>
      </c>
      <c r="F15" s="54">
        <v>3</v>
      </c>
      <c r="G15" s="55">
        <v>6000</v>
      </c>
    </row>
    <row r="16" spans="1:22" ht="18.75">
      <c r="D16" s="34" t="s">
        <v>233</v>
      </c>
      <c r="E16" s="34" t="s">
        <v>256</v>
      </c>
      <c r="F16" s="54">
        <v>6</v>
      </c>
      <c r="G16" s="55">
        <v>1900</v>
      </c>
    </row>
    <row r="17" spans="4:7" ht="18.75">
      <c r="D17" s="34" t="s">
        <v>234</v>
      </c>
      <c r="E17" s="34" t="s">
        <v>256</v>
      </c>
      <c r="F17" s="54">
        <v>15</v>
      </c>
      <c r="G17" s="55">
        <v>3200</v>
      </c>
    </row>
    <row r="18" spans="4:7" ht="18.75">
      <c r="D18" s="34" t="s">
        <v>235</v>
      </c>
      <c r="E18" s="34" t="s">
        <v>255</v>
      </c>
      <c r="F18" s="54">
        <v>6</v>
      </c>
      <c r="G18" s="55">
        <v>3500</v>
      </c>
    </row>
    <row r="19" spans="4:7" ht="18.75">
      <c r="D19" s="34" t="s">
        <v>236</v>
      </c>
      <c r="E19" s="34" t="s">
        <v>249</v>
      </c>
      <c r="F19" s="54">
        <v>1</v>
      </c>
      <c r="G19" s="55">
        <v>1200</v>
      </c>
    </row>
    <row r="20" spans="4:7" ht="18.75">
      <c r="D20" s="34" t="s">
        <v>237</v>
      </c>
      <c r="E20" s="34" t="s">
        <v>250</v>
      </c>
      <c r="F20" s="54">
        <v>2</v>
      </c>
      <c r="G20" s="55">
        <v>2200</v>
      </c>
    </row>
    <row r="21" spans="4:7" ht="18.75">
      <c r="D21" s="34" t="s">
        <v>238</v>
      </c>
      <c r="E21" s="34" t="s">
        <v>251</v>
      </c>
      <c r="F21" s="54">
        <v>4</v>
      </c>
      <c r="G21" s="55">
        <v>3800</v>
      </c>
    </row>
    <row r="22" spans="4:7" ht="18.75">
      <c r="D22" s="34" t="s">
        <v>257</v>
      </c>
      <c r="E22" s="34" t="s">
        <v>251</v>
      </c>
      <c r="F22" s="54">
        <v>3</v>
      </c>
      <c r="G22" s="76">
        <v>3200</v>
      </c>
    </row>
    <row r="23" spans="4:7" ht="18.75">
      <c r="D23" s="34" t="s">
        <v>34</v>
      </c>
      <c r="E23" s="34" t="s">
        <v>253</v>
      </c>
      <c r="F23" s="54">
        <v>5</v>
      </c>
      <c r="G23" s="76">
        <v>3800</v>
      </c>
    </row>
    <row r="24" spans="4:7" ht="18.75">
      <c r="D24" s="34" t="s">
        <v>35</v>
      </c>
      <c r="E24" s="34" t="s">
        <v>256</v>
      </c>
      <c r="F24" s="54">
        <v>6</v>
      </c>
      <c r="G24" s="76">
        <v>2800</v>
      </c>
    </row>
    <row r="25" spans="4:7" ht="18.75">
      <c r="D25" s="34" t="s">
        <v>36</v>
      </c>
      <c r="E25" s="34" t="s">
        <v>255</v>
      </c>
      <c r="F25" s="54">
        <v>10</v>
      </c>
      <c r="G25" s="76">
        <v>3500</v>
      </c>
    </row>
    <row r="26" spans="4:7" ht="18.75">
      <c r="D26" s="34" t="s">
        <v>37</v>
      </c>
      <c r="E26" s="34" t="s">
        <v>249</v>
      </c>
      <c r="F26" s="54">
        <v>6</v>
      </c>
      <c r="G26" s="76">
        <v>4500</v>
      </c>
    </row>
    <row r="27" spans="4:7" ht="18.75">
      <c r="D27" s="34" t="s">
        <v>38</v>
      </c>
      <c r="E27" s="34" t="s">
        <v>254</v>
      </c>
      <c r="F27" s="54">
        <v>9</v>
      </c>
      <c r="G27" s="76">
        <v>8000</v>
      </c>
    </row>
    <row r="28" spans="4:7" ht="18.75">
      <c r="D28" s="34" t="s">
        <v>75</v>
      </c>
      <c r="E28" s="34" t="s">
        <v>253</v>
      </c>
      <c r="F28" s="54">
        <v>4</v>
      </c>
      <c r="G28" s="76">
        <v>3200</v>
      </c>
    </row>
    <row r="29" spans="4:7" ht="18.75">
      <c r="D29" s="34" t="s">
        <v>76</v>
      </c>
      <c r="E29" s="34" t="s">
        <v>256</v>
      </c>
      <c r="F29" s="54">
        <v>1</v>
      </c>
      <c r="G29" s="76">
        <v>850</v>
      </c>
    </row>
    <row r="30" spans="4:7" ht="18.75">
      <c r="D30" s="34" t="s">
        <v>77</v>
      </c>
      <c r="E30" s="34" t="s">
        <v>255</v>
      </c>
      <c r="F30" s="54">
        <v>2</v>
      </c>
      <c r="G30" s="76">
        <v>1100</v>
      </c>
    </row>
    <row r="31" spans="4:7" ht="18.75">
      <c r="D31" s="34" t="s">
        <v>78</v>
      </c>
      <c r="E31" s="34" t="s">
        <v>249</v>
      </c>
      <c r="F31" s="54">
        <v>6</v>
      </c>
      <c r="G31" s="76">
        <v>4200</v>
      </c>
    </row>
    <row r="32" spans="4:7" ht="18.75">
      <c r="D32" s="34" t="s">
        <v>79</v>
      </c>
      <c r="E32" s="34" t="s">
        <v>250</v>
      </c>
      <c r="F32" s="54">
        <v>2</v>
      </c>
      <c r="G32" s="76">
        <v>3200</v>
      </c>
    </row>
    <row r="33" spans="1:22" ht="18.75">
      <c r="D33" s="34" t="s">
        <v>80</v>
      </c>
      <c r="E33" s="34" t="s">
        <v>251</v>
      </c>
      <c r="F33" s="54">
        <v>1</v>
      </c>
      <c r="G33" s="76">
        <v>2500</v>
      </c>
    </row>
    <row r="36" spans="1:22" s="14" customFormat="1" ht="38.25">
      <c r="A36" s="65" t="s">
        <v>323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15"/>
      <c r="V36" s="15"/>
    </row>
    <row r="37" spans="1:22" s="59" customFormat="1" ht="38.25">
      <c r="A37" s="66" t="s">
        <v>242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0"/>
      <c r="N37" s="60"/>
      <c r="O37" s="60"/>
      <c r="P37" s="60"/>
      <c r="Q37" s="60"/>
      <c r="R37" s="60"/>
      <c r="S37" s="60"/>
      <c r="T37" s="60"/>
      <c r="U37" s="58"/>
      <c r="V37" s="58"/>
    </row>
    <row r="38" spans="1:22" ht="18.75" customHeight="1"/>
    <row r="39" spans="1:22" ht="21">
      <c r="B39" s="122" t="s">
        <v>328</v>
      </c>
      <c r="C39" s="123"/>
      <c r="D39" s="123"/>
      <c r="E39" s="123"/>
      <c r="F39" s="123"/>
      <c r="G39" s="124"/>
    </row>
    <row r="40" spans="1:22" ht="37.5">
      <c r="B40" s="84" t="s">
        <v>129</v>
      </c>
      <c r="C40" s="84" t="s">
        <v>324</v>
      </c>
      <c r="D40" s="84" t="s">
        <v>325</v>
      </c>
      <c r="E40" s="85" t="s">
        <v>326</v>
      </c>
      <c r="F40" s="85" t="s">
        <v>327</v>
      </c>
      <c r="G40" s="84" t="s">
        <v>130</v>
      </c>
      <c r="I40" s="137" t="s">
        <v>220</v>
      </c>
      <c r="J40" s="137"/>
    </row>
    <row r="41" spans="1:22" ht="18.75">
      <c r="B41" s="34" t="s">
        <v>227</v>
      </c>
      <c r="C41" s="34" t="s">
        <v>329</v>
      </c>
      <c r="D41" s="34" t="s">
        <v>333</v>
      </c>
      <c r="E41" s="50">
        <v>10</v>
      </c>
      <c r="F41" s="94">
        <v>3499</v>
      </c>
      <c r="G41" s="94">
        <f>SUM(F41*E41)</f>
        <v>34990</v>
      </c>
      <c r="I41" s="170" t="s">
        <v>339</v>
      </c>
      <c r="J41" s="170"/>
    </row>
    <row r="42" spans="1:22" ht="18.75">
      <c r="B42" s="34" t="s">
        <v>228</v>
      </c>
      <c r="C42" s="34" t="s">
        <v>329</v>
      </c>
      <c r="D42" s="34" t="s">
        <v>334</v>
      </c>
      <c r="E42" s="50">
        <v>20</v>
      </c>
      <c r="F42" s="94">
        <v>3499</v>
      </c>
      <c r="G42" s="94">
        <f t="shared" ref="G42:G58" si="1">SUM(F42*E42)</f>
        <v>69980</v>
      </c>
      <c r="I42" s="96" t="s">
        <v>62</v>
      </c>
      <c r="J42" s="96" t="s">
        <v>338</v>
      </c>
    </row>
    <row r="43" spans="1:22" ht="18.75">
      <c r="B43" s="34" t="s">
        <v>75</v>
      </c>
      <c r="C43" s="34" t="s">
        <v>330</v>
      </c>
      <c r="D43" s="34" t="s">
        <v>334</v>
      </c>
      <c r="E43" s="50">
        <v>25</v>
      </c>
      <c r="F43" s="94">
        <v>2499</v>
      </c>
      <c r="G43" s="94">
        <f t="shared" si="1"/>
        <v>62475</v>
      </c>
      <c r="I43" s="34" t="s">
        <v>227</v>
      </c>
      <c r="J43" s="55">
        <f>SUMIF($B$41:$B$58,I43,$G$41:$G$58)</f>
        <v>313844</v>
      </c>
    </row>
    <row r="44" spans="1:22" ht="18.75">
      <c r="B44" s="34" t="s">
        <v>230</v>
      </c>
      <c r="C44" s="34" t="s">
        <v>329</v>
      </c>
      <c r="D44" s="34" t="s">
        <v>333</v>
      </c>
      <c r="E44" s="50">
        <v>10</v>
      </c>
      <c r="F44" s="94">
        <v>3499</v>
      </c>
      <c r="G44" s="94">
        <f t="shared" si="1"/>
        <v>34990</v>
      </c>
      <c r="I44" s="34" t="s">
        <v>228</v>
      </c>
      <c r="J44" s="55">
        <f t="shared" ref="J44:J50" si="2">SUMIF($B$41:$B$58,I44,$G$41:$G$58)</f>
        <v>203446</v>
      </c>
    </row>
    <row r="45" spans="1:22" ht="18.75">
      <c r="B45" s="34" t="s">
        <v>231</v>
      </c>
      <c r="C45" s="34" t="s">
        <v>330</v>
      </c>
      <c r="D45" s="34" t="s">
        <v>333</v>
      </c>
      <c r="E45" s="50">
        <v>26</v>
      </c>
      <c r="F45" s="94">
        <v>2499</v>
      </c>
      <c r="G45" s="94">
        <f t="shared" si="1"/>
        <v>64974</v>
      </c>
      <c r="I45" s="34" t="s">
        <v>75</v>
      </c>
      <c r="J45" s="55">
        <f t="shared" si="2"/>
        <v>214423</v>
      </c>
    </row>
    <row r="46" spans="1:22" ht="18.75">
      <c r="B46" s="34" t="s">
        <v>232</v>
      </c>
      <c r="C46" s="34" t="s">
        <v>330</v>
      </c>
      <c r="D46" s="34" t="s">
        <v>335</v>
      </c>
      <c r="E46" s="50">
        <v>27</v>
      </c>
      <c r="F46" s="94">
        <v>2499</v>
      </c>
      <c r="G46" s="94">
        <f t="shared" si="1"/>
        <v>67473</v>
      </c>
      <c r="I46" s="34" t="s">
        <v>230</v>
      </c>
      <c r="J46" s="55">
        <f t="shared" si="2"/>
        <v>150172</v>
      </c>
    </row>
    <row r="47" spans="1:22" ht="18.75">
      <c r="B47" s="34" t="s">
        <v>233</v>
      </c>
      <c r="C47" s="34" t="s">
        <v>329</v>
      </c>
      <c r="D47" s="34" t="s">
        <v>337</v>
      </c>
      <c r="E47" s="50">
        <v>22</v>
      </c>
      <c r="F47" s="94">
        <v>3499</v>
      </c>
      <c r="G47" s="94">
        <f t="shared" si="1"/>
        <v>76978</v>
      </c>
      <c r="I47" s="34" t="s">
        <v>231</v>
      </c>
      <c r="J47" s="55">
        <f t="shared" si="2"/>
        <v>128964</v>
      </c>
    </row>
    <row r="48" spans="1:22" ht="18.75">
      <c r="B48" s="34" t="s">
        <v>230</v>
      </c>
      <c r="C48" s="34" t="s">
        <v>331</v>
      </c>
      <c r="D48" s="34" t="s">
        <v>336</v>
      </c>
      <c r="E48" s="50">
        <v>18</v>
      </c>
      <c r="F48" s="94">
        <v>6399</v>
      </c>
      <c r="G48" s="94">
        <f t="shared" si="1"/>
        <v>115182</v>
      </c>
      <c r="I48" s="34" t="s">
        <v>232</v>
      </c>
      <c r="J48" s="55">
        <f t="shared" si="2"/>
        <v>126463</v>
      </c>
    </row>
    <row r="49" spans="2:10" ht="18.75">
      <c r="B49" s="34" t="s">
        <v>227</v>
      </c>
      <c r="C49" s="34" t="s">
        <v>332</v>
      </c>
      <c r="D49" s="34" t="s">
        <v>337</v>
      </c>
      <c r="E49" s="50">
        <v>31</v>
      </c>
      <c r="F49" s="94">
        <v>5899</v>
      </c>
      <c r="G49" s="94">
        <f t="shared" si="1"/>
        <v>182869</v>
      </c>
      <c r="I49" s="34" t="s">
        <v>233</v>
      </c>
      <c r="J49" s="55">
        <f t="shared" si="2"/>
        <v>217155</v>
      </c>
    </row>
    <row r="50" spans="2:10" ht="18.75">
      <c r="B50" s="34" t="s">
        <v>233</v>
      </c>
      <c r="C50" s="34" t="s">
        <v>331</v>
      </c>
      <c r="D50" s="34" t="s">
        <v>337</v>
      </c>
      <c r="E50" s="50">
        <v>9</v>
      </c>
      <c r="F50" s="94">
        <v>6399</v>
      </c>
      <c r="G50" s="94">
        <f t="shared" si="1"/>
        <v>57591</v>
      </c>
      <c r="I50" s="34" t="s">
        <v>230</v>
      </c>
      <c r="J50" s="55">
        <f t="shared" si="2"/>
        <v>150172</v>
      </c>
    </row>
    <row r="51" spans="2:10" ht="18.75">
      <c r="B51" s="34" t="s">
        <v>75</v>
      </c>
      <c r="C51" s="34" t="s">
        <v>329</v>
      </c>
      <c r="D51" s="34" t="s">
        <v>336</v>
      </c>
      <c r="E51" s="50">
        <v>22</v>
      </c>
      <c r="F51" s="94">
        <v>3499</v>
      </c>
      <c r="G51" s="94">
        <f t="shared" si="1"/>
        <v>76978</v>
      </c>
      <c r="I51" s="170" t="s">
        <v>340</v>
      </c>
      <c r="J51" s="170"/>
    </row>
    <row r="52" spans="2:10" ht="18.75">
      <c r="B52" s="34" t="s">
        <v>228</v>
      </c>
      <c r="C52" s="34" t="s">
        <v>331</v>
      </c>
      <c r="D52" s="34" t="s">
        <v>335</v>
      </c>
      <c r="E52" s="50">
        <v>5</v>
      </c>
      <c r="F52" s="94">
        <v>6399</v>
      </c>
      <c r="G52" s="94">
        <f t="shared" si="1"/>
        <v>31995</v>
      </c>
      <c r="I52" s="96" t="s">
        <v>62</v>
      </c>
      <c r="J52" s="96" t="s">
        <v>342</v>
      </c>
    </row>
    <row r="53" spans="2:10" ht="18.75">
      <c r="B53" s="34" t="s">
        <v>232</v>
      </c>
      <c r="C53" s="34" t="s">
        <v>332</v>
      </c>
      <c r="D53" s="34" t="s">
        <v>335</v>
      </c>
      <c r="E53" s="50">
        <v>10</v>
      </c>
      <c r="F53" s="94">
        <v>5899</v>
      </c>
      <c r="G53" s="94">
        <f t="shared" si="1"/>
        <v>58990</v>
      </c>
      <c r="I53" s="95" t="s">
        <v>336</v>
      </c>
      <c r="J53" s="55">
        <f>SUMIF($D$41:$D$58,I53,$G$41:$G$58)</f>
        <v>274746</v>
      </c>
    </row>
    <row r="54" spans="2:10" ht="18.75">
      <c r="B54" s="34" t="s">
        <v>227</v>
      </c>
      <c r="C54" s="34" t="s">
        <v>331</v>
      </c>
      <c r="D54" s="34" t="s">
        <v>333</v>
      </c>
      <c r="E54" s="50">
        <v>15</v>
      </c>
      <c r="F54" s="94">
        <v>6399</v>
      </c>
      <c r="G54" s="94">
        <f t="shared" si="1"/>
        <v>95985</v>
      </c>
      <c r="I54" s="95" t="s">
        <v>334</v>
      </c>
      <c r="J54" s="55">
        <f t="shared" ref="J54:J57" si="3">SUMIF($D$41:$D$58,I54,$G$41:$G$58)</f>
        <v>132455</v>
      </c>
    </row>
    <row r="55" spans="2:10" ht="18.75">
      <c r="B55" s="34" t="s">
        <v>233</v>
      </c>
      <c r="C55" s="34" t="s">
        <v>332</v>
      </c>
      <c r="D55" s="34" t="s">
        <v>336</v>
      </c>
      <c r="E55" s="50">
        <v>14</v>
      </c>
      <c r="F55" s="94">
        <v>5899</v>
      </c>
      <c r="G55" s="94">
        <f t="shared" si="1"/>
        <v>82586</v>
      </c>
      <c r="I55" s="95" t="s">
        <v>335</v>
      </c>
      <c r="J55" s="55">
        <f t="shared" si="3"/>
        <v>233428</v>
      </c>
    </row>
    <row r="56" spans="2:10" ht="18.75">
      <c r="B56" s="34" t="s">
        <v>75</v>
      </c>
      <c r="C56" s="34" t="s">
        <v>330</v>
      </c>
      <c r="D56" s="34" t="s">
        <v>335</v>
      </c>
      <c r="E56" s="50">
        <v>30</v>
      </c>
      <c r="F56" s="94">
        <v>2499</v>
      </c>
      <c r="G56" s="94">
        <f t="shared" si="1"/>
        <v>74970</v>
      </c>
      <c r="I56" s="95" t="s">
        <v>337</v>
      </c>
      <c r="J56" s="55">
        <f t="shared" si="3"/>
        <v>381428</v>
      </c>
    </row>
    <row r="57" spans="2:10" ht="18.75">
      <c r="B57" s="34" t="s">
        <v>231</v>
      </c>
      <c r="C57" s="34" t="s">
        <v>331</v>
      </c>
      <c r="D57" s="34" t="s">
        <v>337</v>
      </c>
      <c r="E57" s="50">
        <v>10</v>
      </c>
      <c r="F57" s="94">
        <v>6399</v>
      </c>
      <c r="G57" s="94">
        <f t="shared" si="1"/>
        <v>63990</v>
      </c>
      <c r="I57" s="95" t="s">
        <v>333</v>
      </c>
      <c r="J57" s="55">
        <f t="shared" si="3"/>
        <v>332410</v>
      </c>
    </row>
    <row r="58" spans="2:10" ht="18.75">
      <c r="B58" s="34" t="s">
        <v>228</v>
      </c>
      <c r="C58" s="34" t="s">
        <v>329</v>
      </c>
      <c r="D58" s="34" t="s">
        <v>333</v>
      </c>
      <c r="E58" s="50">
        <v>29</v>
      </c>
      <c r="F58" s="94">
        <v>3499</v>
      </c>
      <c r="G58" s="94">
        <f t="shared" si="1"/>
        <v>101471</v>
      </c>
      <c r="I58" s="170" t="s">
        <v>341</v>
      </c>
      <c r="J58" s="170"/>
    </row>
    <row r="59" spans="2:10" ht="18.75">
      <c r="I59" s="96" t="s">
        <v>62</v>
      </c>
      <c r="J59" s="96" t="s">
        <v>342</v>
      </c>
    </row>
    <row r="60" spans="2:10" ht="18.75">
      <c r="I60" s="95" t="s">
        <v>329</v>
      </c>
      <c r="J60" s="55">
        <f>SUMIF($C$41:$C$58,I60,$G$41:$G$58)</f>
        <v>395387</v>
      </c>
    </row>
    <row r="61" spans="2:10" ht="18.75">
      <c r="I61" s="95" t="s">
        <v>330</v>
      </c>
      <c r="J61" s="55">
        <f t="shared" ref="J61:J63" si="4">SUMIF($C$41:$C$58,I61,$G$41:$G$58)</f>
        <v>269892</v>
      </c>
    </row>
    <row r="62" spans="2:10" ht="18.75">
      <c r="I62" s="95" t="s">
        <v>331</v>
      </c>
      <c r="J62" s="55">
        <f t="shared" si="4"/>
        <v>364743</v>
      </c>
    </row>
    <row r="63" spans="2:10" ht="18.75">
      <c r="I63" s="95" t="s">
        <v>332</v>
      </c>
      <c r="J63" s="55">
        <f t="shared" si="4"/>
        <v>324445</v>
      </c>
    </row>
    <row r="66" spans="1:22" s="14" customFormat="1" ht="38.25">
      <c r="A66" s="65" t="s">
        <v>344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15"/>
      <c r="V66" s="15"/>
    </row>
    <row r="67" spans="1:22" s="59" customFormat="1" ht="38.25">
      <c r="A67" s="66" t="s">
        <v>242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0"/>
      <c r="N67" s="60"/>
      <c r="O67" s="60"/>
      <c r="P67" s="60"/>
      <c r="Q67" s="60"/>
      <c r="R67" s="60"/>
      <c r="S67" s="60"/>
      <c r="T67" s="60"/>
      <c r="U67" s="58"/>
      <c r="V67" s="58"/>
    </row>
    <row r="69" spans="1:22" ht="21">
      <c r="B69" s="122" t="s">
        <v>328</v>
      </c>
      <c r="C69" s="123"/>
      <c r="D69" s="123"/>
      <c r="E69" s="123"/>
      <c r="F69" s="123"/>
      <c r="G69" s="124"/>
    </row>
    <row r="70" spans="1:22" ht="37.5">
      <c r="B70" s="84" t="s">
        <v>129</v>
      </c>
      <c r="C70" s="84" t="s">
        <v>324</v>
      </c>
      <c r="D70" s="84" t="s">
        <v>325</v>
      </c>
      <c r="E70" s="85" t="s">
        <v>326</v>
      </c>
      <c r="F70" s="85" t="s">
        <v>327</v>
      </c>
      <c r="G70" s="84" t="s">
        <v>130</v>
      </c>
      <c r="I70" s="142" t="s">
        <v>431</v>
      </c>
      <c r="J70" s="144"/>
    </row>
    <row r="71" spans="1:22" ht="18.75">
      <c r="B71" s="34" t="s">
        <v>227</v>
      </c>
      <c r="C71" s="34" t="s">
        <v>329</v>
      </c>
      <c r="D71" s="34" t="s">
        <v>333</v>
      </c>
      <c r="E71" s="50">
        <v>10</v>
      </c>
      <c r="F71" s="94">
        <v>3499</v>
      </c>
      <c r="G71" s="94">
        <f>SUM(F71*E71)</f>
        <v>34990</v>
      </c>
      <c r="I71" s="97" t="s">
        <v>346</v>
      </c>
      <c r="J71" s="98" t="s">
        <v>227</v>
      </c>
    </row>
    <row r="72" spans="1:22" ht="18.75">
      <c r="B72" s="34" t="s">
        <v>228</v>
      </c>
      <c r="C72" s="34" t="s">
        <v>329</v>
      </c>
      <c r="D72" s="34" t="s">
        <v>334</v>
      </c>
      <c r="E72" s="50">
        <v>20</v>
      </c>
      <c r="F72" s="94">
        <v>3499</v>
      </c>
      <c r="G72" s="94">
        <f t="shared" ref="G72:G88" si="5">SUM(F72*E72)</f>
        <v>69980</v>
      </c>
    </row>
    <row r="73" spans="1:22" ht="18.75">
      <c r="B73" s="34" t="s">
        <v>75</v>
      </c>
      <c r="C73" s="34" t="s">
        <v>330</v>
      </c>
      <c r="D73" s="34" t="s">
        <v>334</v>
      </c>
      <c r="E73" s="50">
        <v>25</v>
      </c>
      <c r="F73" s="94">
        <v>2499</v>
      </c>
      <c r="G73" s="94">
        <f t="shared" si="5"/>
        <v>62475</v>
      </c>
      <c r="I73" s="170" t="s">
        <v>430</v>
      </c>
      <c r="J73" s="170"/>
    </row>
    <row r="74" spans="1:22" ht="18.75">
      <c r="B74" s="34" t="s">
        <v>230</v>
      </c>
      <c r="C74" s="34" t="s">
        <v>329</v>
      </c>
      <c r="D74" s="34" t="s">
        <v>333</v>
      </c>
      <c r="E74" s="50">
        <v>10</v>
      </c>
      <c r="F74" s="94">
        <v>3499</v>
      </c>
      <c r="G74" s="94">
        <f t="shared" si="5"/>
        <v>34990</v>
      </c>
      <c r="I74" s="96" t="s">
        <v>324</v>
      </c>
      <c r="J74" s="96" t="s">
        <v>326</v>
      </c>
    </row>
    <row r="75" spans="1:22" ht="18.75">
      <c r="B75" s="34" t="s">
        <v>231</v>
      </c>
      <c r="C75" s="34" t="s">
        <v>330</v>
      </c>
      <c r="D75" s="34" t="s">
        <v>333</v>
      </c>
      <c r="E75" s="50">
        <v>26</v>
      </c>
      <c r="F75" s="94">
        <v>2499</v>
      </c>
      <c r="G75" s="94">
        <f t="shared" si="5"/>
        <v>64974</v>
      </c>
      <c r="I75" s="34" t="s">
        <v>329</v>
      </c>
      <c r="J75" s="99">
        <f>SUMIFS($E$71:$E$88,$B$71:$B$88,$J$71,$C$71:$C$88,I75)</f>
        <v>10</v>
      </c>
    </row>
    <row r="76" spans="1:22" ht="18.75">
      <c r="B76" s="34" t="s">
        <v>232</v>
      </c>
      <c r="C76" s="34" t="s">
        <v>330</v>
      </c>
      <c r="D76" s="34" t="s">
        <v>335</v>
      </c>
      <c r="E76" s="50">
        <v>27</v>
      </c>
      <c r="F76" s="94">
        <v>2499</v>
      </c>
      <c r="G76" s="94">
        <f t="shared" si="5"/>
        <v>67473</v>
      </c>
      <c r="I76" s="34" t="s">
        <v>330</v>
      </c>
      <c r="J76" s="117">
        <f t="shared" ref="J76:J78" si="6">SUMIFS($E$71:$E$88,$B$71:$B$88,$J$71,$C$71:$C$88,I76)</f>
        <v>0</v>
      </c>
    </row>
    <row r="77" spans="1:22" ht="18.75">
      <c r="B77" s="34" t="s">
        <v>233</v>
      </c>
      <c r="C77" s="34" t="s">
        <v>329</v>
      </c>
      <c r="D77" s="34" t="s">
        <v>337</v>
      </c>
      <c r="E77" s="50">
        <v>22</v>
      </c>
      <c r="F77" s="94">
        <v>3499</v>
      </c>
      <c r="G77" s="94">
        <f t="shared" si="5"/>
        <v>76978</v>
      </c>
      <c r="I77" s="34" t="s">
        <v>331</v>
      </c>
      <c r="J77" s="117">
        <f t="shared" si="6"/>
        <v>15</v>
      </c>
    </row>
    <row r="78" spans="1:22" ht="18.75">
      <c r="B78" s="34" t="s">
        <v>230</v>
      </c>
      <c r="C78" s="34" t="s">
        <v>331</v>
      </c>
      <c r="D78" s="34" t="s">
        <v>336</v>
      </c>
      <c r="E78" s="50">
        <v>18</v>
      </c>
      <c r="F78" s="94">
        <v>6399</v>
      </c>
      <c r="G78" s="94">
        <f t="shared" si="5"/>
        <v>115182</v>
      </c>
      <c r="I78" s="34" t="s">
        <v>332</v>
      </c>
      <c r="J78" s="117">
        <f t="shared" si="6"/>
        <v>31</v>
      </c>
    </row>
    <row r="79" spans="1:22" ht="18.75">
      <c r="B79" s="34" t="s">
        <v>227</v>
      </c>
      <c r="C79" s="34" t="s">
        <v>332</v>
      </c>
      <c r="D79" s="34" t="s">
        <v>337</v>
      </c>
      <c r="E79" s="50">
        <v>31</v>
      </c>
      <c r="F79" s="94">
        <v>5899</v>
      </c>
      <c r="G79" s="94">
        <f t="shared" si="5"/>
        <v>182869</v>
      </c>
      <c r="I79" s="168" t="s">
        <v>347</v>
      </c>
      <c r="J79" s="169"/>
    </row>
    <row r="80" spans="1:22" ht="18.75">
      <c r="B80" s="34" t="s">
        <v>233</v>
      </c>
      <c r="C80" s="34" t="s">
        <v>331</v>
      </c>
      <c r="D80" s="34" t="s">
        <v>337</v>
      </c>
      <c r="E80" s="50">
        <v>9</v>
      </c>
      <c r="F80" s="94">
        <v>6399</v>
      </c>
      <c r="G80" s="94">
        <f t="shared" si="5"/>
        <v>57591</v>
      </c>
      <c r="I80" s="96" t="s">
        <v>324</v>
      </c>
      <c r="J80" s="96" t="s">
        <v>345</v>
      </c>
    </row>
    <row r="81" spans="2:10" ht="18.75">
      <c r="B81" s="34" t="s">
        <v>75</v>
      </c>
      <c r="C81" s="34" t="s">
        <v>329</v>
      </c>
      <c r="D81" s="34" t="s">
        <v>336</v>
      </c>
      <c r="E81" s="50">
        <v>22</v>
      </c>
      <c r="F81" s="94">
        <v>3499</v>
      </c>
      <c r="G81" s="94">
        <f t="shared" si="5"/>
        <v>76978</v>
      </c>
      <c r="I81" s="34" t="s">
        <v>329</v>
      </c>
      <c r="J81" s="115">
        <f>SUMIFS($G$71:$G$88,$B$71:$B$88,$J$71,$C$71:$C$88,I81)</f>
        <v>34990</v>
      </c>
    </row>
    <row r="82" spans="2:10" ht="18.75">
      <c r="B82" s="34" t="s">
        <v>228</v>
      </c>
      <c r="C82" s="34" t="s">
        <v>331</v>
      </c>
      <c r="D82" s="34" t="s">
        <v>335</v>
      </c>
      <c r="E82" s="50">
        <v>5</v>
      </c>
      <c r="F82" s="94">
        <v>6399</v>
      </c>
      <c r="G82" s="94">
        <f t="shared" si="5"/>
        <v>31995</v>
      </c>
      <c r="I82" s="34" t="s">
        <v>330</v>
      </c>
      <c r="J82" s="115">
        <f t="shared" ref="J82:J84" si="7">SUMIFS($G$71:$G$88,$B$71:$B$88,$J$71,$C$71:$C$88,I82)</f>
        <v>0</v>
      </c>
    </row>
    <row r="83" spans="2:10" ht="18.75">
      <c r="B83" s="34" t="s">
        <v>232</v>
      </c>
      <c r="C83" s="34" t="s">
        <v>332</v>
      </c>
      <c r="D83" s="34" t="s">
        <v>335</v>
      </c>
      <c r="E83" s="50">
        <v>10</v>
      </c>
      <c r="F83" s="94">
        <v>5899</v>
      </c>
      <c r="G83" s="94">
        <f t="shared" si="5"/>
        <v>58990</v>
      </c>
      <c r="I83" s="34" t="s">
        <v>331</v>
      </c>
      <c r="J83" s="115">
        <f t="shared" si="7"/>
        <v>95985</v>
      </c>
    </row>
    <row r="84" spans="2:10" ht="18.75">
      <c r="B84" s="34" t="s">
        <v>227</v>
      </c>
      <c r="C84" s="34" t="s">
        <v>331</v>
      </c>
      <c r="D84" s="34" t="s">
        <v>333</v>
      </c>
      <c r="E84" s="50">
        <v>15</v>
      </c>
      <c r="F84" s="94">
        <v>6399</v>
      </c>
      <c r="G84" s="94">
        <f t="shared" si="5"/>
        <v>95985</v>
      </c>
      <c r="I84" s="34" t="s">
        <v>332</v>
      </c>
      <c r="J84" s="115">
        <f t="shared" si="7"/>
        <v>182869</v>
      </c>
    </row>
    <row r="85" spans="2:10" ht="18.75">
      <c r="B85" s="34" t="s">
        <v>233</v>
      </c>
      <c r="C85" s="34" t="s">
        <v>332</v>
      </c>
      <c r="D85" s="34" t="s">
        <v>336</v>
      </c>
      <c r="E85" s="50">
        <v>14</v>
      </c>
      <c r="F85" s="94">
        <v>5899</v>
      </c>
      <c r="G85" s="94">
        <f t="shared" si="5"/>
        <v>82586</v>
      </c>
      <c r="I85" s="168" t="s">
        <v>349</v>
      </c>
      <c r="J85" s="169"/>
    </row>
    <row r="86" spans="2:10" ht="18.75">
      <c r="B86" s="34" t="s">
        <v>75</v>
      </c>
      <c r="C86" s="34" t="s">
        <v>330</v>
      </c>
      <c r="D86" s="34" t="s">
        <v>335</v>
      </c>
      <c r="E86" s="50">
        <v>30</v>
      </c>
      <c r="F86" s="94">
        <v>2499</v>
      </c>
      <c r="G86" s="94">
        <f t="shared" si="5"/>
        <v>74970</v>
      </c>
      <c r="I86" s="96" t="s">
        <v>62</v>
      </c>
      <c r="J86" s="96" t="s">
        <v>326</v>
      </c>
    </row>
    <row r="87" spans="2:10" ht="18.75">
      <c r="B87" s="34" t="s">
        <v>231</v>
      </c>
      <c r="C87" s="34" t="s">
        <v>331</v>
      </c>
      <c r="D87" s="34" t="s">
        <v>337</v>
      </c>
      <c r="E87" s="50">
        <v>10</v>
      </c>
      <c r="F87" s="94">
        <v>6399</v>
      </c>
      <c r="G87" s="94">
        <f t="shared" si="5"/>
        <v>63990</v>
      </c>
      <c r="I87" s="95" t="s">
        <v>336</v>
      </c>
      <c r="J87" s="79">
        <f>SUMIFS($E$71:$E$88,$B$71:$B$88,$J$71,$D$71:$D$88,I87)</f>
        <v>0</v>
      </c>
    </row>
    <row r="88" spans="2:10" ht="18.75">
      <c r="B88" s="34" t="s">
        <v>228</v>
      </c>
      <c r="C88" s="34" t="s">
        <v>329</v>
      </c>
      <c r="D88" s="34" t="s">
        <v>333</v>
      </c>
      <c r="E88" s="50">
        <v>29</v>
      </c>
      <c r="F88" s="94">
        <v>3499</v>
      </c>
      <c r="G88" s="94">
        <f t="shared" si="5"/>
        <v>101471</v>
      </c>
      <c r="I88" s="95" t="s">
        <v>334</v>
      </c>
      <c r="J88" s="79">
        <f t="shared" ref="J88:J91" si="8">SUMIFS($E$71:$E$88,$B$71:$B$88,$J$71,$D$71:$D$88,I88)</f>
        <v>0</v>
      </c>
    </row>
    <row r="89" spans="2:10" ht="18.75">
      <c r="I89" s="95" t="s">
        <v>335</v>
      </c>
      <c r="J89" s="79">
        <f t="shared" si="8"/>
        <v>0</v>
      </c>
    </row>
    <row r="90" spans="2:10" ht="18.75">
      <c r="I90" s="95" t="s">
        <v>337</v>
      </c>
      <c r="J90" s="79">
        <f t="shared" si="8"/>
        <v>31</v>
      </c>
    </row>
    <row r="91" spans="2:10" ht="18.75">
      <c r="I91" s="95" t="s">
        <v>333</v>
      </c>
      <c r="J91" s="79">
        <f t="shared" si="8"/>
        <v>25</v>
      </c>
    </row>
    <row r="92" spans="2:10" ht="18.75">
      <c r="I92" s="168" t="s">
        <v>348</v>
      </c>
      <c r="J92" s="169"/>
    </row>
    <row r="93" spans="2:10" ht="18.75">
      <c r="I93" s="96" t="s">
        <v>62</v>
      </c>
      <c r="J93" s="96" t="s">
        <v>345</v>
      </c>
    </row>
    <row r="94" spans="2:10" ht="18.75">
      <c r="I94" s="95" t="s">
        <v>336</v>
      </c>
      <c r="J94" s="115">
        <f>SUMIFS($G$71:$G$88,$B$71:$B$88,J$71,$D$71:$D$88,I94)</f>
        <v>0</v>
      </c>
    </row>
    <row r="95" spans="2:10" ht="18.75">
      <c r="I95" s="95" t="s">
        <v>334</v>
      </c>
      <c r="J95" s="115">
        <f t="shared" ref="J95:J98" si="9">SUMIFS($G$71:$G$88,$B$71:$B$88,J$71,$D$71:$D$88,I95)</f>
        <v>0</v>
      </c>
    </row>
    <row r="96" spans="2:10" ht="18.75">
      <c r="I96" s="95" t="s">
        <v>335</v>
      </c>
      <c r="J96" s="115">
        <f t="shared" si="9"/>
        <v>0</v>
      </c>
    </row>
    <row r="97" spans="9:10" ht="18.75">
      <c r="I97" s="95" t="s">
        <v>337</v>
      </c>
      <c r="J97" s="115">
        <f t="shared" si="9"/>
        <v>182869</v>
      </c>
    </row>
    <row r="98" spans="9:10" ht="18.75">
      <c r="I98" s="95" t="s">
        <v>333</v>
      </c>
      <c r="J98" s="115">
        <f t="shared" si="9"/>
        <v>130975</v>
      </c>
    </row>
  </sheetData>
  <mergeCells count="21">
    <mergeCell ref="I79:J79"/>
    <mergeCell ref="I85:J85"/>
    <mergeCell ref="I92:J92"/>
    <mergeCell ref="A1:L1"/>
    <mergeCell ref="I73:J73"/>
    <mergeCell ref="C3:I3"/>
    <mergeCell ref="B39:G39"/>
    <mergeCell ref="I40:J40"/>
    <mergeCell ref="I41:J41"/>
    <mergeCell ref="I51:J51"/>
    <mergeCell ref="I58:J58"/>
    <mergeCell ref="C5:C6"/>
    <mergeCell ref="D5:D6"/>
    <mergeCell ref="E5:E6"/>
    <mergeCell ref="F5:F6"/>
    <mergeCell ref="G5:G6"/>
    <mergeCell ref="H5:H6"/>
    <mergeCell ref="I5:I6"/>
    <mergeCell ref="B69:G69"/>
    <mergeCell ref="I70:J70"/>
    <mergeCell ref="D8:G8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showGridLines="0" tabSelected="1" topLeftCell="A77" workbookViewId="0">
      <selection activeCell="G79" sqref="G79"/>
    </sheetView>
  </sheetViews>
  <sheetFormatPr defaultRowHeight="15"/>
  <cols>
    <col min="1" max="1" width="4.5703125" customWidth="1"/>
    <col min="2" max="2" width="13.140625" bestFit="1" customWidth="1"/>
    <col min="3" max="3" width="19.42578125" bestFit="1" customWidth="1"/>
    <col min="4" max="4" width="37.42578125" bestFit="1" customWidth="1"/>
    <col min="5" max="5" width="19" bestFit="1" customWidth="1"/>
    <col min="6" max="6" width="28.140625" customWidth="1"/>
    <col min="7" max="7" width="20.28515625" bestFit="1" customWidth="1"/>
    <col min="8" max="8" width="37.28515625" bestFit="1" customWidth="1"/>
    <col min="9" max="10" width="9.140625" customWidth="1"/>
  </cols>
  <sheetData>
    <row r="1" spans="1:22" s="14" customFormat="1" ht="61.5" customHeight="1">
      <c r="A1" s="119" t="s">
        <v>350</v>
      </c>
      <c r="B1" s="119"/>
      <c r="C1" s="119"/>
      <c r="D1" s="119"/>
      <c r="E1" s="119"/>
      <c r="F1" s="119"/>
      <c r="G1" s="119"/>
      <c r="H1" s="119"/>
      <c r="I1" s="119"/>
      <c r="J1" s="119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ht="18.75">
      <c r="E3" s="150" t="s">
        <v>395</v>
      </c>
      <c r="F3" s="150"/>
    </row>
    <row r="4" spans="1:22" ht="18.75">
      <c r="E4" s="105" t="s">
        <v>396</v>
      </c>
      <c r="F4" s="34" t="s">
        <v>34</v>
      </c>
    </row>
    <row r="5" spans="1:22" ht="18.75">
      <c r="E5" s="105" t="s">
        <v>397</v>
      </c>
      <c r="F5" s="106" t="str">
        <f>VLOOKUP($F$4,$C$10:$H$19,5,FALSE)</f>
        <v>(15) 1234-5678</v>
      </c>
    </row>
    <row r="6" spans="1:22" ht="18.75">
      <c r="E6" s="105" t="s">
        <v>398</v>
      </c>
      <c r="F6" s="106" t="str">
        <f>VLOOKUP($F$4,$C$10:$H$19,6,FALSE)</f>
        <v>mariadasdores@hotmail.com</v>
      </c>
    </row>
    <row r="7" spans="1:22" ht="18.75">
      <c r="E7" s="105" t="s">
        <v>400</v>
      </c>
      <c r="F7" s="106" t="str">
        <f>VLOOKUP($F$4,$C$10:$H$19,3,FALSE)</f>
        <v>Sorocaba</v>
      </c>
    </row>
    <row r="9" spans="1:22" ht="18.75">
      <c r="C9" s="88" t="s">
        <v>62</v>
      </c>
      <c r="D9" s="88" t="s">
        <v>351</v>
      </c>
      <c r="E9" s="88" t="s">
        <v>352</v>
      </c>
      <c r="F9" s="88" t="s">
        <v>353</v>
      </c>
      <c r="G9" s="88" t="s">
        <v>148</v>
      </c>
      <c r="H9" s="88" t="s">
        <v>354</v>
      </c>
    </row>
    <row r="10" spans="1:22" ht="18.75">
      <c r="C10" s="32" t="s">
        <v>34</v>
      </c>
      <c r="D10" s="34" t="s">
        <v>355</v>
      </c>
      <c r="E10" s="34" t="s">
        <v>365</v>
      </c>
      <c r="F10" s="54" t="s">
        <v>366</v>
      </c>
      <c r="G10" s="34" t="s">
        <v>157</v>
      </c>
      <c r="H10" s="34" t="s">
        <v>367</v>
      </c>
    </row>
    <row r="11" spans="1:22" ht="18.75">
      <c r="C11" s="32" t="s">
        <v>35</v>
      </c>
      <c r="D11" s="34" t="s">
        <v>356</v>
      </c>
      <c r="E11" s="34" t="s">
        <v>368</v>
      </c>
      <c r="F11" s="54" t="s">
        <v>366</v>
      </c>
      <c r="G11" s="34" t="s">
        <v>155</v>
      </c>
      <c r="H11" s="34" t="s">
        <v>369</v>
      </c>
    </row>
    <row r="12" spans="1:22" ht="18.75">
      <c r="C12" s="32" t="s">
        <v>36</v>
      </c>
      <c r="D12" s="34" t="s">
        <v>357</v>
      </c>
      <c r="E12" s="34" t="s">
        <v>370</v>
      </c>
      <c r="F12" s="54" t="s">
        <v>371</v>
      </c>
      <c r="G12" s="34" t="s">
        <v>152</v>
      </c>
      <c r="H12" s="34" t="s">
        <v>372</v>
      </c>
    </row>
    <row r="13" spans="1:22" ht="18.75">
      <c r="C13" s="32" t="s">
        <v>37</v>
      </c>
      <c r="D13" s="34" t="s">
        <v>358</v>
      </c>
      <c r="E13" s="34" t="s">
        <v>373</v>
      </c>
      <c r="F13" s="54" t="s">
        <v>374</v>
      </c>
      <c r="G13" s="34" t="s">
        <v>153</v>
      </c>
      <c r="H13" s="34" t="s">
        <v>375</v>
      </c>
    </row>
    <row r="14" spans="1:22" ht="18.75">
      <c r="C14" s="32" t="s">
        <v>38</v>
      </c>
      <c r="D14" s="34" t="s">
        <v>359</v>
      </c>
      <c r="E14" s="34" t="s">
        <v>376</v>
      </c>
      <c r="F14" s="54" t="s">
        <v>377</v>
      </c>
      <c r="G14" s="34" t="s">
        <v>159</v>
      </c>
      <c r="H14" s="34" t="s">
        <v>378</v>
      </c>
    </row>
    <row r="15" spans="1:22" ht="18.75">
      <c r="C15" s="32" t="s">
        <v>75</v>
      </c>
      <c r="D15" s="34" t="s">
        <v>360</v>
      </c>
      <c r="E15" s="34" t="s">
        <v>379</v>
      </c>
      <c r="F15" s="54" t="s">
        <v>366</v>
      </c>
      <c r="G15" s="34" t="s">
        <v>380</v>
      </c>
      <c r="H15" s="34" t="s">
        <v>381</v>
      </c>
    </row>
    <row r="16" spans="1:22" ht="18.75">
      <c r="C16" s="32" t="s">
        <v>76</v>
      </c>
      <c r="D16" s="34" t="s">
        <v>361</v>
      </c>
      <c r="E16" s="34" t="s">
        <v>382</v>
      </c>
      <c r="F16" s="54" t="s">
        <v>383</v>
      </c>
      <c r="G16" s="34" t="s">
        <v>158</v>
      </c>
      <c r="H16" s="34" t="s">
        <v>384</v>
      </c>
    </row>
    <row r="17" spans="1:22" ht="18.75">
      <c r="C17" s="32" t="s">
        <v>77</v>
      </c>
      <c r="D17" s="34" t="s">
        <v>362</v>
      </c>
      <c r="E17" s="34" t="s">
        <v>385</v>
      </c>
      <c r="F17" s="54" t="s">
        <v>386</v>
      </c>
      <c r="G17" s="34" t="s">
        <v>387</v>
      </c>
      <c r="H17" s="34" t="s">
        <v>388</v>
      </c>
    </row>
    <row r="18" spans="1:22" ht="18.75">
      <c r="C18" s="32" t="s">
        <v>78</v>
      </c>
      <c r="D18" s="34" t="s">
        <v>363</v>
      </c>
      <c r="E18" s="34" t="s">
        <v>389</v>
      </c>
      <c r="F18" s="54" t="s">
        <v>390</v>
      </c>
      <c r="G18" s="34" t="s">
        <v>160</v>
      </c>
      <c r="H18" s="34" t="s">
        <v>391</v>
      </c>
    </row>
    <row r="19" spans="1:22" ht="18.75">
      <c r="C19" s="32" t="s">
        <v>79</v>
      </c>
      <c r="D19" s="34" t="s">
        <v>364</v>
      </c>
      <c r="E19" s="34" t="s">
        <v>392</v>
      </c>
      <c r="F19" s="54" t="s">
        <v>393</v>
      </c>
      <c r="G19" s="34" t="s">
        <v>154</v>
      </c>
      <c r="H19" s="34" t="s">
        <v>394</v>
      </c>
    </row>
    <row r="25" spans="1:22" s="14" customFormat="1" ht="38.25">
      <c r="A25" s="65" t="s">
        <v>399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15"/>
      <c r="V25" s="15"/>
    </row>
    <row r="26" spans="1:22" s="59" customFormat="1" ht="38.25">
      <c r="A26" s="66" t="s">
        <v>242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0"/>
      <c r="N26" s="60"/>
      <c r="O26" s="60"/>
      <c r="P26" s="60"/>
      <c r="Q26" s="60"/>
      <c r="R26" s="60"/>
      <c r="S26" s="60"/>
      <c r="T26" s="60"/>
      <c r="U26" s="58"/>
      <c r="V26" s="58"/>
    </row>
    <row r="27" spans="1:22" ht="18.75" customHeight="1"/>
    <row r="28" spans="1:22" ht="18.75">
      <c r="B28" s="88" t="s">
        <v>411</v>
      </c>
      <c r="C28" s="88" t="s">
        <v>62</v>
      </c>
      <c r="D28" s="88" t="s">
        <v>412</v>
      </c>
      <c r="F28" s="132" t="s">
        <v>395</v>
      </c>
      <c r="G28" s="133"/>
    </row>
    <row r="29" spans="1:22" ht="18.75">
      <c r="B29" s="104">
        <v>1</v>
      </c>
      <c r="C29" s="81" t="s">
        <v>34</v>
      </c>
      <c r="D29" s="55">
        <v>250</v>
      </c>
      <c r="F29" s="105" t="s">
        <v>413</v>
      </c>
      <c r="G29" s="104">
        <v>3</v>
      </c>
    </row>
    <row r="30" spans="1:22" ht="18.75">
      <c r="B30" s="104">
        <v>2</v>
      </c>
      <c r="C30" s="81" t="s">
        <v>35</v>
      </c>
      <c r="D30" s="55">
        <v>100</v>
      </c>
      <c r="F30" s="105" t="s">
        <v>414</v>
      </c>
      <c r="G30" s="106" t="str">
        <f>VLOOKUP($G$29,$B$29:$D$39,2,FALSE)</f>
        <v>Marcos</v>
      </c>
    </row>
    <row r="31" spans="1:22" ht="18.75">
      <c r="B31" s="104">
        <v>3</v>
      </c>
      <c r="C31" s="81" t="s">
        <v>36</v>
      </c>
      <c r="D31" s="55">
        <v>59</v>
      </c>
      <c r="F31" s="105" t="s">
        <v>415</v>
      </c>
      <c r="G31" s="107">
        <f>VLOOKUP($G$29,$B$29:$D$39,3,FALSE)</f>
        <v>59</v>
      </c>
    </row>
    <row r="32" spans="1:22" ht="18.75">
      <c r="B32" s="104">
        <v>4</v>
      </c>
      <c r="C32" s="81" t="s">
        <v>37</v>
      </c>
      <c r="D32" s="55">
        <v>88</v>
      </c>
    </row>
    <row r="33" spans="2:4" ht="18.75">
      <c r="B33" s="104">
        <v>5</v>
      </c>
      <c r="C33" s="81" t="s">
        <v>38</v>
      </c>
      <c r="D33" s="55">
        <v>470</v>
      </c>
    </row>
    <row r="34" spans="2:4" ht="18.75">
      <c r="B34" s="104">
        <v>6</v>
      </c>
      <c r="C34" s="81" t="s">
        <v>75</v>
      </c>
      <c r="D34" s="55">
        <v>320</v>
      </c>
    </row>
    <row r="35" spans="2:4" ht="18.75">
      <c r="B35" s="104">
        <v>7</v>
      </c>
      <c r="C35" s="81" t="s">
        <v>76</v>
      </c>
      <c r="D35" s="55">
        <v>124</v>
      </c>
    </row>
    <row r="36" spans="2:4" ht="18.75">
      <c r="B36" s="104">
        <v>8</v>
      </c>
      <c r="C36" s="81" t="s">
        <v>77</v>
      </c>
      <c r="D36" s="55">
        <v>244</v>
      </c>
    </row>
    <row r="37" spans="2:4" ht="18.75">
      <c r="B37" s="104">
        <v>9</v>
      </c>
      <c r="C37" s="81" t="s">
        <v>78</v>
      </c>
      <c r="D37" s="55">
        <v>37</v>
      </c>
    </row>
    <row r="38" spans="2:4" ht="18.75">
      <c r="B38" s="104">
        <v>10</v>
      </c>
      <c r="C38" s="81" t="s">
        <v>79</v>
      </c>
      <c r="D38" s="55">
        <v>110</v>
      </c>
    </row>
    <row r="39" spans="2:4" ht="18.75">
      <c r="B39" s="104">
        <v>11</v>
      </c>
      <c r="C39" s="81" t="s">
        <v>80</v>
      </c>
      <c r="D39" s="55">
        <v>600</v>
      </c>
    </row>
    <row r="49" spans="1:22" s="14" customFormat="1" ht="38.25">
      <c r="A49" s="65" t="s">
        <v>399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15"/>
      <c r="V49" s="15"/>
    </row>
    <row r="50" spans="1:22" s="59" customFormat="1" ht="38.25">
      <c r="A50" s="66" t="s">
        <v>242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0"/>
      <c r="N50" s="60"/>
      <c r="O50" s="60"/>
      <c r="P50" s="60"/>
      <c r="Q50" s="60"/>
      <c r="R50" s="60"/>
      <c r="S50" s="60"/>
      <c r="T50" s="60"/>
      <c r="U50" s="58"/>
      <c r="V50" s="58"/>
    </row>
    <row r="52" spans="1:22" ht="18.75">
      <c r="B52" s="88" t="s">
        <v>62</v>
      </c>
      <c r="C52" s="88" t="s">
        <v>406</v>
      </c>
      <c r="D52" s="88" t="s">
        <v>407</v>
      </c>
    </row>
    <row r="53" spans="1:22" ht="18.75">
      <c r="B53" s="32" t="s">
        <v>401</v>
      </c>
      <c r="C53" s="55">
        <v>700</v>
      </c>
      <c r="D53" s="103">
        <f>VLOOKUP(C53,$F$55:$G$59,2,TRUE)</f>
        <v>2.5000000000000001E-2</v>
      </c>
      <c r="F53" s="132" t="s">
        <v>408</v>
      </c>
      <c r="G53" s="133"/>
    </row>
    <row r="54" spans="1:22" ht="18.75">
      <c r="B54" s="32" t="s">
        <v>402</v>
      </c>
      <c r="C54" s="55">
        <v>300</v>
      </c>
      <c r="D54" s="103">
        <f t="shared" ref="D54:D59" si="0">VLOOKUP(C54,$F$55:$G$59,2,TRUE)</f>
        <v>0</v>
      </c>
      <c r="F54" s="102" t="s">
        <v>409</v>
      </c>
      <c r="G54" s="102" t="s">
        <v>410</v>
      </c>
    </row>
    <row r="55" spans="1:22" ht="18.75">
      <c r="B55" s="32" t="s">
        <v>403</v>
      </c>
      <c r="C55" s="55">
        <v>2100</v>
      </c>
      <c r="D55" s="103">
        <f t="shared" si="0"/>
        <v>0.05</v>
      </c>
      <c r="F55" s="56">
        <v>0</v>
      </c>
      <c r="G55" s="101">
        <v>0</v>
      </c>
    </row>
    <row r="56" spans="1:22" ht="18.75">
      <c r="B56" s="32" t="s">
        <v>238</v>
      </c>
      <c r="C56" s="55">
        <v>4500</v>
      </c>
      <c r="D56" s="103">
        <f t="shared" si="0"/>
        <v>0.05</v>
      </c>
      <c r="F56" s="56">
        <v>500</v>
      </c>
      <c r="G56" s="101">
        <v>2.5000000000000001E-2</v>
      </c>
    </row>
    <row r="57" spans="1:22" ht="18.75">
      <c r="B57" s="32" t="s">
        <v>404</v>
      </c>
      <c r="C57" s="55">
        <v>6000</v>
      </c>
      <c r="D57" s="103">
        <f t="shared" si="0"/>
        <v>0.1</v>
      </c>
      <c r="F57" s="56">
        <v>2000</v>
      </c>
      <c r="G57" s="101">
        <v>0.05</v>
      </c>
    </row>
    <row r="58" spans="1:22" ht="18.75">
      <c r="B58" s="100" t="s">
        <v>83</v>
      </c>
      <c r="C58" s="55">
        <v>9999</v>
      </c>
      <c r="D58" s="103">
        <f t="shared" si="0"/>
        <v>0.1</v>
      </c>
      <c r="F58" s="56">
        <v>5000</v>
      </c>
      <c r="G58" s="101">
        <v>0.1</v>
      </c>
    </row>
    <row r="59" spans="1:22" ht="18.75">
      <c r="B59" s="100" t="s">
        <v>405</v>
      </c>
      <c r="C59" s="55">
        <v>10000</v>
      </c>
      <c r="D59" s="103">
        <f t="shared" si="0"/>
        <v>0.2</v>
      </c>
      <c r="F59" s="56">
        <v>10000</v>
      </c>
      <c r="G59" s="101">
        <v>0.2</v>
      </c>
    </row>
    <row r="74" spans="1:22" s="14" customFormat="1" ht="38.25">
      <c r="A74" s="65" t="s">
        <v>399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15"/>
      <c r="V74" s="15"/>
    </row>
    <row r="75" spans="1:22" s="59" customFormat="1" ht="38.25">
      <c r="A75" s="66" t="s">
        <v>276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0"/>
      <c r="N75" s="60"/>
      <c r="O75" s="60"/>
      <c r="P75" s="60"/>
      <c r="Q75" s="60"/>
      <c r="R75" s="60"/>
      <c r="S75" s="60"/>
      <c r="T75" s="60"/>
      <c r="U75" s="58"/>
      <c r="V75" s="58"/>
    </row>
    <row r="76" spans="1:22" ht="18.75" customHeight="1"/>
    <row r="77" spans="1:22" ht="18.75" customHeight="1">
      <c r="D77" s="137" t="s">
        <v>248</v>
      </c>
      <c r="E77" s="137"/>
      <c r="F77" s="137"/>
      <c r="G77" s="137"/>
    </row>
    <row r="78" spans="1:22" ht="18.75">
      <c r="D78" s="88" t="s">
        <v>62</v>
      </c>
      <c r="E78" s="88" t="s">
        <v>416</v>
      </c>
      <c r="F78" s="88" t="s">
        <v>417</v>
      </c>
      <c r="G78" s="88" t="s">
        <v>418</v>
      </c>
    </row>
    <row r="79" spans="1:22" ht="18.75">
      <c r="D79" s="32" t="s">
        <v>401</v>
      </c>
      <c r="E79" s="55">
        <v>1300</v>
      </c>
      <c r="F79" s="103">
        <f>VLOOKUP(E79,$D$90:$F$92,3,TRUE)</f>
        <v>0.08</v>
      </c>
      <c r="G79" s="55">
        <f>E79-(E79*F79)</f>
        <v>1196</v>
      </c>
    </row>
    <row r="80" spans="1:22" ht="18.75">
      <c r="D80" s="32" t="s">
        <v>402</v>
      </c>
      <c r="E80" s="55">
        <v>1455</v>
      </c>
      <c r="F80" s="103">
        <f t="shared" ref="F80:F85" si="1">VLOOKUP(E80,$D$90:$F$92,3,TRUE)</f>
        <v>0.09</v>
      </c>
      <c r="G80" s="55">
        <f t="shared" ref="G80:G85" si="2">E80-(E80*F80)</f>
        <v>1324.05</v>
      </c>
    </row>
    <row r="81" spans="4:7" ht="18.75">
      <c r="D81" s="32" t="s">
        <v>403</v>
      </c>
      <c r="E81" s="55">
        <v>900</v>
      </c>
      <c r="F81" s="103">
        <f t="shared" si="1"/>
        <v>0.08</v>
      </c>
      <c r="G81" s="55">
        <f t="shared" si="2"/>
        <v>828</v>
      </c>
    </row>
    <row r="82" spans="4:7" ht="18.75">
      <c r="D82" s="32" t="s">
        <v>238</v>
      </c>
      <c r="E82" s="55">
        <v>3500</v>
      </c>
      <c r="F82" s="103">
        <f t="shared" si="1"/>
        <v>0.11</v>
      </c>
      <c r="G82" s="55">
        <f t="shared" si="2"/>
        <v>3115</v>
      </c>
    </row>
    <row r="83" spans="4:7" ht="18.75">
      <c r="D83" s="32" t="s">
        <v>404</v>
      </c>
      <c r="E83" s="55">
        <v>5000</v>
      </c>
      <c r="F83" s="103">
        <f t="shared" si="1"/>
        <v>0.11</v>
      </c>
      <c r="G83" s="55">
        <f t="shared" si="2"/>
        <v>4450</v>
      </c>
    </row>
    <row r="84" spans="4:7" ht="18.75">
      <c r="D84" s="100" t="s">
        <v>83</v>
      </c>
      <c r="E84" s="55">
        <v>2000</v>
      </c>
      <c r="F84" s="103">
        <f t="shared" si="1"/>
        <v>0.09</v>
      </c>
      <c r="G84" s="55">
        <f t="shared" si="2"/>
        <v>1820</v>
      </c>
    </row>
    <row r="85" spans="4:7" ht="18.75">
      <c r="D85" s="100" t="s">
        <v>405</v>
      </c>
      <c r="E85" s="55">
        <v>4390.24</v>
      </c>
      <c r="F85" s="103">
        <f t="shared" si="1"/>
        <v>0.11</v>
      </c>
      <c r="G85" s="55">
        <f t="shared" si="2"/>
        <v>3907.3136</v>
      </c>
    </row>
    <row r="88" spans="4:7" ht="18.75">
      <c r="D88" s="132" t="s">
        <v>421</v>
      </c>
      <c r="E88" s="133"/>
      <c r="F88" s="157" t="s">
        <v>422</v>
      </c>
    </row>
    <row r="89" spans="4:7" ht="18.75">
      <c r="D89" s="88" t="s">
        <v>419</v>
      </c>
      <c r="E89" s="88" t="s">
        <v>420</v>
      </c>
      <c r="F89" s="157"/>
    </row>
    <row r="90" spans="4:7" ht="18.75">
      <c r="D90" s="109">
        <v>0</v>
      </c>
      <c r="E90" s="110">
        <v>1317.07</v>
      </c>
      <c r="F90" s="108">
        <v>0.08</v>
      </c>
    </row>
    <row r="91" spans="4:7" ht="18.75">
      <c r="D91" s="109">
        <v>1317.08</v>
      </c>
      <c r="E91" s="110">
        <v>2195.12</v>
      </c>
      <c r="F91" s="101">
        <v>0.09</v>
      </c>
    </row>
    <row r="92" spans="4:7" ht="18.75">
      <c r="D92" s="109">
        <v>2195.13</v>
      </c>
      <c r="E92" s="110">
        <v>4390.24</v>
      </c>
      <c r="F92" s="101">
        <v>0.11</v>
      </c>
    </row>
  </sheetData>
  <mergeCells count="7">
    <mergeCell ref="D77:G77"/>
    <mergeCell ref="A1:J1"/>
    <mergeCell ref="F53:G53"/>
    <mergeCell ref="D88:E88"/>
    <mergeCell ref="E3:F3"/>
    <mergeCell ref="F28:G28"/>
    <mergeCell ref="F88:F8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I11" sqref="I11"/>
    </sheetView>
  </sheetViews>
  <sheetFormatPr defaultRowHeight="15"/>
  <cols>
    <col min="7" max="7" width="16.28515625" customWidth="1"/>
    <col min="8" max="8" width="22.28515625" customWidth="1"/>
    <col min="9" max="9" width="21.5703125" customWidth="1"/>
  </cols>
  <sheetData>
    <row r="1" spans="1:20" s="14" customFormat="1" ht="61.5" customHeight="1">
      <c r="A1" s="119" t="s">
        <v>54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5"/>
      <c r="T1" s="15"/>
    </row>
    <row r="4" spans="1:20" ht="21">
      <c r="H4" s="93" t="s">
        <v>45</v>
      </c>
      <c r="I4" s="93" t="s">
        <v>46</v>
      </c>
    </row>
    <row r="5" spans="1:20" ht="18.75">
      <c r="H5" s="4" t="s">
        <v>53</v>
      </c>
      <c r="I5" s="7">
        <f>DATE(2016,11,20)</f>
        <v>42694</v>
      </c>
    </row>
    <row r="6" spans="1:20" ht="18.75">
      <c r="H6" s="4" t="s">
        <v>52</v>
      </c>
      <c r="I6" s="7">
        <f ca="1">TODAY()</f>
        <v>44996</v>
      </c>
    </row>
    <row r="7" spans="1:20" ht="18.75">
      <c r="H7" s="4" t="s">
        <v>51</v>
      </c>
      <c r="I7" s="3">
        <f ca="1">DAY(I6)</f>
        <v>11</v>
      </c>
    </row>
    <row r="8" spans="1:20" ht="18.75">
      <c r="H8" s="4" t="s">
        <v>50</v>
      </c>
      <c r="I8" s="3">
        <f ca="1">MONTH(I6)</f>
        <v>3</v>
      </c>
    </row>
    <row r="9" spans="1:20" ht="18.75">
      <c r="H9" s="4" t="s">
        <v>60</v>
      </c>
      <c r="I9" s="3">
        <f ca="1">YEAR(I6)</f>
        <v>2023</v>
      </c>
    </row>
    <row r="10" spans="1:20" ht="18.75">
      <c r="H10" s="4" t="s">
        <v>49</v>
      </c>
      <c r="I10" s="3">
        <f ca="1">WEEKDAY(I6,1)</f>
        <v>7</v>
      </c>
    </row>
  </sheetData>
  <mergeCells count="1">
    <mergeCell ref="A1:R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showGridLines="0" workbookViewId="0">
      <selection activeCell="G5" sqref="G5"/>
    </sheetView>
  </sheetViews>
  <sheetFormatPr defaultRowHeight="15"/>
  <cols>
    <col min="1" max="1" width="21.140625" customWidth="1"/>
    <col min="2" max="2" width="23.140625" customWidth="1"/>
    <col min="5" max="5" width="5.28515625" customWidth="1"/>
    <col min="6" max="6" width="21.5703125" customWidth="1"/>
    <col min="7" max="7" width="23.140625" customWidth="1"/>
  </cols>
  <sheetData>
    <row r="1" spans="1:20" s="14" customFormat="1" ht="67.5">
      <c r="A1" s="119" t="s">
        <v>58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3"/>
      <c r="S1" s="118"/>
      <c r="T1" s="118"/>
    </row>
    <row r="2" spans="1:20" ht="20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21">
      <c r="F3" s="121" t="s">
        <v>20</v>
      </c>
      <c r="G3" s="121"/>
    </row>
    <row r="4" spans="1:20" ht="18.75">
      <c r="F4" s="4" t="s">
        <v>15</v>
      </c>
      <c r="G4" s="7">
        <f>DATE(2015,10,17)</f>
        <v>42294</v>
      </c>
    </row>
    <row r="5" spans="1:20" ht="18.75">
      <c r="F5" s="4" t="s">
        <v>16</v>
      </c>
      <c r="G5" s="7">
        <f>EDATE(G4,1)</f>
        <v>42325</v>
      </c>
    </row>
    <row r="6" spans="1:20" ht="18.75">
      <c r="F6" s="4" t="s">
        <v>17</v>
      </c>
      <c r="G6" s="7">
        <f>EDATE(G5,1)</f>
        <v>42355</v>
      </c>
    </row>
    <row r="7" spans="1:20" ht="18.75">
      <c r="F7" s="4" t="s">
        <v>18</v>
      </c>
      <c r="G7" s="7">
        <f t="shared" ref="G7:G8" si="0">EDATE(G6,1)</f>
        <v>42386</v>
      </c>
    </row>
    <row r="8" spans="1:20" ht="18.75">
      <c r="F8" s="4" t="s">
        <v>19</v>
      </c>
      <c r="G8" s="7">
        <f t="shared" si="0"/>
        <v>42417</v>
      </c>
    </row>
  </sheetData>
  <mergeCells count="3">
    <mergeCell ref="F3:G3"/>
    <mergeCell ref="S1:T1"/>
    <mergeCell ref="A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showGridLines="0" topLeftCell="A13" workbookViewId="0">
      <selection activeCell="G23" sqref="G23"/>
    </sheetView>
  </sheetViews>
  <sheetFormatPr defaultRowHeight="15"/>
  <cols>
    <col min="1" max="3" width="9.140625" customWidth="1"/>
    <col min="5" max="8" width="9.140625" customWidth="1"/>
    <col min="9" max="11" width="20.7109375" customWidth="1"/>
  </cols>
  <sheetData>
    <row r="1" spans="1:20" s="14" customFormat="1" ht="67.5">
      <c r="A1" s="119" t="s">
        <v>56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3"/>
      <c r="T1" s="13"/>
    </row>
    <row r="2" spans="1:20" ht="21">
      <c r="A2" s="12"/>
      <c r="B2" s="12"/>
      <c r="C2" s="12"/>
    </row>
    <row r="3" spans="1:20" ht="21">
      <c r="I3" s="122" t="s">
        <v>21</v>
      </c>
      <c r="J3" s="123"/>
      <c r="K3" s="124"/>
    </row>
    <row r="4" spans="1:20" ht="18.75">
      <c r="I4" s="1" t="s">
        <v>22</v>
      </c>
      <c r="J4" s="1" t="s">
        <v>23</v>
      </c>
      <c r="K4" s="1" t="s">
        <v>24</v>
      </c>
    </row>
    <row r="5" spans="1:20" ht="18.75">
      <c r="I5" s="6">
        <v>42213</v>
      </c>
      <c r="J5" s="6">
        <v>42231</v>
      </c>
      <c r="K5" s="4">
        <f>J5-I5</f>
        <v>18</v>
      </c>
    </row>
    <row r="6" spans="1:20" ht="18.75">
      <c r="I6" s="6">
        <v>42292</v>
      </c>
      <c r="J6" s="6">
        <v>42296</v>
      </c>
      <c r="K6" s="4">
        <f>J6-I6</f>
        <v>4</v>
      </c>
    </row>
    <row r="7" spans="1:20" ht="18.75">
      <c r="I7" s="6">
        <v>42324</v>
      </c>
      <c r="J7" s="6">
        <v>42459</v>
      </c>
      <c r="K7" s="54">
        <f t="shared" ref="K7:K9" si="0">J7-I7</f>
        <v>135</v>
      </c>
    </row>
    <row r="8" spans="1:20" ht="18.75">
      <c r="I8" s="6">
        <v>42455</v>
      </c>
      <c r="J8" s="6">
        <v>42898</v>
      </c>
      <c r="K8" s="54">
        <f t="shared" si="0"/>
        <v>443</v>
      </c>
    </row>
    <row r="9" spans="1:20" ht="18.75">
      <c r="I9" s="6">
        <v>42499</v>
      </c>
      <c r="J9" s="6">
        <v>42864</v>
      </c>
      <c r="K9" s="54">
        <f t="shared" si="0"/>
        <v>365</v>
      </c>
    </row>
    <row r="10" spans="1:20" ht="18.75">
      <c r="A10" s="8"/>
      <c r="B10" s="8"/>
      <c r="C10" s="11"/>
    </row>
    <row r="11" spans="1:20" s="14" customFormat="1" ht="61.5" customHeight="1">
      <c r="A11" s="119" t="s">
        <v>57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</row>
    <row r="13" spans="1:20" ht="15.75" thickBot="1"/>
    <row r="14" spans="1:20" ht="56.25" customHeight="1">
      <c r="I14" s="125" t="s">
        <v>25</v>
      </c>
      <c r="J14" s="126"/>
    </row>
    <row r="15" spans="1:20" ht="62.25" thickBot="1">
      <c r="I15" s="127">
        <v>10</v>
      </c>
      <c r="J15" s="128"/>
    </row>
    <row r="16" spans="1:20" ht="21">
      <c r="C16" s="10"/>
    </row>
    <row r="17" spans="9:10" ht="21">
      <c r="I17" s="122" t="s">
        <v>26</v>
      </c>
      <c r="J17" s="124"/>
    </row>
    <row r="18" spans="9:10" ht="18.75">
      <c r="I18" s="1" t="s">
        <v>27</v>
      </c>
      <c r="J18" s="1" t="s">
        <v>28</v>
      </c>
    </row>
    <row r="19" spans="9:10" ht="18.75">
      <c r="I19" s="6">
        <v>42213</v>
      </c>
      <c r="J19" s="6">
        <f>I19+$I$15</f>
        <v>42223</v>
      </c>
    </row>
    <row r="20" spans="9:10" ht="18.75">
      <c r="I20" s="6">
        <v>42292</v>
      </c>
      <c r="J20" s="6">
        <f t="shared" ref="J20:J23" si="1">I20+$I$15</f>
        <v>42302</v>
      </c>
    </row>
    <row r="21" spans="9:10" ht="18.75">
      <c r="I21" s="6">
        <v>42324</v>
      </c>
      <c r="J21" s="6">
        <f t="shared" si="1"/>
        <v>42334</v>
      </c>
    </row>
    <row r="22" spans="9:10" ht="18.75">
      <c r="I22" s="6">
        <v>42455</v>
      </c>
      <c r="J22" s="6">
        <f t="shared" si="1"/>
        <v>42465</v>
      </c>
    </row>
    <row r="23" spans="9:10" ht="18.75">
      <c r="I23" s="6">
        <v>42499</v>
      </c>
      <c r="J23" s="6">
        <f t="shared" si="1"/>
        <v>42509</v>
      </c>
    </row>
  </sheetData>
  <mergeCells count="6">
    <mergeCell ref="I3:K3"/>
    <mergeCell ref="A1:R1"/>
    <mergeCell ref="I17:J17"/>
    <mergeCell ref="I14:J14"/>
    <mergeCell ref="A11:R11"/>
    <mergeCell ref="I15:J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workbookViewId="0">
      <selection activeCell="H16" sqref="H16"/>
    </sheetView>
  </sheetViews>
  <sheetFormatPr defaultRowHeight="15"/>
  <cols>
    <col min="6" max="6" width="8.140625" customWidth="1"/>
    <col min="7" max="7" width="20.42578125" customWidth="1"/>
    <col min="8" max="8" width="17.28515625" bestFit="1" customWidth="1"/>
    <col min="9" max="9" width="23" bestFit="1" customWidth="1"/>
    <col min="10" max="10" width="21.5703125" customWidth="1"/>
  </cols>
  <sheetData>
    <row r="1" spans="1:20" s="14" customFormat="1" ht="67.5">
      <c r="A1" s="119" t="s">
        <v>55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3"/>
      <c r="S1" s="13"/>
      <c r="T1" s="13"/>
    </row>
    <row r="3" spans="1:20" ht="15.75" thickBot="1"/>
    <row r="4" spans="1:20" ht="21.75" thickBot="1">
      <c r="G4" s="129" t="s">
        <v>29</v>
      </c>
      <c r="H4" s="130"/>
      <c r="I4" s="130"/>
      <c r="J4" s="131"/>
    </row>
    <row r="5" spans="1:20" ht="6.75" customHeight="1" thickBot="1">
      <c r="G5" s="12"/>
      <c r="H5" s="12"/>
      <c r="I5" s="12"/>
      <c r="J5" s="12"/>
    </row>
    <row r="6" spans="1:20" ht="21.75" thickBot="1">
      <c r="G6" s="25" t="s">
        <v>39</v>
      </c>
      <c r="H6" s="28">
        <v>42122</v>
      </c>
      <c r="I6" s="19"/>
      <c r="J6" s="20"/>
    </row>
    <row r="7" spans="1:20" ht="18.75">
      <c r="G7" s="21" t="s">
        <v>30</v>
      </c>
      <c r="H7" s="22" t="s">
        <v>31</v>
      </c>
      <c r="I7" s="22" t="s">
        <v>32</v>
      </c>
      <c r="J7" s="23" t="s">
        <v>33</v>
      </c>
    </row>
    <row r="8" spans="1:20" ht="18.75">
      <c r="G8" s="16" t="s">
        <v>34</v>
      </c>
      <c r="H8" s="6">
        <v>42231</v>
      </c>
      <c r="I8" s="54">
        <f>DAYS360($H$6,H8)</f>
        <v>107</v>
      </c>
      <c r="J8" s="29">
        <f>WEEKDAY(H8,1)</f>
        <v>7</v>
      </c>
    </row>
    <row r="9" spans="1:20" ht="18.75">
      <c r="G9" s="16" t="s">
        <v>35</v>
      </c>
      <c r="H9" s="6">
        <v>42296</v>
      </c>
      <c r="I9" s="54">
        <f t="shared" ref="I9:I12" si="0">DAYS360($H$6,H9)</f>
        <v>171</v>
      </c>
      <c r="J9" s="29">
        <f t="shared" ref="J9:J12" si="1">WEEKDAY(H9,1)</f>
        <v>2</v>
      </c>
    </row>
    <row r="10" spans="1:20" ht="18.75">
      <c r="G10" s="16" t="s">
        <v>36</v>
      </c>
      <c r="H10" s="6">
        <v>42460</v>
      </c>
      <c r="I10" s="54">
        <f t="shared" si="0"/>
        <v>333</v>
      </c>
      <c r="J10" s="29">
        <f t="shared" si="1"/>
        <v>5</v>
      </c>
    </row>
    <row r="11" spans="1:20" ht="18.75">
      <c r="G11" s="16" t="s">
        <v>37</v>
      </c>
      <c r="H11" s="6">
        <v>42898</v>
      </c>
      <c r="I11" s="54">
        <f t="shared" si="0"/>
        <v>764</v>
      </c>
      <c r="J11" s="29">
        <f t="shared" si="1"/>
        <v>2</v>
      </c>
    </row>
    <row r="12" spans="1:20" ht="19.5" thickBot="1">
      <c r="G12" s="17" t="s">
        <v>38</v>
      </c>
      <c r="H12" s="18">
        <v>42864</v>
      </c>
      <c r="I12" s="54">
        <f t="shared" si="0"/>
        <v>731</v>
      </c>
      <c r="J12" s="29">
        <f t="shared" si="1"/>
        <v>3</v>
      </c>
    </row>
    <row r="15" spans="1:20">
      <c r="H15" s="9"/>
      <c r="I15" s="9"/>
    </row>
  </sheetData>
  <mergeCells count="2">
    <mergeCell ref="G4:J4"/>
    <mergeCell ref="A1:Q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showGridLines="0" topLeftCell="A4" workbookViewId="0">
      <selection activeCell="J14" sqref="J14"/>
    </sheetView>
  </sheetViews>
  <sheetFormatPr defaultRowHeight="15"/>
  <cols>
    <col min="2" max="2" width="18.140625" customWidth="1"/>
    <col min="3" max="4" width="25" customWidth="1"/>
    <col min="5" max="5" width="8.28515625" customWidth="1"/>
    <col min="6" max="7" width="25" customWidth="1"/>
    <col min="8" max="8" width="31.5703125" bestFit="1" customWidth="1"/>
    <col min="9" max="10" width="9.140625" customWidth="1"/>
  </cols>
  <sheetData>
    <row r="1" spans="1:22" s="14" customFormat="1" ht="61.5" customHeight="1">
      <c r="A1" s="119" t="s">
        <v>61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5"/>
      <c r="N1" s="15"/>
      <c r="O1" s="15"/>
      <c r="P1" s="15"/>
      <c r="Q1" s="15"/>
      <c r="R1" s="15"/>
      <c r="S1" s="15"/>
      <c r="T1" s="15"/>
      <c r="U1" s="15"/>
      <c r="V1" s="15"/>
    </row>
    <row r="4" spans="1:22" ht="18.75">
      <c r="C4" s="31" t="s">
        <v>62</v>
      </c>
      <c r="D4" s="31" t="s">
        <v>63</v>
      </c>
      <c r="F4" s="31" t="s">
        <v>69</v>
      </c>
      <c r="G4" s="31" t="s">
        <v>70</v>
      </c>
      <c r="H4" s="31" t="s">
        <v>71</v>
      </c>
    </row>
    <row r="5" spans="1:22" ht="18.75">
      <c r="C5" s="32" t="s">
        <v>423</v>
      </c>
      <c r="D5" s="34" t="s">
        <v>64</v>
      </c>
      <c r="F5" s="111" t="str">
        <f>UPPER(C5)</f>
        <v>MARIA</v>
      </c>
      <c r="G5" s="34" t="str">
        <f>LOWER(C5)</f>
        <v>maria</v>
      </c>
      <c r="H5" s="34" t="str">
        <f>PROPER(C5)</f>
        <v>Maria</v>
      </c>
    </row>
    <row r="6" spans="1:22" ht="18.75">
      <c r="C6" s="32" t="s">
        <v>35</v>
      </c>
      <c r="D6" s="34" t="s">
        <v>65</v>
      </c>
      <c r="F6" s="111" t="str">
        <f t="shared" ref="F6:F21" si="0">UPPER(C6)</f>
        <v>JOÃO</v>
      </c>
      <c r="G6" s="34" t="str">
        <f t="shared" ref="G6:G21" si="1">LOWER(C6)</f>
        <v>joão</v>
      </c>
      <c r="H6" s="34" t="str">
        <f t="shared" ref="H6:H21" si="2">PROPER(C6)</f>
        <v>João</v>
      </c>
    </row>
    <row r="7" spans="1:22" ht="18.75">
      <c r="C7" s="32" t="s">
        <v>36</v>
      </c>
      <c r="D7" s="34" t="s">
        <v>66</v>
      </c>
      <c r="F7" s="111" t="str">
        <f t="shared" si="0"/>
        <v>MARCOS</v>
      </c>
      <c r="G7" s="34" t="str">
        <f t="shared" si="1"/>
        <v>marcos</v>
      </c>
      <c r="H7" s="34" t="str">
        <f t="shared" si="2"/>
        <v>Marcos</v>
      </c>
    </row>
    <row r="8" spans="1:22" ht="18.75">
      <c r="C8" s="32" t="s">
        <v>37</v>
      </c>
      <c r="D8" s="34" t="s">
        <v>67</v>
      </c>
      <c r="F8" s="111" t="str">
        <f t="shared" si="0"/>
        <v>JOSÉ</v>
      </c>
      <c r="G8" s="34" t="str">
        <f t="shared" si="1"/>
        <v>josé</v>
      </c>
      <c r="H8" s="34" t="str">
        <f t="shared" si="2"/>
        <v>José</v>
      </c>
    </row>
    <row r="9" spans="1:22" ht="18.75">
      <c r="C9" s="32" t="s">
        <v>38</v>
      </c>
      <c r="D9" s="34" t="s">
        <v>68</v>
      </c>
      <c r="F9" s="111" t="str">
        <f t="shared" si="0"/>
        <v>SEBASTIÃO</v>
      </c>
      <c r="G9" s="34" t="str">
        <f t="shared" si="1"/>
        <v>sebastião</v>
      </c>
      <c r="H9" s="34" t="str">
        <f t="shared" si="2"/>
        <v>Sebastião</v>
      </c>
    </row>
    <row r="10" spans="1:22" ht="18.75">
      <c r="C10" s="32" t="s">
        <v>75</v>
      </c>
      <c r="D10" s="34" t="s">
        <v>86</v>
      </c>
      <c r="F10" s="111" t="str">
        <f t="shared" si="0"/>
        <v>ALINE</v>
      </c>
      <c r="G10" s="34" t="str">
        <f t="shared" si="1"/>
        <v>aline</v>
      </c>
      <c r="H10" s="34" t="str">
        <f t="shared" si="2"/>
        <v>Aline</v>
      </c>
    </row>
    <row r="11" spans="1:22" ht="18.75">
      <c r="C11" s="32" t="s">
        <v>76</v>
      </c>
      <c r="D11" s="34" t="s">
        <v>87</v>
      </c>
      <c r="F11" s="111" t="str">
        <f t="shared" si="0"/>
        <v>MICHELE</v>
      </c>
      <c r="G11" s="34" t="str">
        <f t="shared" si="1"/>
        <v>michele</v>
      </c>
      <c r="H11" s="34" t="str">
        <f t="shared" si="2"/>
        <v>Michele</v>
      </c>
    </row>
    <row r="12" spans="1:22" ht="18.75">
      <c r="C12" s="32" t="s">
        <v>77</v>
      </c>
      <c r="D12" s="34" t="s">
        <v>88</v>
      </c>
      <c r="F12" s="111" t="str">
        <f t="shared" si="0"/>
        <v>RODRIGO</v>
      </c>
      <c r="G12" s="34" t="str">
        <f t="shared" si="1"/>
        <v>rodrigo</v>
      </c>
      <c r="H12" s="34" t="str">
        <f t="shared" si="2"/>
        <v>Rodrigo</v>
      </c>
    </row>
    <row r="13" spans="1:22" ht="18.75">
      <c r="C13" s="32" t="s">
        <v>78</v>
      </c>
      <c r="D13" s="34" t="s">
        <v>89</v>
      </c>
      <c r="F13" s="111" t="str">
        <f t="shared" si="0"/>
        <v>BRUNO</v>
      </c>
      <c r="G13" s="34" t="str">
        <f t="shared" si="1"/>
        <v>bruno</v>
      </c>
      <c r="H13" s="34" t="str">
        <f t="shared" si="2"/>
        <v>Bruno</v>
      </c>
    </row>
    <row r="14" spans="1:22" ht="18.75">
      <c r="C14" s="32" t="s">
        <v>79</v>
      </c>
      <c r="D14" s="34" t="s">
        <v>90</v>
      </c>
      <c r="F14" s="111" t="str">
        <f t="shared" si="0"/>
        <v>CARLOS</v>
      </c>
      <c r="G14" s="34" t="str">
        <f t="shared" si="1"/>
        <v>carlos</v>
      </c>
      <c r="H14" s="34" t="str">
        <f t="shared" si="2"/>
        <v>Carlos</v>
      </c>
    </row>
    <row r="15" spans="1:22" ht="18.75">
      <c r="C15" s="32" t="s">
        <v>80</v>
      </c>
      <c r="D15" s="34" t="s">
        <v>91</v>
      </c>
      <c r="F15" s="111" t="str">
        <f t="shared" si="0"/>
        <v>DANIELA</v>
      </c>
      <c r="G15" s="34" t="str">
        <f t="shared" si="1"/>
        <v>daniela</v>
      </c>
      <c r="H15" s="34" t="str">
        <f t="shared" si="2"/>
        <v>Daniela</v>
      </c>
    </row>
    <row r="16" spans="1:22" ht="18.75">
      <c r="C16" s="32" t="s">
        <v>81</v>
      </c>
      <c r="D16" s="34" t="s">
        <v>92</v>
      </c>
      <c r="F16" s="111" t="str">
        <f t="shared" si="0"/>
        <v>ERICO</v>
      </c>
      <c r="G16" s="34" t="str">
        <f t="shared" si="1"/>
        <v>erico</v>
      </c>
      <c r="H16" s="34" t="str">
        <f t="shared" si="2"/>
        <v>Erico</v>
      </c>
    </row>
    <row r="17" spans="3:8" ht="18.75">
      <c r="C17" s="32" t="s">
        <v>82</v>
      </c>
      <c r="D17" s="34" t="s">
        <v>93</v>
      </c>
      <c r="F17" s="111" t="str">
        <f t="shared" si="0"/>
        <v>FABIANA</v>
      </c>
      <c r="G17" s="34" t="str">
        <f t="shared" si="1"/>
        <v>fabiana</v>
      </c>
      <c r="H17" s="34" t="str">
        <f t="shared" si="2"/>
        <v>Fabiana</v>
      </c>
    </row>
    <row r="18" spans="3:8" ht="18.75">
      <c r="C18" s="32" t="s">
        <v>83</v>
      </c>
      <c r="D18" s="34" t="s">
        <v>94</v>
      </c>
      <c r="F18" s="111" t="str">
        <f t="shared" si="0"/>
        <v>GABRIEL</v>
      </c>
      <c r="G18" s="34" t="str">
        <f t="shared" si="1"/>
        <v>gabriel</v>
      </c>
      <c r="H18" s="34" t="str">
        <f t="shared" si="2"/>
        <v>Gabriel</v>
      </c>
    </row>
    <row r="19" spans="3:8" ht="18.75">
      <c r="C19" s="32" t="s">
        <v>84</v>
      </c>
      <c r="D19" s="34" t="s">
        <v>34</v>
      </c>
      <c r="F19" s="111" t="str">
        <f t="shared" si="0"/>
        <v>HELENA</v>
      </c>
      <c r="G19" s="34" t="str">
        <f t="shared" si="1"/>
        <v>helena</v>
      </c>
      <c r="H19" s="34" t="str">
        <f t="shared" si="2"/>
        <v>Helena</v>
      </c>
    </row>
    <row r="20" spans="3:8" ht="18.75">
      <c r="C20" s="32" t="s">
        <v>95</v>
      </c>
      <c r="D20" s="34" t="s">
        <v>96</v>
      </c>
      <c r="F20" s="111" t="str">
        <f t="shared" si="0"/>
        <v>FLAVIO</v>
      </c>
      <c r="G20" s="34" t="str">
        <f t="shared" si="1"/>
        <v>flavio</v>
      </c>
      <c r="H20" s="34" t="str">
        <f t="shared" si="2"/>
        <v>Flavio</v>
      </c>
    </row>
    <row r="21" spans="3:8" ht="18.75">
      <c r="C21" s="32" t="s">
        <v>85</v>
      </c>
      <c r="D21" s="34" t="s">
        <v>97</v>
      </c>
      <c r="F21" s="111" t="str">
        <f t="shared" si="0"/>
        <v>LEANDRO</v>
      </c>
      <c r="G21" s="34" t="str">
        <f t="shared" si="1"/>
        <v>leandro</v>
      </c>
      <c r="H21" s="34" t="str">
        <f t="shared" si="2"/>
        <v>Leandro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opLeftCell="A28" workbookViewId="0">
      <selection activeCell="H27" sqref="H27"/>
    </sheetView>
  </sheetViews>
  <sheetFormatPr defaultRowHeight="15"/>
  <cols>
    <col min="2" max="2" width="18.42578125" customWidth="1"/>
    <col min="3" max="3" width="23.140625" bestFit="1" customWidth="1"/>
    <col min="4" max="4" width="18.5703125" customWidth="1"/>
    <col min="5" max="5" width="18.42578125" customWidth="1"/>
    <col min="6" max="6" width="23.140625" bestFit="1" customWidth="1"/>
    <col min="7" max="7" width="22.7109375" bestFit="1" customWidth="1"/>
    <col min="8" max="8" width="21.140625" customWidth="1"/>
  </cols>
  <sheetData>
    <row r="1" spans="1:22" s="14" customFormat="1" ht="61.5" customHeight="1">
      <c r="A1" s="119" t="s">
        <v>72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5"/>
      <c r="O1" s="15"/>
      <c r="P1" s="15"/>
      <c r="Q1" s="15"/>
      <c r="R1" s="15"/>
      <c r="S1" s="15"/>
      <c r="T1" s="15"/>
      <c r="U1" s="15"/>
      <c r="V1" s="15"/>
    </row>
    <row r="3" spans="1:22" ht="18.75">
      <c r="D3" s="31" t="s">
        <v>31</v>
      </c>
      <c r="F3" s="31" t="s">
        <v>73</v>
      </c>
      <c r="G3" s="31" t="s">
        <v>74</v>
      </c>
    </row>
    <row r="4" spans="1:22" ht="18.75">
      <c r="D4" s="6">
        <v>42231</v>
      </c>
      <c r="F4" s="6">
        <f>LARGE(D4:D8,1)</f>
        <v>42898</v>
      </c>
      <c r="G4" s="6">
        <f>SMALL(D4:D8,1)</f>
        <v>42231</v>
      </c>
    </row>
    <row r="5" spans="1:22" ht="18.75">
      <c r="D5" s="6">
        <v>42296</v>
      </c>
    </row>
    <row r="6" spans="1:22" ht="18.75">
      <c r="D6" s="6">
        <v>42460</v>
      </c>
    </row>
    <row r="7" spans="1:22" ht="18.75">
      <c r="D7" s="6">
        <v>42898</v>
      </c>
    </row>
    <row r="8" spans="1:22" ht="18.75">
      <c r="D8" s="6">
        <v>42864</v>
      </c>
    </row>
    <row r="9" spans="1:22" ht="18.75">
      <c r="E9" s="8"/>
      <c r="F9" s="8"/>
      <c r="G9" s="8"/>
    </row>
    <row r="10" spans="1:22" ht="18.75">
      <c r="E10" s="8"/>
      <c r="F10" s="8"/>
      <c r="G10" s="8"/>
    </row>
    <row r="11" spans="1:22" ht="18.75">
      <c r="E11" s="8"/>
      <c r="F11" s="8"/>
      <c r="G11" s="8"/>
    </row>
    <row r="12" spans="1:22" ht="18.75">
      <c r="E12" s="8"/>
      <c r="F12" s="8"/>
      <c r="G12" s="8"/>
    </row>
    <row r="13" spans="1:22" ht="18.75">
      <c r="E13" s="8"/>
      <c r="F13" s="8"/>
      <c r="G13" s="8"/>
    </row>
    <row r="14" spans="1:22" ht="18.75">
      <c r="E14" s="8"/>
      <c r="F14" s="8"/>
      <c r="G14" s="8"/>
    </row>
    <row r="15" spans="1:22" ht="18.75">
      <c r="E15" s="8"/>
      <c r="F15" s="8"/>
      <c r="G15" s="8"/>
    </row>
    <row r="16" spans="1:22" ht="18.75">
      <c r="E16" s="8"/>
      <c r="F16" s="8"/>
      <c r="G16" s="8"/>
    </row>
    <row r="17" spans="1:22" ht="18.75">
      <c r="E17" s="8"/>
      <c r="F17" s="8"/>
      <c r="G17" s="8"/>
    </row>
    <row r="18" spans="1:22" ht="18.75">
      <c r="E18" s="8"/>
      <c r="F18" s="8"/>
      <c r="G18" s="8"/>
    </row>
    <row r="19" spans="1:22" ht="18.75">
      <c r="E19" s="8"/>
      <c r="F19" s="8"/>
      <c r="G19" s="8"/>
    </row>
    <row r="20" spans="1:22" ht="18.75">
      <c r="E20" s="8"/>
      <c r="F20" s="8"/>
      <c r="G20" s="8"/>
    </row>
    <row r="21" spans="1:22" ht="18.75">
      <c r="E21" s="8"/>
      <c r="F21" s="8"/>
      <c r="G21" s="8"/>
    </row>
    <row r="22" spans="1:22" ht="18.75">
      <c r="B22" s="8"/>
      <c r="C22" s="8"/>
      <c r="D22" s="8"/>
    </row>
    <row r="23" spans="1:22" s="14" customFormat="1" ht="38.25">
      <c r="A23" s="65" t="s">
        <v>133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15"/>
      <c r="V23" s="15"/>
    </row>
    <row r="24" spans="1:22" s="59" customFormat="1" ht="38.25">
      <c r="A24" s="66" t="s">
        <v>240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0"/>
      <c r="N24" s="60"/>
      <c r="O24" s="60"/>
      <c r="P24" s="60"/>
      <c r="Q24" s="60"/>
      <c r="R24" s="60"/>
      <c r="S24" s="60"/>
      <c r="T24" s="60"/>
      <c r="U24" s="58"/>
      <c r="V24" s="58"/>
    </row>
    <row r="26" spans="1:22" ht="18.75">
      <c r="D26" s="31" t="s">
        <v>98</v>
      </c>
      <c r="E26" s="31" t="s">
        <v>99</v>
      </c>
      <c r="G26" s="132" t="s">
        <v>100</v>
      </c>
      <c r="H26" s="133"/>
    </row>
    <row r="27" spans="1:22" ht="18.75">
      <c r="D27" s="32" t="s">
        <v>34</v>
      </c>
      <c r="E27" s="35">
        <v>8</v>
      </c>
      <c r="G27" s="34" t="s">
        <v>102</v>
      </c>
      <c r="H27" s="35">
        <f>LARGE(E27:E43,1)</f>
        <v>10</v>
      </c>
    </row>
    <row r="28" spans="1:22" ht="18.75">
      <c r="D28" s="32" t="s">
        <v>35</v>
      </c>
      <c r="E28" s="35">
        <v>4.5</v>
      </c>
      <c r="G28" s="34" t="s">
        <v>103</v>
      </c>
      <c r="H28" s="35">
        <f>LARGE(E27:E43,2)</f>
        <v>9.9</v>
      </c>
    </row>
    <row r="29" spans="1:22" ht="18.75">
      <c r="D29" s="32" t="s">
        <v>36</v>
      </c>
      <c r="E29" s="35">
        <v>2.2000000000000002</v>
      </c>
      <c r="G29" s="34" t="s">
        <v>104</v>
      </c>
      <c r="H29" s="35">
        <f>LARGE(E27:E43,3)</f>
        <v>9.5</v>
      </c>
    </row>
    <row r="30" spans="1:22" ht="18.75">
      <c r="D30" s="32" t="s">
        <v>37</v>
      </c>
      <c r="E30" s="35">
        <v>1.5</v>
      </c>
    </row>
    <row r="31" spans="1:22" ht="18.75">
      <c r="D31" s="32" t="s">
        <v>38</v>
      </c>
      <c r="E31" s="35">
        <v>9.5</v>
      </c>
      <c r="G31" s="132" t="s">
        <v>101</v>
      </c>
      <c r="H31" s="133"/>
    </row>
    <row r="32" spans="1:22" ht="18.75">
      <c r="D32" s="32" t="s">
        <v>75</v>
      </c>
      <c r="E32" s="35">
        <v>10</v>
      </c>
      <c r="G32" s="34" t="s">
        <v>102</v>
      </c>
      <c r="H32" s="35">
        <f>SMALL(E27:E43,1)</f>
        <v>1.5</v>
      </c>
    </row>
    <row r="33" spans="4:8" ht="18.75">
      <c r="D33" s="32" t="s">
        <v>76</v>
      </c>
      <c r="E33" s="35">
        <v>9.5</v>
      </c>
      <c r="G33" s="34" t="s">
        <v>103</v>
      </c>
      <c r="H33" s="35">
        <f>SMALL(E27:E43,2)</f>
        <v>2.2000000000000002</v>
      </c>
    </row>
    <row r="34" spans="4:8" ht="18.75">
      <c r="D34" s="32" t="s">
        <v>77</v>
      </c>
      <c r="E34" s="35">
        <v>7.5</v>
      </c>
      <c r="G34" s="34" t="s">
        <v>104</v>
      </c>
      <c r="H34" s="35">
        <f>SMALL(E27:E43,3)</f>
        <v>2.8</v>
      </c>
    </row>
    <row r="35" spans="4:8" ht="18.75">
      <c r="D35" s="32" t="s">
        <v>78</v>
      </c>
      <c r="E35" s="35">
        <v>6.4</v>
      </c>
    </row>
    <row r="36" spans="4:8" ht="18.75">
      <c r="D36" s="32" t="s">
        <v>79</v>
      </c>
      <c r="E36" s="35">
        <v>6.6</v>
      </c>
    </row>
    <row r="37" spans="4:8" ht="18.75">
      <c r="D37" s="32" t="s">
        <v>80</v>
      </c>
      <c r="E37" s="35">
        <v>5</v>
      </c>
    </row>
    <row r="38" spans="4:8" ht="18.75">
      <c r="D38" s="32" t="s">
        <v>81</v>
      </c>
      <c r="E38" s="35">
        <v>3</v>
      </c>
    </row>
    <row r="39" spans="4:8" ht="18.75">
      <c r="D39" s="32" t="s">
        <v>82</v>
      </c>
      <c r="E39" s="35">
        <v>2.8</v>
      </c>
    </row>
    <row r="40" spans="4:8" ht="18.75">
      <c r="D40" s="32" t="s">
        <v>83</v>
      </c>
      <c r="E40" s="35">
        <v>4.8</v>
      </c>
    </row>
    <row r="41" spans="4:8" ht="18.75">
      <c r="D41" s="32" t="s">
        <v>84</v>
      </c>
      <c r="E41" s="35">
        <v>9.9</v>
      </c>
    </row>
    <row r="42" spans="4:8" ht="18.75">
      <c r="D42" s="32" t="s">
        <v>95</v>
      </c>
      <c r="E42" s="35">
        <v>9.1999999999999993</v>
      </c>
    </row>
    <row r="43" spans="4:8" ht="18.75">
      <c r="D43" s="32" t="s">
        <v>85</v>
      </c>
      <c r="E43" s="35">
        <v>7</v>
      </c>
    </row>
  </sheetData>
  <mergeCells count="3">
    <mergeCell ref="G26:H26"/>
    <mergeCell ref="G31:H31"/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GridLines="0" workbookViewId="0">
      <selection activeCell="I9" sqref="I9"/>
    </sheetView>
  </sheetViews>
  <sheetFormatPr defaultRowHeight="15"/>
  <cols>
    <col min="6" max="6" width="13.7109375" customWidth="1"/>
    <col min="7" max="7" width="19.5703125" customWidth="1"/>
    <col min="8" max="8" width="17.5703125" customWidth="1"/>
    <col min="9" max="9" width="35" customWidth="1"/>
  </cols>
  <sheetData>
    <row r="1" spans="1:22" s="14" customFormat="1" ht="61.5" customHeight="1">
      <c r="A1" s="119" t="s">
        <v>105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5"/>
      <c r="Q1" s="15"/>
      <c r="R1" s="15"/>
      <c r="S1" s="15"/>
      <c r="T1" s="15"/>
      <c r="U1" s="15"/>
      <c r="V1" s="15"/>
    </row>
    <row r="3" spans="1:22" ht="37.5">
      <c r="G3" s="83" t="s">
        <v>106</v>
      </c>
      <c r="H3" s="83" t="s">
        <v>107</v>
      </c>
      <c r="I3" s="31" t="s">
        <v>108</v>
      </c>
    </row>
    <row r="4" spans="1:22" ht="18.75">
      <c r="G4" s="36">
        <v>3</v>
      </c>
      <c r="H4" s="36">
        <v>2</v>
      </c>
      <c r="I4" s="36">
        <f>MOD(G4,H4)</f>
        <v>1</v>
      </c>
    </row>
    <row r="5" spans="1:22" ht="18.75">
      <c r="G5" s="36">
        <v>10</v>
      </c>
      <c r="H5" s="36">
        <v>3</v>
      </c>
      <c r="I5" s="36">
        <f>MOD(G5,H5)</f>
        <v>1</v>
      </c>
    </row>
    <row r="6" spans="1:22" ht="18.75">
      <c r="G6" s="36">
        <v>24</v>
      </c>
      <c r="H6" s="36">
        <v>5</v>
      </c>
      <c r="I6" s="36">
        <f>MOD(G6,H6)</f>
        <v>4</v>
      </c>
    </row>
    <row r="7" spans="1:22" ht="18.75">
      <c r="G7" s="36">
        <v>10</v>
      </c>
      <c r="H7" s="36">
        <v>2</v>
      </c>
      <c r="I7" s="36">
        <f>MOD(G7,H7)</f>
        <v>0</v>
      </c>
    </row>
    <row r="8" spans="1:22" ht="18.75">
      <c r="G8" s="36">
        <v>15</v>
      </c>
      <c r="H8" s="36">
        <v>14</v>
      </c>
      <c r="I8" s="36">
        <f>MOD(G8,H8)</f>
        <v>1</v>
      </c>
    </row>
  </sheetData>
  <mergeCells count="1">
    <mergeCell ref="A1:O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showGridLines="0" topLeftCell="A31" workbookViewId="0">
      <selection activeCell="U49" sqref="U49"/>
    </sheetView>
  </sheetViews>
  <sheetFormatPr defaultRowHeight="15"/>
  <cols>
    <col min="1" max="1" width="3" customWidth="1"/>
    <col min="2" max="2" width="17.28515625" customWidth="1"/>
    <col min="3" max="14" width="9.7109375" customWidth="1"/>
    <col min="15" max="15" width="13" customWidth="1"/>
    <col min="16" max="16" width="9.28515625" bestFit="1" customWidth="1"/>
    <col min="17" max="18" width="9.7109375" customWidth="1"/>
    <col min="19" max="19" width="10.140625" customWidth="1"/>
    <col min="20" max="20" width="7.42578125" customWidth="1"/>
    <col min="22" max="22" width="11.28515625" bestFit="1" customWidth="1"/>
    <col min="23" max="23" width="15.7109375" bestFit="1" customWidth="1"/>
    <col min="24" max="24" width="19" bestFit="1" customWidth="1"/>
    <col min="25" max="25" width="16" bestFit="1" customWidth="1"/>
    <col min="26" max="26" width="15.28515625" bestFit="1" customWidth="1"/>
    <col min="27" max="27" width="16" bestFit="1" customWidth="1"/>
    <col min="30" max="30" width="11.85546875" customWidth="1"/>
    <col min="34" max="34" width="11.140625" customWidth="1"/>
  </cols>
  <sheetData>
    <row r="1" spans="1:34" s="14" customFormat="1" ht="61.5" customHeight="1">
      <c r="A1" s="15" t="s">
        <v>109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 t="s">
        <v>109</v>
      </c>
    </row>
    <row r="3" spans="1:34" ht="30">
      <c r="V3" s="82" t="s">
        <v>424</v>
      </c>
      <c r="W3" s="82" t="s">
        <v>136</v>
      </c>
      <c r="X3" s="82" t="s">
        <v>134</v>
      </c>
      <c r="Y3" s="82" t="s">
        <v>148</v>
      </c>
      <c r="Z3" s="82" t="s">
        <v>135</v>
      </c>
      <c r="AA3" s="82" t="s">
        <v>149</v>
      </c>
      <c r="AB3" s="41"/>
      <c r="AC3" s="82" t="s">
        <v>424</v>
      </c>
      <c r="AD3" s="89" t="s">
        <v>425</v>
      </c>
      <c r="AE3" s="89" t="s">
        <v>427</v>
      </c>
      <c r="AF3" s="89" t="s">
        <v>426</v>
      </c>
      <c r="AG3" s="89" t="s">
        <v>135</v>
      </c>
      <c r="AH3" s="89" t="s">
        <v>149</v>
      </c>
    </row>
    <row r="4" spans="1:34" ht="15.75">
      <c r="V4" s="38" t="s">
        <v>34</v>
      </c>
      <c r="W4" s="113">
        <v>42136</v>
      </c>
      <c r="X4" s="92" t="s">
        <v>137</v>
      </c>
      <c r="Y4" s="92" t="s">
        <v>150</v>
      </c>
      <c r="Z4" s="92" t="s">
        <v>161</v>
      </c>
      <c r="AA4" s="114">
        <v>42123</v>
      </c>
      <c r="AC4" s="112">
        <f t="shared" ref="AC4:AH4" si="0">COUNTBLANK(V4:V25)</f>
        <v>0</v>
      </c>
      <c r="AD4" s="112">
        <f t="shared" si="0"/>
        <v>0</v>
      </c>
      <c r="AE4" s="112">
        <f t="shared" si="0"/>
        <v>1</v>
      </c>
      <c r="AF4" s="112">
        <f t="shared" si="0"/>
        <v>1</v>
      </c>
      <c r="AG4" s="112">
        <f t="shared" si="0"/>
        <v>0</v>
      </c>
      <c r="AH4" s="112">
        <f t="shared" si="0"/>
        <v>2</v>
      </c>
    </row>
    <row r="5" spans="1:34" ht="15.75">
      <c r="V5" s="38" t="s">
        <v>35</v>
      </c>
      <c r="W5" s="113">
        <v>42241</v>
      </c>
      <c r="X5" s="92" t="s">
        <v>138</v>
      </c>
      <c r="Y5" s="92" t="s">
        <v>151</v>
      </c>
      <c r="Z5" s="92" t="s">
        <v>162</v>
      </c>
      <c r="AA5" s="114">
        <v>41724</v>
      </c>
      <c r="AC5" s="42"/>
      <c r="AD5" s="42"/>
      <c r="AE5" s="42"/>
      <c r="AF5" s="42"/>
      <c r="AG5" s="42"/>
      <c r="AH5" s="42"/>
    </row>
    <row r="6" spans="1:34" ht="15.75">
      <c r="V6" s="38" t="s">
        <v>36</v>
      </c>
      <c r="W6" s="113">
        <v>42036</v>
      </c>
      <c r="X6" s="92" t="s">
        <v>139</v>
      </c>
      <c r="Y6" s="92" t="s">
        <v>152</v>
      </c>
      <c r="Z6" s="92" t="s">
        <v>163</v>
      </c>
      <c r="AA6" s="114">
        <v>40949</v>
      </c>
      <c r="AC6" s="42"/>
      <c r="AD6" s="42"/>
      <c r="AE6" s="42"/>
      <c r="AF6" s="42"/>
      <c r="AG6" s="42"/>
      <c r="AH6" s="42"/>
    </row>
    <row r="7" spans="1:34" ht="15.75">
      <c r="V7" s="38" t="s">
        <v>37</v>
      </c>
      <c r="W7" s="113">
        <v>42292</v>
      </c>
      <c r="X7" s="92" t="s">
        <v>140</v>
      </c>
      <c r="Y7" s="92" t="s">
        <v>153</v>
      </c>
      <c r="Z7" s="92" t="s">
        <v>164</v>
      </c>
      <c r="AA7" s="114">
        <v>40359</v>
      </c>
      <c r="AC7" s="42"/>
      <c r="AD7" s="42"/>
      <c r="AE7" s="42"/>
      <c r="AF7" s="42"/>
      <c r="AG7" s="42"/>
      <c r="AH7" s="42"/>
    </row>
    <row r="8" spans="1:34" ht="15.75">
      <c r="V8" s="38" t="s">
        <v>38</v>
      </c>
      <c r="W8" s="113">
        <v>42337</v>
      </c>
      <c r="X8" s="92" t="s">
        <v>141</v>
      </c>
      <c r="Y8" s="92" t="s">
        <v>154</v>
      </c>
      <c r="Z8" s="92" t="s">
        <v>165</v>
      </c>
      <c r="AA8" s="114">
        <v>41832</v>
      </c>
      <c r="AC8" s="42"/>
      <c r="AD8" s="42"/>
      <c r="AE8" s="42"/>
      <c r="AF8" s="42"/>
      <c r="AG8" s="42"/>
      <c r="AH8" s="42"/>
    </row>
    <row r="9" spans="1:34" ht="15.75">
      <c r="V9" s="38" t="s">
        <v>75</v>
      </c>
      <c r="W9" s="113">
        <v>42103</v>
      </c>
      <c r="X9" s="92" t="s">
        <v>142</v>
      </c>
      <c r="Y9" s="92" t="s">
        <v>155</v>
      </c>
      <c r="Z9" s="92" t="s">
        <v>166</v>
      </c>
      <c r="AA9" s="114">
        <v>42324</v>
      </c>
      <c r="AC9" s="42"/>
      <c r="AD9" s="42"/>
      <c r="AE9" s="42"/>
      <c r="AF9" s="42"/>
      <c r="AG9" s="42"/>
      <c r="AH9" s="42"/>
    </row>
    <row r="10" spans="1:34" ht="15.75">
      <c r="V10" s="38" t="s">
        <v>76</v>
      </c>
      <c r="W10" s="113">
        <v>42167</v>
      </c>
      <c r="X10" s="92" t="s">
        <v>143</v>
      </c>
      <c r="Y10" s="92" t="s">
        <v>156</v>
      </c>
      <c r="Z10" s="92" t="s">
        <v>167</v>
      </c>
      <c r="AA10" s="114">
        <v>41633</v>
      </c>
      <c r="AC10" s="42"/>
      <c r="AD10" s="42"/>
      <c r="AE10" s="42"/>
      <c r="AF10" s="42"/>
      <c r="AG10" s="42"/>
      <c r="AH10" s="42"/>
    </row>
    <row r="11" spans="1:34" ht="15.75">
      <c r="V11" s="38" t="s">
        <v>77</v>
      </c>
      <c r="W11" s="113">
        <v>42009</v>
      </c>
      <c r="X11" s="92"/>
      <c r="Y11" s="92" t="s">
        <v>157</v>
      </c>
      <c r="Z11" s="92" t="s">
        <v>168</v>
      </c>
      <c r="AA11" s="114">
        <v>42193</v>
      </c>
      <c r="AC11" s="42"/>
      <c r="AD11" s="42"/>
      <c r="AE11" s="42"/>
      <c r="AF11" s="42"/>
      <c r="AG11" s="42"/>
      <c r="AH11" s="42"/>
    </row>
    <row r="12" spans="1:34" ht="15.75">
      <c r="V12" s="38" t="s">
        <v>78</v>
      </c>
      <c r="W12" s="113">
        <v>42093</v>
      </c>
      <c r="X12" s="92" t="s">
        <v>146</v>
      </c>
      <c r="Y12" s="92" t="s">
        <v>158</v>
      </c>
      <c r="Z12" s="92" t="s">
        <v>169</v>
      </c>
      <c r="AA12" s="114">
        <v>42306</v>
      </c>
      <c r="AC12" s="42"/>
      <c r="AD12" s="42"/>
      <c r="AE12" s="42"/>
      <c r="AF12" s="42"/>
      <c r="AG12" s="42"/>
      <c r="AH12" s="42"/>
    </row>
    <row r="13" spans="1:34" ht="15.75">
      <c r="V13" s="38" t="s">
        <v>79</v>
      </c>
      <c r="W13" s="113">
        <v>42265</v>
      </c>
      <c r="X13" s="92" t="s">
        <v>145</v>
      </c>
      <c r="Y13" s="92" t="s">
        <v>159</v>
      </c>
      <c r="Z13" s="92" t="s">
        <v>170</v>
      </c>
      <c r="AA13" s="114">
        <v>41644</v>
      </c>
      <c r="AC13" s="42"/>
      <c r="AD13" s="42"/>
      <c r="AE13" s="42"/>
      <c r="AF13" s="42"/>
      <c r="AG13" s="42"/>
      <c r="AH13" s="42"/>
    </row>
    <row r="14" spans="1:34" ht="15.75">
      <c r="V14" s="38" t="s">
        <v>80</v>
      </c>
      <c r="W14" s="113">
        <v>42360</v>
      </c>
      <c r="X14" s="92" t="s">
        <v>147</v>
      </c>
      <c r="Y14" s="92" t="s">
        <v>160</v>
      </c>
      <c r="Z14" s="92" t="s">
        <v>171</v>
      </c>
      <c r="AA14" s="114">
        <v>42206</v>
      </c>
      <c r="AC14" s="42"/>
      <c r="AD14" s="42"/>
      <c r="AE14" s="42"/>
      <c r="AF14" s="42"/>
      <c r="AG14" s="42"/>
      <c r="AH14" s="42"/>
    </row>
    <row r="15" spans="1:34" ht="15.75">
      <c r="V15" s="38" t="s">
        <v>34</v>
      </c>
      <c r="W15" s="113">
        <v>42136</v>
      </c>
      <c r="X15" s="92" t="s">
        <v>137</v>
      </c>
      <c r="Y15" s="92" t="s">
        <v>150</v>
      </c>
      <c r="Z15" s="92" t="s">
        <v>161</v>
      </c>
      <c r="AA15" s="114">
        <v>42123</v>
      </c>
      <c r="AC15" s="42"/>
      <c r="AD15" s="42"/>
      <c r="AE15" s="42"/>
      <c r="AF15" s="42"/>
      <c r="AG15" s="42"/>
      <c r="AH15" s="42"/>
    </row>
    <row r="16" spans="1:34" ht="15.75">
      <c r="V16" s="38" t="s">
        <v>35</v>
      </c>
      <c r="W16" s="113">
        <v>42241</v>
      </c>
      <c r="X16" s="92" t="s">
        <v>138</v>
      </c>
      <c r="Y16" s="92" t="s">
        <v>151</v>
      </c>
      <c r="Z16" s="92" t="s">
        <v>162</v>
      </c>
      <c r="AA16" s="114">
        <v>41724</v>
      </c>
      <c r="AC16" s="42"/>
      <c r="AD16" s="42"/>
      <c r="AE16" s="42"/>
      <c r="AF16" s="42"/>
      <c r="AG16" s="42"/>
      <c r="AH16" s="42"/>
    </row>
    <row r="17" spans="1:34" ht="15.75">
      <c r="V17" s="38" t="s">
        <v>36</v>
      </c>
      <c r="W17" s="113">
        <v>42036</v>
      </c>
      <c r="X17" s="92" t="s">
        <v>139</v>
      </c>
      <c r="Y17" s="92" t="s">
        <v>152</v>
      </c>
      <c r="Z17" s="92" t="s">
        <v>163</v>
      </c>
      <c r="AA17" s="114">
        <v>40949</v>
      </c>
      <c r="AC17" s="42"/>
      <c r="AD17" s="42"/>
      <c r="AE17" s="42"/>
      <c r="AF17" s="42"/>
      <c r="AG17" s="42"/>
      <c r="AH17" s="42"/>
    </row>
    <row r="18" spans="1:34" ht="15.75">
      <c r="V18" s="38" t="s">
        <v>37</v>
      </c>
      <c r="W18" s="113">
        <v>42292</v>
      </c>
      <c r="X18" s="92" t="s">
        <v>140</v>
      </c>
      <c r="Y18" s="92"/>
      <c r="Z18" s="92" t="s">
        <v>164</v>
      </c>
      <c r="AA18" s="114"/>
      <c r="AC18" s="42"/>
      <c r="AD18" s="42"/>
      <c r="AE18" s="42"/>
      <c r="AF18" s="42"/>
      <c r="AG18" s="42"/>
      <c r="AH18" s="42"/>
    </row>
    <row r="19" spans="1:34" ht="15.75">
      <c r="V19" s="38" t="s">
        <v>38</v>
      </c>
      <c r="W19" s="113">
        <v>42337</v>
      </c>
      <c r="X19" s="92" t="s">
        <v>141</v>
      </c>
      <c r="Y19" s="92" t="s">
        <v>154</v>
      </c>
      <c r="Z19" s="92" t="s">
        <v>165</v>
      </c>
      <c r="AA19" s="114">
        <v>41832</v>
      </c>
      <c r="AC19" s="42"/>
      <c r="AD19" s="42"/>
      <c r="AE19" s="42"/>
      <c r="AF19" s="42"/>
      <c r="AG19" s="42"/>
      <c r="AH19" s="42"/>
    </row>
    <row r="20" spans="1:34" ht="15.75">
      <c r="V20" s="38" t="s">
        <v>75</v>
      </c>
      <c r="W20" s="113">
        <v>42103</v>
      </c>
      <c r="X20" s="92" t="s">
        <v>142</v>
      </c>
      <c r="Y20" s="92" t="s">
        <v>155</v>
      </c>
      <c r="Z20" s="92" t="s">
        <v>166</v>
      </c>
      <c r="AA20" s="114">
        <v>42324</v>
      </c>
      <c r="AC20" s="42"/>
      <c r="AD20" s="42"/>
      <c r="AE20" s="42"/>
      <c r="AF20" s="42"/>
      <c r="AG20" s="42"/>
      <c r="AH20" s="42"/>
    </row>
    <row r="21" spans="1:34" ht="15.75">
      <c r="V21" s="38" t="s">
        <v>76</v>
      </c>
      <c r="W21" s="113">
        <v>42167</v>
      </c>
      <c r="X21" s="92" t="s">
        <v>143</v>
      </c>
      <c r="Y21" s="92" t="s">
        <v>156</v>
      </c>
      <c r="Z21" s="92" t="s">
        <v>167</v>
      </c>
      <c r="AA21" s="114">
        <v>41633</v>
      </c>
      <c r="AC21" s="42"/>
      <c r="AD21" s="42"/>
      <c r="AE21" s="42"/>
      <c r="AF21" s="42"/>
      <c r="AG21" s="42"/>
      <c r="AH21" s="42"/>
    </row>
    <row r="22" spans="1:34" ht="15.75">
      <c r="V22" s="38" t="s">
        <v>77</v>
      </c>
      <c r="W22" s="113">
        <v>42009</v>
      </c>
      <c r="X22" s="92" t="s">
        <v>144</v>
      </c>
      <c r="Y22" s="92" t="s">
        <v>157</v>
      </c>
      <c r="Z22" s="92" t="s">
        <v>168</v>
      </c>
      <c r="AA22" s="114">
        <v>42193</v>
      </c>
      <c r="AC22" s="42"/>
      <c r="AD22" s="42"/>
      <c r="AE22" s="42"/>
      <c r="AF22" s="42"/>
      <c r="AG22" s="42"/>
      <c r="AH22" s="42"/>
    </row>
    <row r="23" spans="1:34" ht="15.75">
      <c r="V23" s="38" t="s">
        <v>78</v>
      </c>
      <c r="W23" s="113">
        <v>42093</v>
      </c>
      <c r="X23" s="92" t="s">
        <v>146</v>
      </c>
      <c r="Y23" s="92" t="s">
        <v>158</v>
      </c>
      <c r="Z23" s="92" t="s">
        <v>169</v>
      </c>
      <c r="AA23" s="114">
        <v>42306</v>
      </c>
      <c r="AC23" s="42"/>
      <c r="AD23" s="42"/>
      <c r="AE23" s="42"/>
      <c r="AF23" s="42"/>
      <c r="AG23" s="42"/>
      <c r="AH23" s="42"/>
    </row>
    <row r="24" spans="1:34" ht="15.75">
      <c r="V24" s="38" t="s">
        <v>79</v>
      </c>
      <c r="W24" s="113">
        <v>42265</v>
      </c>
      <c r="X24" s="92" t="s">
        <v>145</v>
      </c>
      <c r="Y24" s="92" t="s">
        <v>159</v>
      </c>
      <c r="Z24" s="92" t="s">
        <v>170</v>
      </c>
      <c r="AA24" s="114">
        <v>41644</v>
      </c>
      <c r="AC24" s="42"/>
      <c r="AD24" s="42"/>
      <c r="AE24" s="42"/>
      <c r="AF24" s="42"/>
      <c r="AG24" s="42"/>
      <c r="AH24" s="42"/>
    </row>
    <row r="25" spans="1:34" ht="15.75">
      <c r="V25" s="38" t="s">
        <v>80</v>
      </c>
      <c r="W25" s="113">
        <v>42360</v>
      </c>
      <c r="X25" s="92" t="s">
        <v>147</v>
      </c>
      <c r="Y25" s="92" t="s">
        <v>160</v>
      </c>
      <c r="Z25" s="92" t="s">
        <v>171</v>
      </c>
      <c r="AA25" s="114"/>
      <c r="AC25" s="42"/>
      <c r="AD25" s="42"/>
      <c r="AE25" s="42"/>
      <c r="AF25" s="42"/>
      <c r="AG25" s="42"/>
      <c r="AH25" s="42"/>
    </row>
    <row r="26" spans="1:34" ht="15.75">
      <c r="B26" s="43"/>
      <c r="C26" s="44"/>
      <c r="D26" s="45"/>
      <c r="E26" s="46"/>
      <c r="F26" s="46"/>
      <c r="G26" s="45"/>
      <c r="H26" s="45"/>
      <c r="I26" s="45"/>
      <c r="J26" s="45"/>
      <c r="K26" s="47"/>
      <c r="L26" s="45"/>
      <c r="N26" s="42"/>
      <c r="O26" s="42"/>
      <c r="P26" s="42"/>
      <c r="Q26" s="42"/>
      <c r="R26" s="42"/>
      <c r="S26" s="42"/>
    </row>
    <row r="27" spans="1:34" s="48" customFormat="1" ht="12.75"/>
    <row r="28" spans="1:34" s="14" customFormat="1" ht="38.25">
      <c r="A28" s="134" t="s">
        <v>132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57"/>
      <c r="N28" s="57"/>
      <c r="O28" s="57"/>
      <c r="P28" s="57"/>
      <c r="Q28" s="57"/>
      <c r="R28" s="57"/>
      <c r="S28" s="57"/>
      <c r="T28" s="57"/>
      <c r="U28" s="15"/>
      <c r="V28" s="15"/>
    </row>
    <row r="29" spans="1:34" s="59" customFormat="1" ht="38.25">
      <c r="A29" s="66" t="s">
        <v>241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0"/>
      <c r="N29" s="60"/>
      <c r="O29" s="60"/>
      <c r="P29" s="60"/>
      <c r="Q29" s="60"/>
      <c r="R29" s="60"/>
      <c r="S29" s="60"/>
      <c r="T29" s="60"/>
      <c r="U29" s="58"/>
      <c r="V29" s="58"/>
    </row>
    <row r="31" spans="1:34" ht="18.75">
      <c r="B31" s="137" t="s">
        <v>110</v>
      </c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</row>
    <row r="32" spans="1:34" ht="15.75">
      <c r="B32" s="90" t="s">
        <v>98</v>
      </c>
      <c r="C32" s="91" t="s">
        <v>113</v>
      </c>
      <c r="D32" s="91" t="s">
        <v>114</v>
      </c>
      <c r="E32" s="91" t="s">
        <v>115</v>
      </c>
      <c r="F32" s="91" t="s">
        <v>116</v>
      </c>
      <c r="G32" s="91" t="s">
        <v>117</v>
      </c>
      <c r="H32" s="91" t="s">
        <v>118</v>
      </c>
      <c r="I32" s="91" t="s">
        <v>119</v>
      </c>
      <c r="J32" s="91" t="s">
        <v>120</v>
      </c>
      <c r="K32" s="91" t="s">
        <v>121</v>
      </c>
      <c r="L32" s="91" t="s">
        <v>122</v>
      </c>
      <c r="M32" s="91" t="s">
        <v>123</v>
      </c>
      <c r="N32" s="91" t="s">
        <v>124</v>
      </c>
      <c r="O32" s="91" t="s">
        <v>125</v>
      </c>
      <c r="P32" s="91" t="s">
        <v>126</v>
      </c>
      <c r="Q32" s="91" t="s">
        <v>127</v>
      </c>
      <c r="R32" s="91" t="s">
        <v>128</v>
      </c>
      <c r="S32" s="136" t="s">
        <v>111</v>
      </c>
      <c r="T32" s="136"/>
    </row>
    <row r="33" spans="2:20" ht="17.100000000000001" customHeight="1">
      <c r="B33" s="38" t="s">
        <v>34</v>
      </c>
      <c r="C33" s="39" t="s">
        <v>112</v>
      </c>
      <c r="D33" s="39" t="s">
        <v>112</v>
      </c>
      <c r="E33" s="39" t="s">
        <v>112</v>
      </c>
      <c r="F33" s="39" t="s">
        <v>112</v>
      </c>
      <c r="G33" s="39" t="s">
        <v>112</v>
      </c>
      <c r="H33" s="39" t="s">
        <v>112</v>
      </c>
      <c r="I33" s="39" t="s">
        <v>112</v>
      </c>
      <c r="J33" s="39" t="s">
        <v>112</v>
      </c>
      <c r="K33" s="39" t="s">
        <v>112</v>
      </c>
      <c r="L33" s="40"/>
      <c r="M33" s="39" t="s">
        <v>112</v>
      </c>
      <c r="N33" s="39" t="s">
        <v>112</v>
      </c>
      <c r="O33" s="40"/>
      <c r="P33" s="40" t="s">
        <v>112</v>
      </c>
      <c r="Q33" s="40"/>
      <c r="R33" s="40" t="s">
        <v>112</v>
      </c>
      <c r="S33" s="135">
        <f>COUNTBLANK(C33:R33)</f>
        <v>3</v>
      </c>
      <c r="T33" s="135"/>
    </row>
    <row r="34" spans="2:20" ht="17.100000000000001" customHeight="1">
      <c r="B34" s="38" t="s">
        <v>35</v>
      </c>
      <c r="C34" s="39" t="s">
        <v>112</v>
      </c>
      <c r="D34" s="40"/>
      <c r="E34" s="40" t="s">
        <v>112</v>
      </c>
      <c r="F34" s="40" t="s">
        <v>112</v>
      </c>
      <c r="G34" s="40" t="s">
        <v>112</v>
      </c>
      <c r="H34" s="40" t="s">
        <v>112</v>
      </c>
      <c r="I34" s="40"/>
      <c r="J34" s="40" t="s">
        <v>112</v>
      </c>
      <c r="K34" s="40"/>
      <c r="L34" s="40" t="s">
        <v>112</v>
      </c>
      <c r="M34" s="40" t="s">
        <v>112</v>
      </c>
      <c r="N34" s="40"/>
      <c r="O34" s="40" t="s">
        <v>112</v>
      </c>
      <c r="P34" s="40"/>
      <c r="Q34" s="40" t="s">
        <v>112</v>
      </c>
      <c r="R34" s="40" t="s">
        <v>112</v>
      </c>
      <c r="S34" s="135">
        <f t="shared" ref="S34:S49" si="1">COUNTBLANK(C34:R34)</f>
        <v>5</v>
      </c>
      <c r="T34" s="135"/>
    </row>
    <row r="35" spans="2:20" ht="17.100000000000001" customHeight="1">
      <c r="B35" s="38" t="s">
        <v>36</v>
      </c>
      <c r="C35" s="39" t="s">
        <v>112</v>
      </c>
      <c r="D35" s="39" t="s">
        <v>112</v>
      </c>
      <c r="E35" s="39" t="s">
        <v>112</v>
      </c>
      <c r="F35" s="39" t="s">
        <v>112</v>
      </c>
      <c r="G35" s="39" t="s">
        <v>112</v>
      </c>
      <c r="H35" s="39" t="s">
        <v>112</v>
      </c>
      <c r="I35" s="39" t="s">
        <v>112</v>
      </c>
      <c r="J35" s="39" t="s">
        <v>112</v>
      </c>
      <c r="K35" s="39" t="s">
        <v>112</v>
      </c>
      <c r="L35" s="39" t="s">
        <v>112</v>
      </c>
      <c r="M35" s="39" t="s">
        <v>112</v>
      </c>
      <c r="N35" s="39" t="s">
        <v>112</v>
      </c>
      <c r="O35" s="39" t="s">
        <v>112</v>
      </c>
      <c r="P35" s="39" t="s">
        <v>112</v>
      </c>
      <c r="Q35" s="39" t="s">
        <v>112</v>
      </c>
      <c r="R35" s="39" t="s">
        <v>112</v>
      </c>
      <c r="S35" s="135">
        <f t="shared" si="1"/>
        <v>0</v>
      </c>
      <c r="T35" s="135"/>
    </row>
    <row r="36" spans="2:20" ht="17.100000000000001" customHeight="1">
      <c r="B36" s="38" t="s">
        <v>37</v>
      </c>
      <c r="C36" s="39" t="s">
        <v>112</v>
      </c>
      <c r="D36" s="39" t="s">
        <v>112</v>
      </c>
      <c r="E36" s="39" t="s">
        <v>112</v>
      </c>
      <c r="F36" s="39" t="s">
        <v>112</v>
      </c>
      <c r="G36" s="39" t="s">
        <v>112</v>
      </c>
      <c r="H36" s="39" t="s">
        <v>112</v>
      </c>
      <c r="I36" s="39" t="s">
        <v>112</v>
      </c>
      <c r="J36" s="39" t="s">
        <v>112</v>
      </c>
      <c r="K36" s="40"/>
      <c r="L36" s="40"/>
      <c r="M36" s="40"/>
      <c r="N36" s="40" t="s">
        <v>112</v>
      </c>
      <c r="O36" s="40" t="s">
        <v>112</v>
      </c>
      <c r="P36" s="40" t="s">
        <v>112</v>
      </c>
      <c r="Q36" s="40" t="s">
        <v>112</v>
      </c>
      <c r="R36" s="40" t="s">
        <v>112</v>
      </c>
      <c r="S36" s="135">
        <f t="shared" si="1"/>
        <v>3</v>
      </c>
      <c r="T36" s="135"/>
    </row>
    <row r="37" spans="2:20" ht="17.100000000000001" customHeight="1">
      <c r="B37" s="38" t="s">
        <v>38</v>
      </c>
      <c r="C37" s="39" t="s">
        <v>112</v>
      </c>
      <c r="D37" s="39" t="s">
        <v>112</v>
      </c>
      <c r="E37" s="39" t="s">
        <v>112</v>
      </c>
      <c r="F37" s="39" t="s">
        <v>112</v>
      </c>
      <c r="G37" s="39" t="s">
        <v>112</v>
      </c>
      <c r="H37" s="39" t="s">
        <v>112</v>
      </c>
      <c r="I37" s="39" t="s">
        <v>112</v>
      </c>
      <c r="J37" s="39" t="s">
        <v>112</v>
      </c>
      <c r="K37" s="39" t="s">
        <v>112</v>
      </c>
      <c r="L37" s="39" t="s">
        <v>112</v>
      </c>
      <c r="M37" s="39" t="s">
        <v>112</v>
      </c>
      <c r="N37" s="39" t="s">
        <v>112</v>
      </c>
      <c r="O37" s="39" t="s">
        <v>112</v>
      </c>
      <c r="P37" s="39" t="s">
        <v>112</v>
      </c>
      <c r="Q37" s="39" t="s">
        <v>112</v>
      </c>
      <c r="R37" s="39" t="s">
        <v>112</v>
      </c>
      <c r="S37" s="135">
        <f t="shared" si="1"/>
        <v>0</v>
      </c>
      <c r="T37" s="135"/>
    </row>
    <row r="38" spans="2:20" ht="17.100000000000001" customHeight="1">
      <c r="B38" s="38" t="s">
        <v>75</v>
      </c>
      <c r="C38" s="39"/>
      <c r="D38" s="40" t="s">
        <v>112</v>
      </c>
      <c r="E38" s="40"/>
      <c r="F38" s="40" t="s">
        <v>112</v>
      </c>
      <c r="G38" s="40"/>
      <c r="H38" s="40" t="s">
        <v>112</v>
      </c>
      <c r="I38" s="40"/>
      <c r="J38" s="40" t="s">
        <v>112</v>
      </c>
      <c r="K38" s="40"/>
      <c r="L38" s="40" t="s">
        <v>112</v>
      </c>
      <c r="M38" s="40"/>
      <c r="N38" s="40" t="s">
        <v>112</v>
      </c>
      <c r="O38" s="40"/>
      <c r="P38" s="40" t="s">
        <v>112</v>
      </c>
      <c r="Q38" s="40"/>
      <c r="R38" s="40" t="s">
        <v>112</v>
      </c>
      <c r="S38" s="135">
        <f t="shared" si="1"/>
        <v>8</v>
      </c>
      <c r="T38" s="135"/>
    </row>
    <row r="39" spans="2:20" ht="17.100000000000001" customHeight="1">
      <c r="B39" s="38" t="s">
        <v>76</v>
      </c>
      <c r="C39" s="39" t="s">
        <v>112</v>
      </c>
      <c r="D39" s="40"/>
      <c r="E39" s="40" t="s">
        <v>112</v>
      </c>
      <c r="F39" s="40"/>
      <c r="G39" s="40" t="s">
        <v>112</v>
      </c>
      <c r="H39" s="40"/>
      <c r="I39" s="40" t="s">
        <v>112</v>
      </c>
      <c r="J39" s="40"/>
      <c r="K39" s="40" t="s">
        <v>112</v>
      </c>
      <c r="L39" s="40"/>
      <c r="M39" s="40" t="s">
        <v>112</v>
      </c>
      <c r="N39" s="40"/>
      <c r="O39" s="40" t="s">
        <v>112</v>
      </c>
      <c r="P39" s="40"/>
      <c r="Q39" s="40" t="s">
        <v>112</v>
      </c>
      <c r="R39" s="40" t="s">
        <v>112</v>
      </c>
      <c r="S39" s="135">
        <f t="shared" si="1"/>
        <v>7</v>
      </c>
      <c r="T39" s="135"/>
    </row>
    <row r="40" spans="2:20" ht="17.100000000000001" customHeight="1">
      <c r="B40" s="38" t="s">
        <v>77</v>
      </c>
      <c r="C40" s="39" t="s">
        <v>112</v>
      </c>
      <c r="D40" s="39" t="s">
        <v>112</v>
      </c>
      <c r="E40" s="39" t="s">
        <v>112</v>
      </c>
      <c r="F40" s="39" t="s">
        <v>112</v>
      </c>
      <c r="G40" s="39" t="s">
        <v>112</v>
      </c>
      <c r="H40" s="39" t="s">
        <v>112</v>
      </c>
      <c r="I40" s="39" t="s">
        <v>112</v>
      </c>
      <c r="J40" s="39" t="s">
        <v>112</v>
      </c>
      <c r="K40" s="40"/>
      <c r="L40" s="40"/>
      <c r="M40" s="40"/>
      <c r="N40" s="40"/>
      <c r="O40" s="40"/>
      <c r="P40" s="40"/>
      <c r="Q40" s="40" t="s">
        <v>112</v>
      </c>
      <c r="R40" s="40"/>
      <c r="S40" s="135">
        <f t="shared" si="1"/>
        <v>7</v>
      </c>
      <c r="T40" s="135"/>
    </row>
    <row r="41" spans="2:20" ht="17.100000000000001" customHeight="1">
      <c r="B41" s="38" t="s">
        <v>78</v>
      </c>
      <c r="C41" s="39" t="s">
        <v>112</v>
      </c>
      <c r="D41" s="39" t="s">
        <v>112</v>
      </c>
      <c r="E41" s="39" t="s">
        <v>112</v>
      </c>
      <c r="F41" s="39" t="s">
        <v>112</v>
      </c>
      <c r="G41" s="39" t="s">
        <v>112</v>
      </c>
      <c r="H41" s="39" t="s">
        <v>112</v>
      </c>
      <c r="I41" s="39" t="s">
        <v>112</v>
      </c>
      <c r="J41" s="39" t="s">
        <v>112</v>
      </c>
      <c r="K41" s="39" t="s">
        <v>112</v>
      </c>
      <c r="L41" s="39" t="s">
        <v>112</v>
      </c>
      <c r="M41" s="39" t="s">
        <v>112</v>
      </c>
      <c r="N41" s="39" t="s">
        <v>112</v>
      </c>
      <c r="O41" s="39" t="s">
        <v>112</v>
      </c>
      <c r="P41" s="39" t="s">
        <v>112</v>
      </c>
      <c r="Q41" s="39" t="s">
        <v>112</v>
      </c>
      <c r="R41" s="39" t="s">
        <v>112</v>
      </c>
      <c r="S41" s="135">
        <f t="shared" si="1"/>
        <v>0</v>
      </c>
      <c r="T41" s="135"/>
    </row>
    <row r="42" spans="2:20" ht="17.100000000000001" customHeight="1">
      <c r="B42" s="38" t="s">
        <v>79</v>
      </c>
      <c r="C42" s="39" t="s">
        <v>112</v>
      </c>
      <c r="D42" s="40"/>
      <c r="E42" s="40" t="s">
        <v>112</v>
      </c>
      <c r="F42" s="40" t="s">
        <v>112</v>
      </c>
      <c r="G42" s="40" t="s">
        <v>112</v>
      </c>
      <c r="H42" s="40" t="s">
        <v>112</v>
      </c>
      <c r="I42" s="40" t="s">
        <v>112</v>
      </c>
      <c r="J42" s="40" t="s">
        <v>112</v>
      </c>
      <c r="K42" s="40" t="s">
        <v>112</v>
      </c>
      <c r="L42" s="40" t="s">
        <v>112</v>
      </c>
      <c r="M42" s="40" t="s">
        <v>112</v>
      </c>
      <c r="N42" s="40" t="s">
        <v>112</v>
      </c>
      <c r="O42" s="40" t="s">
        <v>112</v>
      </c>
      <c r="P42" s="40" t="s">
        <v>112</v>
      </c>
      <c r="Q42" s="40" t="s">
        <v>112</v>
      </c>
      <c r="R42" s="40" t="s">
        <v>112</v>
      </c>
      <c r="S42" s="135">
        <f t="shared" si="1"/>
        <v>1</v>
      </c>
      <c r="T42" s="135"/>
    </row>
    <row r="43" spans="2:20" ht="17.100000000000001" customHeight="1">
      <c r="B43" s="38" t="s">
        <v>80</v>
      </c>
      <c r="C43" s="39" t="s">
        <v>112</v>
      </c>
      <c r="D43" s="39" t="s">
        <v>112</v>
      </c>
      <c r="E43" s="39" t="s">
        <v>112</v>
      </c>
      <c r="F43" s="39" t="s">
        <v>112</v>
      </c>
      <c r="G43" s="39" t="s">
        <v>112</v>
      </c>
      <c r="H43" s="39" t="s">
        <v>112</v>
      </c>
      <c r="I43" s="39" t="s">
        <v>112</v>
      </c>
      <c r="J43" s="39" t="s">
        <v>112</v>
      </c>
      <c r="K43" s="39" t="s">
        <v>112</v>
      </c>
      <c r="L43" s="39" t="s">
        <v>112</v>
      </c>
      <c r="M43" s="39" t="s">
        <v>112</v>
      </c>
      <c r="N43" s="39" t="s">
        <v>112</v>
      </c>
      <c r="O43" s="39" t="s">
        <v>112</v>
      </c>
      <c r="P43" s="39" t="s">
        <v>112</v>
      </c>
      <c r="Q43" s="40"/>
      <c r="R43" s="40"/>
      <c r="S43" s="135">
        <f t="shared" si="1"/>
        <v>2</v>
      </c>
      <c r="T43" s="135"/>
    </row>
    <row r="44" spans="2:20" ht="17.100000000000001" customHeight="1">
      <c r="B44" s="38" t="s">
        <v>81</v>
      </c>
      <c r="C44" s="39" t="s">
        <v>112</v>
      </c>
      <c r="D44" s="39" t="s">
        <v>112</v>
      </c>
      <c r="E44" s="39" t="s">
        <v>112</v>
      </c>
      <c r="F44" s="39" t="s">
        <v>112</v>
      </c>
      <c r="G44" s="39" t="s">
        <v>112</v>
      </c>
      <c r="H44" s="39" t="s">
        <v>112</v>
      </c>
      <c r="I44" s="39" t="s">
        <v>112</v>
      </c>
      <c r="J44" s="39" t="s">
        <v>112</v>
      </c>
      <c r="K44" s="39" t="s">
        <v>112</v>
      </c>
      <c r="L44" s="39" t="s">
        <v>112</v>
      </c>
      <c r="M44" s="39" t="s">
        <v>112</v>
      </c>
      <c r="N44" s="39" t="s">
        <v>112</v>
      </c>
      <c r="O44" s="39" t="s">
        <v>112</v>
      </c>
      <c r="P44" s="39" t="s">
        <v>112</v>
      </c>
      <c r="Q44" s="39" t="s">
        <v>112</v>
      </c>
      <c r="R44" s="39" t="s">
        <v>112</v>
      </c>
      <c r="S44" s="135">
        <f t="shared" si="1"/>
        <v>0</v>
      </c>
      <c r="T44" s="135"/>
    </row>
    <row r="45" spans="2:20" ht="17.100000000000001" customHeight="1">
      <c r="B45" s="38" t="s">
        <v>82</v>
      </c>
      <c r="C45" s="39" t="s">
        <v>112</v>
      </c>
      <c r="D45" s="40"/>
      <c r="E45" s="40" t="s">
        <v>112</v>
      </c>
      <c r="F45" s="40" t="s">
        <v>112</v>
      </c>
      <c r="G45" s="40" t="s">
        <v>112</v>
      </c>
      <c r="H45" s="40" t="s">
        <v>112</v>
      </c>
      <c r="I45" s="40" t="s">
        <v>112</v>
      </c>
      <c r="J45" s="40" t="s">
        <v>112</v>
      </c>
      <c r="K45" s="40" t="s">
        <v>112</v>
      </c>
      <c r="L45" s="40" t="s">
        <v>112</v>
      </c>
      <c r="M45" s="40" t="s">
        <v>112</v>
      </c>
      <c r="N45" s="40" t="s">
        <v>112</v>
      </c>
      <c r="O45" s="40"/>
      <c r="P45" s="40" t="s">
        <v>112</v>
      </c>
      <c r="Q45" s="40" t="s">
        <v>112</v>
      </c>
      <c r="R45" s="40" t="s">
        <v>112</v>
      </c>
      <c r="S45" s="135">
        <f t="shared" si="1"/>
        <v>2</v>
      </c>
      <c r="T45" s="135"/>
    </row>
    <row r="46" spans="2:20" ht="17.100000000000001" customHeight="1">
      <c r="B46" s="38" t="s">
        <v>83</v>
      </c>
      <c r="C46" s="39" t="s">
        <v>112</v>
      </c>
      <c r="D46" s="39" t="s">
        <v>112</v>
      </c>
      <c r="E46" s="39" t="s">
        <v>112</v>
      </c>
      <c r="F46" s="39" t="s">
        <v>112</v>
      </c>
      <c r="G46" s="39" t="s">
        <v>112</v>
      </c>
      <c r="H46" s="39" t="s">
        <v>112</v>
      </c>
      <c r="I46" s="39" t="s">
        <v>112</v>
      </c>
      <c r="J46" s="39" t="s">
        <v>112</v>
      </c>
      <c r="K46" s="39" t="s">
        <v>112</v>
      </c>
      <c r="L46" s="39" t="s">
        <v>112</v>
      </c>
      <c r="M46" s="39" t="s">
        <v>112</v>
      </c>
      <c r="N46" s="39" t="s">
        <v>112</v>
      </c>
      <c r="O46" s="39" t="s">
        <v>112</v>
      </c>
      <c r="P46" s="39" t="s">
        <v>112</v>
      </c>
      <c r="Q46" s="39" t="s">
        <v>112</v>
      </c>
      <c r="R46" s="39" t="s">
        <v>112</v>
      </c>
      <c r="S46" s="135">
        <f t="shared" si="1"/>
        <v>0</v>
      </c>
      <c r="T46" s="135"/>
    </row>
    <row r="47" spans="2:20" ht="17.100000000000001" customHeight="1">
      <c r="B47" s="38" t="s">
        <v>84</v>
      </c>
      <c r="C47" s="39" t="s">
        <v>112</v>
      </c>
      <c r="D47" s="39" t="s">
        <v>112</v>
      </c>
      <c r="E47" s="39" t="s">
        <v>112</v>
      </c>
      <c r="F47" s="39" t="s">
        <v>112</v>
      </c>
      <c r="G47" s="39" t="s">
        <v>112</v>
      </c>
      <c r="H47" s="39" t="s">
        <v>112</v>
      </c>
      <c r="I47" s="39" t="s">
        <v>112</v>
      </c>
      <c r="J47" s="39" t="s">
        <v>112</v>
      </c>
      <c r="K47" s="39" t="s">
        <v>112</v>
      </c>
      <c r="L47" s="39" t="s">
        <v>112</v>
      </c>
      <c r="M47" s="39" t="s">
        <v>112</v>
      </c>
      <c r="N47" s="39" t="s">
        <v>112</v>
      </c>
      <c r="O47" s="39" t="s">
        <v>112</v>
      </c>
      <c r="P47" s="39" t="s">
        <v>112</v>
      </c>
      <c r="Q47" s="39" t="s">
        <v>112</v>
      </c>
      <c r="R47" s="39" t="s">
        <v>112</v>
      </c>
      <c r="S47" s="135">
        <f t="shared" si="1"/>
        <v>0</v>
      </c>
      <c r="T47" s="135"/>
    </row>
    <row r="48" spans="2:20" ht="17.100000000000001" customHeight="1">
      <c r="B48" s="38" t="s">
        <v>95</v>
      </c>
      <c r="C48" s="39" t="s">
        <v>112</v>
      </c>
      <c r="D48" s="39" t="s">
        <v>112</v>
      </c>
      <c r="E48" s="39"/>
      <c r="F48" s="39"/>
      <c r="G48" s="39" t="s">
        <v>112</v>
      </c>
      <c r="H48" s="39" t="s">
        <v>112</v>
      </c>
      <c r="I48" s="39"/>
      <c r="J48" s="39" t="s">
        <v>112</v>
      </c>
      <c r="K48" s="39" t="s">
        <v>112</v>
      </c>
      <c r="L48" s="39" t="s">
        <v>112</v>
      </c>
      <c r="M48" s="39" t="s">
        <v>112</v>
      </c>
      <c r="N48" s="39" t="s">
        <v>112</v>
      </c>
      <c r="O48" s="39" t="s">
        <v>112</v>
      </c>
      <c r="P48" s="39" t="s">
        <v>112</v>
      </c>
      <c r="Q48" s="39" t="s">
        <v>112</v>
      </c>
      <c r="R48" s="39" t="s">
        <v>112</v>
      </c>
      <c r="S48" s="135">
        <f t="shared" si="1"/>
        <v>3</v>
      </c>
      <c r="T48" s="135"/>
    </row>
    <row r="49" spans="2:20" ht="17.100000000000001" customHeight="1">
      <c r="B49" s="38" t="s">
        <v>85</v>
      </c>
      <c r="C49" s="39" t="s">
        <v>112</v>
      </c>
      <c r="D49" s="39" t="s">
        <v>112</v>
      </c>
      <c r="E49" s="39" t="s">
        <v>112</v>
      </c>
      <c r="F49" s="39" t="s">
        <v>112</v>
      </c>
      <c r="G49" s="39" t="s">
        <v>112</v>
      </c>
      <c r="H49" s="39" t="s">
        <v>112</v>
      </c>
      <c r="I49" s="39" t="s">
        <v>112</v>
      </c>
      <c r="J49" s="39" t="s">
        <v>112</v>
      </c>
      <c r="K49" s="39" t="s">
        <v>112</v>
      </c>
      <c r="L49" s="39" t="s">
        <v>112</v>
      </c>
      <c r="M49" s="39" t="s">
        <v>112</v>
      </c>
      <c r="N49" s="39" t="s">
        <v>112</v>
      </c>
      <c r="O49" s="39" t="s">
        <v>112</v>
      </c>
      <c r="P49" s="39" t="s">
        <v>112</v>
      </c>
      <c r="Q49" s="39" t="s">
        <v>112</v>
      </c>
      <c r="R49" s="39" t="s">
        <v>112</v>
      </c>
      <c r="S49" s="135">
        <f t="shared" si="1"/>
        <v>0</v>
      </c>
      <c r="T49" s="135"/>
    </row>
  </sheetData>
  <mergeCells count="20">
    <mergeCell ref="S48:T48"/>
    <mergeCell ref="S49:T49"/>
    <mergeCell ref="S38:T38"/>
    <mergeCell ref="S39:T39"/>
    <mergeCell ref="S40:T40"/>
    <mergeCell ref="S41:T41"/>
    <mergeCell ref="S42:T42"/>
    <mergeCell ref="S43:T43"/>
    <mergeCell ref="A28:L28"/>
    <mergeCell ref="S44:T44"/>
    <mergeCell ref="S45:T45"/>
    <mergeCell ref="S46:T46"/>
    <mergeCell ref="S47:T47"/>
    <mergeCell ref="S32:T32"/>
    <mergeCell ref="S33:T33"/>
    <mergeCell ref="S34:T34"/>
    <mergeCell ref="S35:T35"/>
    <mergeCell ref="S36:T36"/>
    <mergeCell ref="S37:T37"/>
    <mergeCell ref="B31:T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Principais Fórmulas</vt:lpstr>
      <vt:lpstr>Exemplo 1</vt:lpstr>
      <vt:lpstr>Exemplo 2</vt:lpstr>
      <vt:lpstr>Exemplo 3 e 4</vt:lpstr>
      <vt:lpstr>Exemplo 5</vt:lpstr>
      <vt:lpstr>Exemplo 6</vt:lpstr>
      <vt:lpstr>Exemplo 7</vt:lpstr>
      <vt:lpstr>Exemplo 8</vt:lpstr>
      <vt:lpstr>Exemplo 9</vt:lpstr>
      <vt:lpstr>Exemplo 10</vt:lpstr>
      <vt:lpstr>Exemplo 11</vt:lpstr>
      <vt:lpstr>Exemplo 12</vt:lpstr>
      <vt:lpstr>Exemplo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Alvares</dc:creator>
  <cp:keywords>Descomplicando o Excel</cp:keywords>
  <cp:lastModifiedBy>DELL</cp:lastModifiedBy>
  <dcterms:created xsi:type="dcterms:W3CDTF">2015-04-28T20:31:19Z</dcterms:created>
  <dcterms:modified xsi:type="dcterms:W3CDTF">2023-03-11T15:15:57Z</dcterms:modified>
</cp:coreProperties>
</file>