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2450486842eeb7b/Documentos/8.Projet Portolan/Projet_2.0/fly-buck/LM5160_changed/"/>
    </mc:Choice>
  </mc:AlternateContent>
  <xr:revisionPtr revIDLastSave="165" documentId="8_{687186E4-59B2-4E65-BDC4-E3E3DD9FDF52}" xr6:coauthVersionLast="47" xr6:coauthVersionMax="47" xr10:uidLastSave="{59C14A71-D6AF-43A4-8EDB-0C5B0AFB674F}"/>
  <bookViews>
    <workbookView xWindow="-120" yWindow="-120" windowWidth="29040" windowHeight="15720" xr2:uid="{A029ECFE-8ABF-40B4-B668-E01CB9E31AB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X8" i="1"/>
  <c r="O15" i="1"/>
  <c r="N15" i="1"/>
  <c r="M15" i="1"/>
  <c r="P8" i="1"/>
  <c r="I8" i="1"/>
  <c r="C10" i="1"/>
  <c r="H8" i="1" s="1"/>
  <c r="M3" i="1"/>
  <c r="O3" i="1" s="1"/>
  <c r="I15" i="1"/>
  <c r="J15" i="1"/>
  <c r="K15" i="1" s="1"/>
  <c r="H15" i="1"/>
  <c r="S8" i="1"/>
  <c r="R8" i="1"/>
  <c r="I3" i="1"/>
  <c r="M8" i="1"/>
  <c r="V3" i="1"/>
  <c r="T3" i="1"/>
  <c r="U3" i="1"/>
  <c r="S3" i="1"/>
  <c r="P3" i="1"/>
  <c r="F4" i="1"/>
  <c r="F3" i="1"/>
  <c r="H3" i="1" s="1"/>
  <c r="F2" i="1"/>
  <c r="F1" i="1"/>
  <c r="J8" i="1" l="1"/>
  <c r="K8" i="1" s="1"/>
  <c r="J10" i="1"/>
  <c r="W8" i="1"/>
  <c r="Q3" i="1"/>
  <c r="W3" i="1"/>
  <c r="K3" i="1"/>
  <c r="N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 Galvão</author>
  </authors>
  <commentList>
    <comment ref="H8" authorId="0" shapeId="0" xr:uid="{9624D529-2601-4D74-94D5-DA0B632AB391}">
      <text>
        <r>
          <rPr>
            <b/>
            <sz val="9"/>
            <color indexed="81"/>
            <rFont val="Segoe UI"/>
            <family val="2"/>
          </rPr>
          <t>Esoclher maior que o resultado</t>
        </r>
      </text>
    </comment>
    <comment ref="K8" authorId="0" shapeId="0" xr:uid="{AACE62A5-E54B-4805-BC49-3FF7FB574DB6}">
      <text>
        <r>
          <rPr>
            <b/>
            <sz val="9"/>
            <color indexed="81"/>
            <rFont val="Segoe UI"/>
            <family val="2"/>
          </rPr>
          <t>Deve ser menor que 2.875</t>
        </r>
      </text>
    </comment>
    <comment ref="N8" authorId="0" shapeId="0" xr:uid="{D87D8C04-664F-4CF0-A5DF-3DDF83670D25}">
      <text>
        <r>
          <rPr>
            <b/>
            <sz val="9"/>
            <color indexed="81"/>
            <rFont val="Segoe UI"/>
            <family val="2"/>
          </rPr>
          <t>An X7R type capacitor with a voltage rating 16 V or higher must be used for COUT to limit the reduction of capacitance due to DC bias voltage</t>
        </r>
      </text>
    </comment>
    <comment ref="P8" authorId="0" shapeId="0" xr:uid="{2D8908DD-D255-4CDF-B5B0-C766FF8EE6E4}">
      <text>
        <r>
          <rPr>
            <b/>
            <sz val="9"/>
            <color indexed="81"/>
            <rFont val="Segoe UI"/>
            <family val="2"/>
          </rPr>
          <t>Deve ser maior que o calculado</t>
        </r>
      </text>
    </comment>
    <comment ref="R8" authorId="0" shapeId="0" xr:uid="{584D64EA-2961-40B3-BCD2-7CE3C1AB495B}">
      <text>
        <r>
          <rPr>
            <b/>
            <sz val="9"/>
            <color indexed="81"/>
            <rFont val="Segoe UI"/>
            <family val="2"/>
          </rPr>
          <t>Both must be high-quality X7R ceramic capacitors.</t>
        </r>
      </text>
    </comment>
    <comment ref="W8" authorId="0" shapeId="0" xr:uid="{99FC4851-063E-4077-9744-64AC7A468F25}">
      <text>
        <r>
          <rPr>
            <b/>
            <sz val="9"/>
            <color indexed="81"/>
            <rFont val="Segoe UI"/>
            <family val="2"/>
          </rPr>
          <t>The input capacitors must be rated for the maximum input voltage under
all operating and transient conditions</t>
        </r>
      </text>
    </comment>
    <comment ref="X8" authorId="0" shapeId="0" xr:uid="{A7BC4276-0C4D-4CAD-B134-A4276C464E41}">
      <text>
        <r>
          <rPr>
            <b/>
            <sz val="9"/>
            <color indexed="81"/>
            <rFont val="Segoe UI"/>
            <family val="2"/>
          </rPr>
          <t>A third input capacitor C2 may be needed in this design as a bypass path for the high-frequency components of
input switching current.
must be placed directly across VIN
and PGND (pins 3 and 2) near the IC. 
The CIN values and location are critical to reducing switching noise and
transients.</t>
        </r>
      </text>
    </comment>
    <comment ref="I15" authorId="0" shapeId="0" xr:uid="{F6C5CD62-668A-42D8-90F7-072A78D5F738}">
      <text>
        <r>
          <rPr>
            <b/>
            <sz val="9"/>
            <color indexed="81"/>
            <rFont val="Segoe UI"/>
            <family val="2"/>
          </rPr>
          <t>Select 1% standard values</t>
        </r>
      </text>
    </comment>
    <comment ref="K15" authorId="0" shapeId="0" xr:uid="{DBB122C5-2F72-4403-B8B8-B442987FB8BC}">
      <text>
        <r>
          <rPr>
            <b/>
            <sz val="9"/>
            <color indexed="81"/>
            <rFont val="Segoe UI"/>
            <family val="2"/>
          </rPr>
          <t>Select 1% standard values</t>
        </r>
      </text>
    </comment>
  </commentList>
</comments>
</file>

<file path=xl/sharedStrings.xml><?xml version="1.0" encoding="utf-8"?>
<sst xmlns="http://schemas.openxmlformats.org/spreadsheetml/2006/main" count="63" uniqueCount="63">
  <si>
    <t xml:space="preserve">DESIGN PARAMETER </t>
  </si>
  <si>
    <t>EXAMPLE VALUE</t>
  </si>
  <si>
    <t>Nominal switching frequency (HZ)</t>
  </si>
  <si>
    <t>Isolated output (V)</t>
  </si>
  <si>
    <t>Input voltage min (V)</t>
  </si>
  <si>
    <t>Peak Efficiency (%)</t>
  </si>
  <si>
    <t>u</t>
  </si>
  <si>
    <t>n</t>
  </si>
  <si>
    <t>p</t>
  </si>
  <si>
    <t>m</t>
  </si>
  <si>
    <t>Cs</t>
  </si>
  <si>
    <t>Iss</t>
  </si>
  <si>
    <t>Vss</t>
  </si>
  <si>
    <t>Ts</t>
  </si>
  <si>
    <t>Soft-Start Capacitor - CSS</t>
  </si>
  <si>
    <t>Vout</t>
  </si>
  <si>
    <t>Vref</t>
  </si>
  <si>
    <t>Rfb1</t>
  </si>
  <si>
    <t>Rfb2</t>
  </si>
  <si>
    <t>Rfb2/Rfb1</t>
  </si>
  <si>
    <t>k</t>
  </si>
  <si>
    <t>Feedback Resistor Divider - RFB1, RFB2</t>
  </si>
  <si>
    <t>Fsw,max</t>
  </si>
  <si>
    <t>Fsw,min</t>
  </si>
  <si>
    <t>Non-isolated output (V)</t>
  </si>
  <si>
    <t>Toff</t>
  </si>
  <si>
    <t>Ton</t>
  </si>
  <si>
    <t>Input voltage max (V)</t>
  </si>
  <si>
    <t>Ron</t>
  </si>
  <si>
    <t>Switching Frequency - RON</t>
  </si>
  <si>
    <t>Lmin</t>
  </si>
  <si>
    <t>L</t>
  </si>
  <si>
    <t>Ilpeak</t>
  </si>
  <si>
    <t xml:space="preserve">Non-isolated load current (A) </t>
  </si>
  <si>
    <t>Inductor - L</t>
  </si>
  <si>
    <t>Cout</t>
  </si>
  <si>
    <t>Output Capacitor</t>
  </si>
  <si>
    <t>delIL,max</t>
  </si>
  <si>
    <t>delIL,min</t>
  </si>
  <si>
    <t>Resr</t>
  </si>
  <si>
    <t>Ser Ripp Res</t>
  </si>
  <si>
    <t>Cvcc</t>
  </si>
  <si>
    <t>Cbst</t>
  </si>
  <si>
    <t>Cvcc e Cbst cap</t>
  </si>
  <si>
    <t>Duty</t>
  </si>
  <si>
    <t>Ripple Vo</t>
  </si>
  <si>
    <t>Ripple Vin</t>
  </si>
  <si>
    <t>Cin</t>
  </si>
  <si>
    <t>Input Capacitor - CIN</t>
  </si>
  <si>
    <t>C,hf</t>
  </si>
  <si>
    <t>Iuvlo</t>
  </si>
  <si>
    <t>Ruv2</t>
  </si>
  <si>
    <t>Ruv2/Ruv1</t>
  </si>
  <si>
    <t>Ruv1</t>
  </si>
  <si>
    <t>EN/UVLO Resistors - RUV1, RUV2</t>
  </si>
  <si>
    <t xml:space="preserve">Isolated load current (A) </t>
  </si>
  <si>
    <t>RaCa</t>
  </si>
  <si>
    <t>Ra</t>
  </si>
  <si>
    <t>Ca</t>
  </si>
  <si>
    <t>Type 3 Ripple Config</t>
  </si>
  <si>
    <t>Cout2</t>
  </si>
  <si>
    <t>delVout2</t>
  </si>
  <si>
    <t>Isolated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</si>
</sst>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8" fontId="0" fillId="0" borderId="0" xfId="0" applyNumberFormat="1"/>
    <xf numFmtId="0" fontId="0" fillId="2" borderId="1" xfId="0" applyFill="1" applyBorder="1" applyAlignment="1">
      <alignment horizontal="center" vertical="center"/>
    </xf>
    <xf numFmtId="48" fontId="0" fillId="0" borderId="1" xfId="0" applyNumberFormat="1" applyBorder="1" applyAlignment="1">
      <alignment horizontal="center" vertical="center"/>
    </xf>
    <xf numFmtId="48" fontId="0" fillId="2" borderId="1" xfId="0" applyNumberFormat="1" applyFill="1" applyBorder="1" applyAlignment="1">
      <alignment horizontal="center" vertical="center"/>
    </xf>
    <xf numFmtId="48" fontId="0" fillId="0" borderId="1" xfId="0" applyNumberFormat="1" applyBorder="1"/>
    <xf numFmtId="48" fontId="0" fillId="0" borderId="0" xfId="0" applyNumberFormat="1" applyAlignment="1">
      <alignment horizontal="center" vertical="center"/>
    </xf>
    <xf numFmtId="48" fontId="0" fillId="0" borderId="0" xfId="0" applyNumberFormat="1" applyAlignment="1">
      <alignment horizontal="center"/>
    </xf>
    <xf numFmtId="48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C4C9C-79AE-4440-8DF0-BD7C101CA575}">
  <dimension ref="A1:Y57"/>
  <sheetViews>
    <sheetView tabSelected="1" topLeftCell="B1" workbookViewId="0">
      <selection activeCell="E20" sqref="E20"/>
    </sheetView>
  </sheetViews>
  <sheetFormatPr defaultRowHeight="15" x14ac:dyDescent="0.25"/>
  <cols>
    <col min="2" max="2" width="31.5703125" customWidth="1"/>
    <col min="3" max="3" width="22.7109375" customWidth="1"/>
    <col min="6" max="6" width="8.5703125" customWidth="1"/>
    <col min="10" max="10" width="10.5703125" customWidth="1"/>
    <col min="15" max="16" width="10.85546875" customWidth="1"/>
    <col min="22" max="22" width="9.7109375" customWidth="1"/>
  </cols>
  <sheetData>
    <row r="1" spans="1:25" x14ac:dyDescent="0.25">
      <c r="A1" s="1"/>
      <c r="B1" s="1"/>
      <c r="C1" s="1"/>
      <c r="D1" s="1"/>
      <c r="E1" s="1" t="s">
        <v>9</v>
      </c>
      <c r="F1" s="1">
        <f>1/10^3</f>
        <v>1E-3</v>
      </c>
      <c r="G1" s="1"/>
      <c r="H1" s="8" t="s">
        <v>14</v>
      </c>
      <c r="I1" s="8"/>
      <c r="J1" s="8"/>
      <c r="K1" s="8"/>
      <c r="L1" s="1"/>
      <c r="M1" s="7" t="s">
        <v>21</v>
      </c>
      <c r="N1" s="7"/>
      <c r="O1" s="7"/>
      <c r="P1" s="7"/>
      <c r="Q1" s="7"/>
      <c r="R1" s="1"/>
      <c r="S1" s="7" t="s">
        <v>29</v>
      </c>
      <c r="T1" s="7"/>
      <c r="U1" s="7"/>
      <c r="V1" s="7"/>
      <c r="W1" s="7"/>
      <c r="X1" s="1"/>
      <c r="Y1" s="1"/>
    </row>
    <row r="2" spans="1:25" x14ac:dyDescent="0.25">
      <c r="A2" s="1"/>
      <c r="B2" s="1"/>
      <c r="C2" s="1"/>
      <c r="D2" s="1"/>
      <c r="E2" s="1" t="s">
        <v>6</v>
      </c>
      <c r="F2" s="1">
        <f>10^-6</f>
        <v>9.9999999999999995E-7</v>
      </c>
      <c r="G2" s="1"/>
      <c r="H2" s="3" t="s">
        <v>10</v>
      </c>
      <c r="I2" s="3" t="s">
        <v>11</v>
      </c>
      <c r="J2" s="3" t="s">
        <v>12</v>
      </c>
      <c r="K2" s="3" t="s">
        <v>13</v>
      </c>
      <c r="L2" s="1"/>
      <c r="M2" s="3" t="s">
        <v>15</v>
      </c>
      <c r="N2" s="3" t="s">
        <v>16</v>
      </c>
      <c r="O2" s="3" t="s">
        <v>19</v>
      </c>
      <c r="P2" s="3" t="s">
        <v>17</v>
      </c>
      <c r="Q2" s="3" t="s">
        <v>18</v>
      </c>
      <c r="R2" s="1"/>
      <c r="S2" s="3" t="s">
        <v>25</v>
      </c>
      <c r="T2" s="3" t="s">
        <v>26</v>
      </c>
      <c r="U2" s="3" t="s">
        <v>22</v>
      </c>
      <c r="V2" s="3" t="s">
        <v>23</v>
      </c>
      <c r="W2" s="3" t="s">
        <v>28</v>
      </c>
      <c r="X2" s="1"/>
      <c r="Y2" s="1"/>
    </row>
    <row r="3" spans="1:25" x14ac:dyDescent="0.25">
      <c r="A3" s="1"/>
      <c r="B3" s="3" t="s">
        <v>0</v>
      </c>
      <c r="C3" s="3" t="s">
        <v>1</v>
      </c>
      <c r="D3" s="1"/>
      <c r="E3" s="1" t="s">
        <v>7</v>
      </c>
      <c r="F3" s="1">
        <f>10^-9</f>
        <v>1.0000000000000001E-9</v>
      </c>
      <c r="G3" s="1"/>
      <c r="H3" s="4">
        <f>27*F3</f>
        <v>2.7E-8</v>
      </c>
      <c r="I3" s="3">
        <f>10*F2</f>
        <v>9.9999999999999991E-6</v>
      </c>
      <c r="J3" s="3">
        <v>2</v>
      </c>
      <c r="K3" s="3">
        <f>H3*J3/I3</f>
        <v>5.4000000000000003E-3</v>
      </c>
      <c r="L3" s="1"/>
      <c r="M3" s="3">
        <f>C6</f>
        <v>6</v>
      </c>
      <c r="N3" s="3">
        <v>2</v>
      </c>
      <c r="O3" s="3">
        <f>(M3/N3)-1</f>
        <v>2</v>
      </c>
      <c r="P3" s="4">
        <f>2*F8</f>
        <v>2000</v>
      </c>
      <c r="Q3" s="3">
        <f>P3*O3</f>
        <v>4000</v>
      </c>
      <c r="R3" s="1"/>
      <c r="S3" s="5">
        <f>170*F3</f>
        <v>1.7000000000000001E-7</v>
      </c>
      <c r="T3" s="5">
        <f>150*F3</f>
        <v>1.5000000000000002E-7</v>
      </c>
      <c r="U3" s="5">
        <f>(C4-C6)/(C4*S3)</f>
        <v>1730103.8062283734</v>
      </c>
      <c r="V3" s="5">
        <f>C6/(C5*T3)</f>
        <v>714285.7142857142</v>
      </c>
      <c r="W3" s="5">
        <f>C6/(C10*0.0000000001)</f>
        <v>162162.16216216216</v>
      </c>
      <c r="X3" s="1"/>
      <c r="Y3" s="1"/>
    </row>
    <row r="4" spans="1:25" x14ac:dyDescent="0.25">
      <c r="A4" s="1"/>
      <c r="B4" s="3" t="s">
        <v>4</v>
      </c>
      <c r="C4" s="2">
        <v>8.5</v>
      </c>
      <c r="D4" s="1"/>
      <c r="E4" s="1" t="s">
        <v>8</v>
      </c>
      <c r="F4" s="1">
        <f>10^-12</f>
        <v>9.9999999999999998E-13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3" t="s">
        <v>27</v>
      </c>
      <c r="C5" s="2">
        <v>56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/>
      <c r="B6" s="3" t="s">
        <v>24</v>
      </c>
      <c r="C6" s="2">
        <v>6</v>
      </c>
      <c r="D6" s="1"/>
      <c r="E6" s="1"/>
      <c r="F6" s="1"/>
      <c r="G6" s="1"/>
      <c r="H6" s="7" t="s">
        <v>34</v>
      </c>
      <c r="I6" s="7"/>
      <c r="J6" s="7"/>
      <c r="K6" s="7"/>
      <c r="L6" s="1"/>
      <c r="M6" s="7" t="s">
        <v>36</v>
      </c>
      <c r="N6" s="7"/>
      <c r="O6" s="1"/>
      <c r="P6" s="6" t="s">
        <v>40</v>
      </c>
      <c r="Q6" s="1"/>
      <c r="R6" s="7" t="s">
        <v>43</v>
      </c>
      <c r="S6" s="7"/>
      <c r="T6" s="1"/>
      <c r="U6" s="7" t="s">
        <v>48</v>
      </c>
      <c r="V6" s="7"/>
      <c r="W6" s="7"/>
      <c r="X6" s="7"/>
      <c r="Y6" s="1"/>
    </row>
    <row r="7" spans="1:25" x14ac:dyDescent="0.25">
      <c r="A7" s="1"/>
      <c r="B7" s="3" t="s">
        <v>33</v>
      </c>
      <c r="C7" s="4">
        <v>0.4</v>
      </c>
      <c r="D7" s="1"/>
      <c r="E7" s="1"/>
      <c r="F7" s="1"/>
      <c r="G7" s="1"/>
      <c r="H7" s="3" t="s">
        <v>30</v>
      </c>
      <c r="I7" s="3" t="s">
        <v>31</v>
      </c>
      <c r="J7" s="3" t="s">
        <v>37</v>
      </c>
      <c r="K7" s="3" t="s">
        <v>32</v>
      </c>
      <c r="L7" s="1"/>
      <c r="M7" s="3" t="s">
        <v>45</v>
      </c>
      <c r="N7" s="3" t="s">
        <v>35</v>
      </c>
      <c r="O7" s="1"/>
      <c r="P7" s="3" t="s">
        <v>39</v>
      </c>
      <c r="Q7" s="1"/>
      <c r="R7" s="3" t="s">
        <v>41</v>
      </c>
      <c r="S7" s="3" t="s">
        <v>42</v>
      </c>
      <c r="T7" s="1"/>
      <c r="U7" s="3" t="s">
        <v>44</v>
      </c>
      <c r="V7" s="3" t="s">
        <v>46</v>
      </c>
      <c r="W7" s="3" t="s">
        <v>47</v>
      </c>
      <c r="X7" s="3" t="s">
        <v>49</v>
      </c>
      <c r="Y7" s="1"/>
    </row>
    <row r="8" spans="1:25" x14ac:dyDescent="0.25">
      <c r="A8" s="1"/>
      <c r="B8" s="3" t="s">
        <v>3</v>
      </c>
      <c r="C8" s="2">
        <v>6</v>
      </c>
      <c r="D8" s="1"/>
      <c r="E8" s="1" t="s">
        <v>20</v>
      </c>
      <c r="F8" s="1">
        <v>1000</v>
      </c>
      <c r="G8" s="1"/>
      <c r="H8" s="3">
        <f>(C6*(C5-C6))/(C5*C10*C7*0.4)</f>
        <v>9.0492277992277988E-5</v>
      </c>
      <c r="I8" s="4">
        <f>100*F2</f>
        <v>9.9999999999999991E-5</v>
      </c>
      <c r="J8" s="3">
        <f>(C6*(C5-C6))/(C5*C10*I8)</f>
        <v>0.14478764478764478</v>
      </c>
      <c r="K8" s="3">
        <f>C7+(J8/2)</f>
        <v>0.47239382239382244</v>
      </c>
      <c r="L8" s="1"/>
      <c r="M8" s="5">
        <f>10*F1</f>
        <v>0.01</v>
      </c>
      <c r="N8" s="5">
        <f>J8/(8*C10*M8)</f>
        <v>4.8914744860690803E-6</v>
      </c>
      <c r="O8" s="1"/>
      <c r="P8" s="3">
        <f>(25*F1*C6)/(N3*J10)</f>
        <v>1.5725</v>
      </c>
      <c r="Q8" s="1"/>
      <c r="R8" s="3">
        <f>F2</f>
        <v>9.9999999999999995E-7</v>
      </c>
      <c r="S8" s="3">
        <f>10*F3</f>
        <v>1E-8</v>
      </c>
      <c r="T8" s="1"/>
      <c r="U8" s="3">
        <v>0.5</v>
      </c>
      <c r="V8" s="3">
        <v>0.5</v>
      </c>
      <c r="W8" s="3">
        <f>(C7*U8*(1-U8))/(V8*C10)</f>
        <v>5.4054054054054058E-7</v>
      </c>
      <c r="X8" s="5">
        <f>0.47*F2</f>
        <v>4.6999999999999995E-7</v>
      </c>
      <c r="Y8" s="1"/>
    </row>
    <row r="9" spans="1:25" x14ac:dyDescent="0.25">
      <c r="A9" s="1"/>
      <c r="B9" s="3" t="s">
        <v>55</v>
      </c>
      <c r="C9" s="4">
        <v>0.2</v>
      </c>
      <c r="D9" s="1"/>
      <c r="E9" s="1"/>
      <c r="F9" s="1"/>
      <c r="G9" s="1"/>
      <c r="H9" s="1"/>
      <c r="I9" s="1"/>
      <c r="J9" s="3" t="s">
        <v>38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3" t="s">
        <v>2</v>
      </c>
      <c r="C10" s="4">
        <f>370*F8</f>
        <v>370000</v>
      </c>
      <c r="D10" s="1"/>
      <c r="E10" s="1"/>
      <c r="F10" s="1"/>
      <c r="G10" s="1"/>
      <c r="H10" s="1"/>
      <c r="I10" s="1"/>
      <c r="J10" s="3">
        <f>(C6*(C4-C6))/(C4*C10*I8)</f>
        <v>4.7694753577106522E-2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3" t="s">
        <v>5</v>
      </c>
      <c r="C11" s="2">
        <v>88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1"/>
      <c r="D13" s="1"/>
      <c r="E13" s="1"/>
      <c r="F13" s="1"/>
      <c r="G13" s="1"/>
      <c r="H13" s="7" t="s">
        <v>54</v>
      </c>
      <c r="I13" s="7"/>
      <c r="J13" s="7"/>
      <c r="K13" s="7"/>
      <c r="L13" s="1"/>
      <c r="M13" s="7" t="s">
        <v>59</v>
      </c>
      <c r="N13" s="7"/>
      <c r="O13" s="7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1"/>
      <c r="D14" s="1"/>
      <c r="E14" s="1"/>
      <c r="F14" s="1"/>
      <c r="G14" s="1"/>
      <c r="H14" s="3" t="s">
        <v>50</v>
      </c>
      <c r="I14" s="3" t="s">
        <v>51</v>
      </c>
      <c r="J14" s="3" t="s">
        <v>52</v>
      </c>
      <c r="K14" s="3" t="s">
        <v>53</v>
      </c>
      <c r="L14" s="1"/>
      <c r="M14" s="3" t="s">
        <v>56</v>
      </c>
      <c r="N14" s="3" t="s">
        <v>57</v>
      </c>
      <c r="O14" s="3" t="s">
        <v>58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1"/>
      <c r="D15" s="1"/>
      <c r="E15" s="1"/>
      <c r="F15" s="1"/>
      <c r="G15" s="1"/>
      <c r="H15" s="3">
        <f>20*F2</f>
        <v>1.9999999999999998E-5</v>
      </c>
      <c r="I15" s="3">
        <f>2.5/H15</f>
        <v>125000.00000000001</v>
      </c>
      <c r="J15" s="3">
        <f>(C4/1.24)-1</f>
        <v>5.854838709677419</v>
      </c>
      <c r="K15" s="3">
        <f>I15/J15</f>
        <v>21349.862258953173</v>
      </c>
      <c r="L15" s="1"/>
      <c r="M15" s="3">
        <f>((C4-C6)*(T3))/(25*F1)</f>
        <v>1.5000000000000002E-5</v>
      </c>
      <c r="N15" s="3">
        <f>13*F8</f>
        <v>13000</v>
      </c>
      <c r="O15" s="3">
        <f>M15/N15</f>
        <v>1.153846153846154E-9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1"/>
      <c r="B21" s="1"/>
      <c r="C21" s="1"/>
      <c r="D21" s="1"/>
      <c r="E21" s="1"/>
      <c r="F21" s="1"/>
      <c r="G21" s="1"/>
      <c r="H21" s="7" t="s">
        <v>62</v>
      </c>
      <c r="I21" s="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s="1"/>
      <c r="B22" s="1"/>
      <c r="C22" s="1"/>
      <c r="D22" s="1"/>
      <c r="E22" s="1"/>
      <c r="F22" s="1"/>
      <c r="G22" s="1"/>
      <c r="H22" s="9" t="s">
        <v>61</v>
      </c>
      <c r="I22" s="3" t="s">
        <v>60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A23" s="1"/>
      <c r="B23" s="1"/>
      <c r="C23" s="1"/>
      <c r="D23" s="1"/>
      <c r="E23" s="1"/>
      <c r="F23" s="1"/>
      <c r="G23" s="1"/>
      <c r="H23" s="3">
        <f>0.1</f>
        <v>0.1</v>
      </c>
      <c r="I23" s="3">
        <f>((C9/H23)*(C6/C4)*(1/C10))</f>
        <v>3.8155802861685217E-6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</sheetData>
  <mergeCells count="10">
    <mergeCell ref="H21:I21"/>
    <mergeCell ref="H13:K13"/>
    <mergeCell ref="M13:O13"/>
    <mergeCell ref="H1:K1"/>
    <mergeCell ref="M1:Q1"/>
    <mergeCell ref="S1:W1"/>
    <mergeCell ref="H6:K6"/>
    <mergeCell ref="M6:N6"/>
    <mergeCell ref="R6:S6"/>
    <mergeCell ref="U6:X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Galvão</dc:creator>
  <cp:lastModifiedBy>Mateus Galvão</cp:lastModifiedBy>
  <dcterms:created xsi:type="dcterms:W3CDTF">2024-10-08T19:09:12Z</dcterms:created>
  <dcterms:modified xsi:type="dcterms:W3CDTF">2024-10-09T12:47:48Z</dcterms:modified>
</cp:coreProperties>
</file>