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PAD\"/>
    </mc:Choice>
  </mc:AlternateContent>
  <xr:revisionPtr revIDLastSave="0" documentId="13_ncr:1_{437C23C0-7FF5-424A-ABA9-CA692AC08BD8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Regresja" sheetId="1" r:id="rId1"/>
    <sheet name="Wielomianowa" sheetId="2" r:id="rId2"/>
    <sheet name="RegresjaWieloraka" sheetId="3" r:id="rId3"/>
    <sheet name="WielorakaIrysy" sheetId="4" r:id="rId4"/>
  </sheets>
  <definedNames>
    <definedName name="solver_adj" localSheetId="0" hidden="1">Regresja!$H$3:$H$4</definedName>
    <definedName name="solver_adj" localSheetId="2" hidden="1">RegresjaWieloraka!$H$2:$H$4</definedName>
    <definedName name="solver_adj" localSheetId="1" hidden="1">Wielomianowa!$H$3:$H$7</definedName>
    <definedName name="solver_cvg" localSheetId="0" hidden="1">0.0001</definedName>
    <definedName name="solver_cvg" localSheetId="2" hidden="1">0.0000001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eng" localSheetId="0" hidden="1">1</definedName>
    <definedName name="solver_eng" localSheetId="2" hidden="1">1</definedName>
    <definedName name="solver_eng" localSheetId="1" hidden="1">1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2" hidden="1">2</definedName>
    <definedName name="solver_neg" localSheetId="1" hidden="1">2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0</definedName>
    <definedName name="solver_num" localSheetId="2" hidden="1">0</definedName>
    <definedName name="solver_num" localSheetId="1" hidden="1">0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opt" localSheetId="0" hidden="1">Regresja!$H$6</definedName>
    <definedName name="solver_opt" localSheetId="2" hidden="1">RegresjaWieloraka!$H$6</definedName>
    <definedName name="solver_opt" localSheetId="1" hidden="1">Wielomianowa!$H$9</definedName>
    <definedName name="solver_pre" localSheetId="0" hidden="1">0.000001</definedName>
    <definedName name="solver_pre" localSheetId="2" hidden="1">0.0000001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1" hidden="1">1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1</definedName>
    <definedName name="solver_scl" localSheetId="1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x">Wielomianowa!$H$14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8" i="4" l="1"/>
  <c r="S9" i="4"/>
  <c r="S10" i="4"/>
  <c r="S7" i="4"/>
  <c r="R8" i="4"/>
  <c r="R9" i="4"/>
  <c r="R10" i="4"/>
  <c r="R7" i="4"/>
  <c r="Q8" i="4"/>
  <c r="Q9" i="4"/>
  <c r="Q10" i="4"/>
  <c r="Q7" i="4"/>
  <c r="I18" i="4" a="1"/>
  <c r="J18" i="4" s="1"/>
  <c r="J9" i="4" a="1"/>
  <c r="J9" i="4" s="1"/>
  <c r="M1" i="4" a="1"/>
  <c r="P1" i="4" s="1"/>
  <c r="J11" i="4"/>
  <c r="W16" i="2"/>
  <c r="AB8" i="2"/>
  <c r="AB12" i="2"/>
  <c r="AA8" i="2"/>
  <c r="AC8" i="2"/>
  <c r="Z8" i="2"/>
  <c r="AA7" i="2"/>
  <c r="AB7" i="2"/>
  <c r="AC7" i="2"/>
  <c r="Z7" i="2"/>
  <c r="AC6" i="2"/>
  <c r="AA6" i="2"/>
  <c r="AB6" i="2"/>
  <c r="Z6" i="2"/>
  <c r="W9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2" i="2"/>
  <c r="W3" i="2" a="1"/>
  <c r="W4" i="2" s="1"/>
  <c r="Z1" i="2" a="1"/>
  <c r="Z1" i="2" s="1"/>
  <c r="P3" i="2"/>
  <c r="Q3" i="2"/>
  <c r="P4" i="2"/>
  <c r="Q4" i="2"/>
  <c r="P5" i="2"/>
  <c r="Q5" i="2"/>
  <c r="P6" i="2"/>
  <c r="Q6" i="2"/>
  <c r="P7" i="2"/>
  <c r="Q7" i="2"/>
  <c r="P8" i="2"/>
  <c r="Q8" i="2"/>
  <c r="P9" i="2"/>
  <c r="Q9" i="2"/>
  <c r="P10" i="2"/>
  <c r="Q10" i="2"/>
  <c r="P11" i="2"/>
  <c r="Q11" i="2"/>
  <c r="P12" i="2"/>
  <c r="Q12" i="2"/>
  <c r="P13" i="2"/>
  <c r="Q13" i="2"/>
  <c r="P14" i="2"/>
  <c r="Q14" i="2"/>
  <c r="P15" i="2"/>
  <c r="Q15" i="2"/>
  <c r="P16" i="2"/>
  <c r="Q16" i="2"/>
  <c r="P17" i="2"/>
  <c r="Q17" i="2"/>
  <c r="P18" i="2"/>
  <c r="Q18" i="2"/>
  <c r="P19" i="2"/>
  <c r="Q19" i="2"/>
  <c r="P20" i="2"/>
  <c r="Q20" i="2"/>
  <c r="P21" i="2"/>
  <c r="Q21" i="2"/>
  <c r="P22" i="2"/>
  <c r="Q22" i="2"/>
  <c r="P23" i="2"/>
  <c r="Q23" i="2"/>
  <c r="P24" i="2"/>
  <c r="Q24" i="2"/>
  <c r="P25" i="2"/>
  <c r="Q25" i="2"/>
  <c r="P26" i="2"/>
  <c r="Q26" i="2"/>
  <c r="P27" i="2"/>
  <c r="Q27" i="2"/>
  <c r="P28" i="2"/>
  <c r="Q28" i="2"/>
  <c r="P29" i="2"/>
  <c r="Q29" i="2"/>
  <c r="P30" i="2"/>
  <c r="Q30" i="2"/>
  <c r="P31" i="2"/>
  <c r="Q31" i="2"/>
  <c r="Q2" i="2"/>
  <c r="P2" i="2"/>
  <c r="W14" i="2"/>
  <c r="W13" i="2"/>
  <c r="K21" i="4" l="1"/>
  <c r="K19" i="4"/>
  <c r="I22" i="4"/>
  <c r="I20" i="4"/>
  <c r="I18" i="4"/>
  <c r="L21" i="4"/>
  <c r="L19" i="4"/>
  <c r="J21" i="4"/>
  <c r="J19" i="4"/>
  <c r="I21" i="4"/>
  <c r="I19" i="4"/>
  <c r="L22" i="4"/>
  <c r="L20" i="4"/>
  <c r="L18" i="4"/>
  <c r="K22" i="4"/>
  <c r="K20" i="4"/>
  <c r="K18" i="4"/>
  <c r="J22" i="4"/>
  <c r="J20" i="4"/>
  <c r="N1" i="4"/>
  <c r="M1" i="4"/>
  <c r="P2" i="4"/>
  <c r="O4" i="4"/>
  <c r="O2" i="4"/>
  <c r="O3" i="4"/>
  <c r="N3" i="4"/>
  <c r="M3" i="4"/>
  <c r="P4" i="4"/>
  <c r="N4" i="4"/>
  <c r="N2" i="4"/>
  <c r="O1" i="4"/>
  <c r="M4" i="4"/>
  <c r="M2" i="4"/>
  <c r="P3" i="4"/>
  <c r="W3" i="2"/>
  <c r="W6" i="2"/>
  <c r="W5" i="2"/>
  <c r="AA10" i="2"/>
  <c r="O7" i="4" l="1" a="1"/>
  <c r="AB10" i="2"/>
  <c r="O8" i="4" l="1"/>
  <c r="O9" i="4"/>
  <c r="O7" i="4"/>
  <c r="O10" i="4"/>
  <c r="J5" i="4" s="1"/>
  <c r="J4" i="4"/>
  <c r="J2" i="4"/>
  <c r="J3" i="4"/>
  <c r="T18" i="3" a="1"/>
  <c r="T18" i="3" s="1"/>
  <c r="AF12" i="3"/>
  <c r="AD12" i="3"/>
  <c r="AC8" i="3"/>
  <c r="AC9" i="3"/>
  <c r="AC7" i="3"/>
  <c r="AB8" i="3"/>
  <c r="AB9" i="3"/>
  <c r="AB7" i="3"/>
  <c r="AA9" i="3"/>
  <c r="AA8" i="3"/>
  <c r="Y12" i="3" a="1"/>
  <c r="Y12" i="3" s="1"/>
  <c r="AA7" i="3" s="1"/>
  <c r="AD2" i="3"/>
  <c r="AC3" i="3" s="1"/>
  <c r="AD3" i="3"/>
  <c r="AC2" i="3"/>
  <c r="AB3" i="3"/>
  <c r="AC1" i="3"/>
  <c r="AB2" i="3" s="1"/>
  <c r="AD1" i="3"/>
  <c r="AB1" i="3"/>
  <c r="X1" i="3" a="1"/>
  <c r="Z2" i="3" s="1"/>
  <c r="U11" i="3"/>
  <c r="D2" i="3"/>
  <c r="E2" i="3" s="1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D15" i="3"/>
  <c r="E15" i="3" s="1"/>
  <c r="D16" i="3"/>
  <c r="E16" i="3" s="1"/>
  <c r="D17" i="3"/>
  <c r="E17" i="3" s="1"/>
  <c r="D18" i="3"/>
  <c r="E18" i="3" s="1"/>
  <c r="D19" i="3"/>
  <c r="E19" i="3" s="1"/>
  <c r="D20" i="3"/>
  <c r="E20" i="3" s="1"/>
  <c r="D21" i="3"/>
  <c r="E21" i="3" s="1"/>
  <c r="D22" i="3"/>
  <c r="E22" i="3" s="1"/>
  <c r="D23" i="3"/>
  <c r="E23" i="3" s="1"/>
  <c r="D24" i="3"/>
  <c r="E24" i="3" s="1"/>
  <c r="D25" i="3"/>
  <c r="E25" i="3" s="1"/>
  <c r="D26" i="3"/>
  <c r="E26" i="3" s="1"/>
  <c r="D27" i="3"/>
  <c r="E27" i="3" s="1"/>
  <c r="D28" i="3"/>
  <c r="E28" i="3" s="1"/>
  <c r="D29" i="3"/>
  <c r="E29" i="3" s="1"/>
  <c r="D30" i="3"/>
  <c r="E30" i="3" s="1"/>
  <c r="D31" i="3"/>
  <c r="E31" i="3" s="1"/>
  <c r="H10" i="3"/>
  <c r="H14" i="2"/>
  <c r="D8" i="2" s="1"/>
  <c r="H13" i="2"/>
  <c r="H10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2" i="1"/>
  <c r="E2" i="1" s="1"/>
  <c r="P5" i="1"/>
  <c r="O3" i="1"/>
  <c r="O4" i="1" s="1"/>
  <c r="O6" i="1"/>
  <c r="O5" i="1"/>
  <c r="F4" i="4" l="1"/>
  <c r="G4" i="4" s="1"/>
  <c r="F12" i="4"/>
  <c r="F20" i="4"/>
  <c r="G20" i="4" s="1"/>
  <c r="F28" i="4"/>
  <c r="G28" i="4" s="1"/>
  <c r="F36" i="4"/>
  <c r="G36" i="4" s="1"/>
  <c r="F44" i="4"/>
  <c r="G44" i="4" s="1"/>
  <c r="F2" i="4"/>
  <c r="F43" i="4"/>
  <c r="G43" i="4" s="1"/>
  <c r="F5" i="4"/>
  <c r="G5" i="4" s="1"/>
  <c r="F13" i="4"/>
  <c r="F21" i="4"/>
  <c r="G21" i="4" s="1"/>
  <c r="F29" i="4"/>
  <c r="G29" i="4" s="1"/>
  <c r="F37" i="4"/>
  <c r="G37" i="4" s="1"/>
  <c r="F45" i="4"/>
  <c r="G45" i="4" s="1"/>
  <c r="F19" i="4"/>
  <c r="G19" i="4" s="1"/>
  <c r="F6" i="4"/>
  <c r="G6" i="4" s="1"/>
  <c r="F14" i="4"/>
  <c r="G14" i="4" s="1"/>
  <c r="F22" i="4"/>
  <c r="G22" i="4" s="1"/>
  <c r="F30" i="4"/>
  <c r="G30" i="4" s="1"/>
  <c r="F38" i="4"/>
  <c r="G38" i="4" s="1"/>
  <c r="F46" i="4"/>
  <c r="G46" i="4" s="1"/>
  <c r="F27" i="4"/>
  <c r="G27" i="4" s="1"/>
  <c r="F7" i="4"/>
  <c r="F15" i="4"/>
  <c r="G15" i="4" s="1"/>
  <c r="F23" i="4"/>
  <c r="G23" i="4" s="1"/>
  <c r="F31" i="4"/>
  <c r="G31" i="4" s="1"/>
  <c r="F39" i="4"/>
  <c r="G39" i="4" s="1"/>
  <c r="F47" i="4"/>
  <c r="G47" i="4" s="1"/>
  <c r="F8" i="4"/>
  <c r="F16" i="4"/>
  <c r="G16" i="4" s="1"/>
  <c r="F24" i="4"/>
  <c r="G24" i="4" s="1"/>
  <c r="F32" i="4"/>
  <c r="G32" i="4" s="1"/>
  <c r="F40" i="4"/>
  <c r="G40" i="4" s="1"/>
  <c r="F48" i="4"/>
  <c r="G48" i="4" s="1"/>
  <c r="F9" i="4"/>
  <c r="G9" i="4" s="1"/>
  <c r="F17" i="4"/>
  <c r="G17" i="4" s="1"/>
  <c r="F25" i="4"/>
  <c r="G25" i="4" s="1"/>
  <c r="F33" i="4"/>
  <c r="G33" i="4" s="1"/>
  <c r="F41" i="4"/>
  <c r="G41" i="4" s="1"/>
  <c r="F49" i="4"/>
  <c r="G49" i="4" s="1"/>
  <c r="F11" i="4"/>
  <c r="G11" i="4" s="1"/>
  <c r="F35" i="4"/>
  <c r="G35" i="4" s="1"/>
  <c r="F10" i="4"/>
  <c r="G10" i="4" s="1"/>
  <c r="F18" i="4"/>
  <c r="G18" i="4" s="1"/>
  <c r="F26" i="4"/>
  <c r="G26" i="4" s="1"/>
  <c r="F34" i="4"/>
  <c r="G34" i="4" s="1"/>
  <c r="F42" i="4"/>
  <c r="G42" i="4" s="1"/>
  <c r="F50" i="4"/>
  <c r="G50" i="4" s="1"/>
  <c r="F3" i="4"/>
  <c r="G3" i="4" s="1"/>
  <c r="F51" i="4"/>
  <c r="G51" i="4" s="1"/>
  <c r="T11" i="2"/>
  <c r="T21" i="2"/>
  <c r="T13" i="2"/>
  <c r="T3" i="2"/>
  <c r="T29" i="2"/>
  <c r="T26" i="2"/>
  <c r="T31" i="2"/>
  <c r="T7" i="2"/>
  <c r="T22" i="2"/>
  <c r="T27" i="2"/>
  <c r="T28" i="2"/>
  <c r="T12" i="2"/>
  <c r="T16" i="2"/>
  <c r="T30" i="2"/>
  <c r="T10" i="2"/>
  <c r="T24" i="2"/>
  <c r="T19" i="2"/>
  <c r="T6" i="2"/>
  <c r="T4" i="2"/>
  <c r="T9" i="2"/>
  <c r="T20" i="2"/>
  <c r="T25" i="2"/>
  <c r="T15" i="2"/>
  <c r="T18" i="2"/>
  <c r="T5" i="2"/>
  <c r="T14" i="2"/>
  <c r="T8" i="2"/>
  <c r="T17" i="2"/>
  <c r="T23" i="2"/>
  <c r="D23" i="2"/>
  <c r="D11" i="2"/>
  <c r="D26" i="2"/>
  <c r="D24" i="2"/>
  <c r="D21" i="2"/>
  <c r="D13" i="2"/>
  <c r="D10" i="2"/>
  <c r="D4" i="2"/>
  <c r="D19" i="2"/>
  <c r="D7" i="2"/>
  <c r="D31" i="2"/>
  <c r="D18" i="2"/>
  <c r="D5" i="2"/>
  <c r="D29" i="2"/>
  <c r="D16" i="2"/>
  <c r="D3" i="2"/>
  <c r="D27" i="2"/>
  <c r="D15" i="2"/>
  <c r="D2" i="2"/>
  <c r="X3" i="3"/>
  <c r="Y2" i="3"/>
  <c r="X2" i="3"/>
  <c r="Z1" i="3"/>
  <c r="Y1" i="3"/>
  <c r="Z3" i="3"/>
  <c r="X1" i="3"/>
  <c r="Y3" i="3"/>
  <c r="J10" i="3"/>
  <c r="H6" i="3"/>
  <c r="I10" i="3"/>
  <c r="H6" i="1"/>
  <c r="D25" i="2"/>
  <c r="D17" i="2"/>
  <c r="D9" i="2"/>
  <c r="D30" i="2"/>
  <c r="D22" i="2"/>
  <c r="D14" i="2"/>
  <c r="D6" i="2"/>
  <c r="D28" i="2"/>
  <c r="D20" i="2"/>
  <c r="D12" i="2"/>
  <c r="J10" i="1"/>
  <c r="I10" i="1"/>
  <c r="J8" i="4" l="1" a="1"/>
  <c r="J8" i="4" s="1"/>
  <c r="G2" i="4"/>
  <c r="K11" i="4"/>
  <c r="G8" i="4" s="1"/>
  <c r="X13" i="2"/>
  <c r="W11" i="2" s="1" a="1"/>
  <c r="W11" i="2" s="1"/>
  <c r="T2" i="2"/>
  <c r="Z7" i="3" a="1"/>
  <c r="H7" i="3" a="1"/>
  <c r="H7" i="3" s="1"/>
  <c r="H8" i="3" a="1"/>
  <c r="H8" i="3" s="1"/>
  <c r="I12" i="3" s="1"/>
  <c r="H8" i="1" a="1"/>
  <c r="H8" i="1" s="1"/>
  <c r="I12" i="1" s="1"/>
  <c r="H7" i="1" a="1"/>
  <c r="H7" i="1" s="1"/>
  <c r="G7" i="4" l="1"/>
  <c r="J13" i="4"/>
  <c r="G12" i="4" s="1"/>
  <c r="Y13" i="2"/>
  <c r="Z7" i="3"/>
  <c r="U2" i="3" s="1"/>
  <c r="Z8" i="3"/>
  <c r="U3" i="3" s="1"/>
  <c r="Z9" i="3"/>
  <c r="U4" i="3" s="1"/>
  <c r="H12" i="3"/>
  <c r="I8" i="3"/>
  <c r="H12" i="1"/>
  <c r="I8" i="1"/>
  <c r="E31" i="2"/>
  <c r="E22" i="2"/>
  <c r="E29" i="2"/>
  <c r="E13" i="2"/>
  <c r="E28" i="2"/>
  <c r="E20" i="2"/>
  <c r="E12" i="2"/>
  <c r="E5" i="2"/>
  <c r="E27" i="2"/>
  <c r="E19" i="2"/>
  <c r="E11" i="2"/>
  <c r="E4" i="2"/>
  <c r="E26" i="2"/>
  <c r="E18" i="2"/>
  <c r="E7" i="2"/>
  <c r="E25" i="2"/>
  <c r="E17" i="2"/>
  <c r="E10" i="2"/>
  <c r="E3" i="2"/>
  <c r="E2" i="2"/>
  <c r="E24" i="2"/>
  <c r="E16" i="2"/>
  <c r="E9" i="2"/>
  <c r="E23" i="2"/>
  <c r="E15" i="2"/>
  <c r="E8" i="2"/>
  <c r="E30" i="2"/>
  <c r="E14" i="2"/>
  <c r="E21" i="2"/>
  <c r="E6" i="2"/>
  <c r="X15" i="2" l="1"/>
  <c r="Q26" i="3"/>
  <c r="R26" i="3" s="1"/>
  <c r="Q9" i="3"/>
  <c r="R9" i="3" s="1"/>
  <c r="Q10" i="3"/>
  <c r="R10" i="3" s="1"/>
  <c r="Q17" i="3"/>
  <c r="R17" i="3" s="1"/>
  <c r="Q18" i="3"/>
  <c r="R18" i="3" s="1"/>
  <c r="Q25" i="3"/>
  <c r="R25" i="3" s="1"/>
  <c r="Q29" i="3"/>
  <c r="R29" i="3" s="1"/>
  <c r="Q27" i="3"/>
  <c r="R27" i="3" s="1"/>
  <c r="Q31" i="3"/>
  <c r="R31" i="3" s="1"/>
  <c r="Q11" i="3"/>
  <c r="R11" i="3" s="1"/>
  <c r="Q15" i="3"/>
  <c r="R15" i="3" s="1"/>
  <c r="Q7" i="3"/>
  <c r="R7" i="3" s="1"/>
  <c r="Q2" i="3"/>
  <c r="Q24" i="3"/>
  <c r="R24" i="3" s="1"/>
  <c r="Q16" i="3"/>
  <c r="R16" i="3" s="1"/>
  <c r="Q21" i="3"/>
  <c r="R21" i="3" s="1"/>
  <c r="Q19" i="3"/>
  <c r="R19" i="3" s="1"/>
  <c r="Q23" i="3"/>
  <c r="R23" i="3" s="1"/>
  <c r="Q3" i="3"/>
  <c r="R3" i="3" s="1"/>
  <c r="Q13" i="3"/>
  <c r="R13" i="3" s="1"/>
  <c r="Q30" i="3"/>
  <c r="R30" i="3" s="1"/>
  <c r="Q22" i="3"/>
  <c r="R22" i="3" s="1"/>
  <c r="Q12" i="3"/>
  <c r="R12" i="3" s="1"/>
  <c r="Q4" i="3"/>
  <c r="R4" i="3" s="1"/>
  <c r="Q8" i="3"/>
  <c r="R8" i="3" s="1"/>
  <c r="Q5" i="3"/>
  <c r="R5" i="3" s="1"/>
  <c r="Q28" i="3"/>
  <c r="R28" i="3" s="1"/>
  <c r="Q20" i="3"/>
  <c r="R20" i="3" s="1"/>
  <c r="Q14" i="3"/>
  <c r="R14" i="3" s="1"/>
  <c r="Q6" i="3"/>
  <c r="R6" i="3" s="1"/>
  <c r="J13" i="2"/>
  <c r="H9" i="2"/>
  <c r="I13" i="2"/>
  <c r="W10" i="2" s="1" a="1"/>
  <c r="W10" i="2" s="1"/>
  <c r="W15" i="2" l="1"/>
  <c r="AA11" i="2"/>
  <c r="X11" i="2"/>
  <c r="V11" i="3"/>
  <c r="U9" i="3" s="1" a="1"/>
  <c r="U9" i="3" s="1"/>
  <c r="U8" i="3" a="1"/>
  <c r="U8" i="3" s="1"/>
  <c r="U13" i="3" s="1"/>
  <c r="R2" i="3"/>
  <c r="H10" i="2" a="1"/>
  <c r="H10" i="2" s="1"/>
  <c r="H11" i="2" a="1"/>
  <c r="H11" i="2" s="1"/>
  <c r="I15" i="2" s="1"/>
  <c r="U7" i="3" l="1"/>
  <c r="V7" i="3" s="1"/>
  <c r="W7" i="3" s="1"/>
  <c r="W11" i="3"/>
  <c r="H15" i="2"/>
  <c r="I11" i="2"/>
  <c r="V14" i="3" l="1"/>
  <c r="U14" i="3"/>
  <c r="V9" i="3"/>
  <c r="V13" i="3"/>
  <c r="G13" i="4" l="1"/>
  <c r="L11" i="4" l="1"/>
  <c r="J7" i="4"/>
  <c r="K7" i="4" l="1"/>
  <c r="L7" i="4" s="1"/>
  <c r="K13" i="4"/>
  <c r="J14" i="4"/>
  <c r="K14" i="4"/>
  <c r="K9" i="4"/>
  <c r="N12" i="4" l="1" a="1"/>
  <c r="T12" i="4"/>
  <c r="V12" i="4" s="1"/>
  <c r="N12" i="4" l="1"/>
  <c r="P7" i="4" s="1"/>
  <c r="P15" i="4"/>
  <c r="Q14" i="4"/>
  <c r="P13" i="4"/>
  <c r="Q12" i="4"/>
  <c r="Q15" i="4"/>
  <c r="P10" i="4" s="1"/>
  <c r="P14" i="4"/>
  <c r="P9" i="4" s="1"/>
  <c r="O13" i="4"/>
  <c r="P8" i="4" s="1"/>
  <c r="O12" i="4"/>
  <c r="N13" i="4"/>
  <c r="N15" i="4"/>
  <c r="N14" i="4"/>
  <c r="Q13" i="4"/>
  <c r="P12" i="4"/>
  <c r="O15" i="4"/>
  <c r="O1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<sst xmlns="http://schemas.openxmlformats.org/spreadsheetml/2006/main" count="168" uniqueCount="59">
  <si>
    <t>Matka</t>
  </si>
  <si>
    <t>Ojciec</t>
  </si>
  <si>
    <t>Dziecko</t>
  </si>
  <si>
    <t>a</t>
  </si>
  <si>
    <t>b</t>
  </si>
  <si>
    <t>R</t>
  </si>
  <si>
    <t>R^2</t>
  </si>
  <si>
    <t>Prognoza</t>
  </si>
  <si>
    <t>Reszta(epsilon)</t>
  </si>
  <si>
    <t>SSE</t>
  </si>
  <si>
    <t>SST</t>
  </si>
  <si>
    <t>SSR</t>
  </si>
  <si>
    <t>śr dziec</t>
  </si>
  <si>
    <t>//shift + ctr + enter</t>
  </si>
  <si>
    <t>NUMERYCZNIE</t>
  </si>
  <si>
    <t>ANALITYCZNIE</t>
  </si>
  <si>
    <t>c</t>
  </si>
  <si>
    <t>d</t>
  </si>
  <si>
    <t>e</t>
  </si>
  <si>
    <t>śr ojca</t>
  </si>
  <si>
    <t>(suma kwadratów)</t>
  </si>
  <si>
    <t>//shift + ctr + enter - formuła macierzowa</t>
  </si>
  <si>
    <t>XTX</t>
  </si>
  <si>
    <t>Wwolny</t>
  </si>
  <si>
    <t>R^2 (skorygowany)</t>
  </si>
  <si>
    <t>War epsil. -&gt;</t>
  </si>
  <si>
    <t>&lt;-odchyl stand eps.</t>
  </si>
  <si>
    <t>S_eps</t>
  </si>
  <si>
    <t>S^2_eps</t>
  </si>
  <si>
    <t>War/Kow estymatorów regresji</t>
  </si>
  <si>
    <t>Błąd stand.</t>
  </si>
  <si>
    <t>Stat.Test</t>
  </si>
  <si>
    <t>p-wartosc</t>
  </si>
  <si>
    <t>alfa</t>
  </si>
  <si>
    <t>Regresja jako całość(Test F)</t>
  </si>
  <si>
    <t>F</t>
  </si>
  <si>
    <t>p-wartość</t>
  </si>
  <si>
    <t>Gotowa funkcja</t>
  </si>
  <si>
    <t>(odejmujemy 3 bo 3 wsp. Regresji, liczba st. swobody)</t>
  </si>
  <si>
    <t>Ojciec^2</t>
  </si>
  <si>
    <t>Ojciec^3</t>
  </si>
  <si>
    <t>R^2(skor)</t>
  </si>
  <si>
    <t>Test T</t>
  </si>
  <si>
    <t>Test F</t>
  </si>
  <si>
    <t>H: a,b,c,d=0</t>
  </si>
  <si>
    <t>Sepal.Length</t>
  </si>
  <si>
    <t>Sepal.Width</t>
  </si>
  <si>
    <t>Petal.Length</t>
  </si>
  <si>
    <t>Petal.Width</t>
  </si>
  <si>
    <t>(odejmujemy 4 bo 4 wsp. Regresji, liczba st. swobody)</t>
  </si>
  <si>
    <t>X^TX</t>
  </si>
  <si>
    <t>śr płatka</t>
  </si>
  <si>
    <t>k-1</t>
  </si>
  <si>
    <t>Wniosek</t>
  </si>
  <si>
    <t>p-value</t>
  </si>
  <si>
    <t>Statystyka testowa</t>
  </si>
  <si>
    <t>Błąd std.</t>
  </si>
  <si>
    <t>Test T:</t>
  </si>
  <si>
    <r>
      <t>H</t>
    </r>
    <r>
      <rPr>
        <vertAlign val="subscript"/>
        <sz val="11"/>
        <color theme="1"/>
        <rFont val="Arial Nova"/>
        <family val="2"/>
        <charset val="238"/>
      </rPr>
      <t>0</t>
    </r>
    <r>
      <rPr>
        <sz val="11"/>
        <color theme="1"/>
        <rFont val="Arial Nova"/>
        <family val="2"/>
      </rPr>
      <t>: a/b/c/d =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</si>
</sst>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Arial Nova"/>
      <family val="2"/>
      <charset val="238"/>
    </font>
    <font>
      <vertAlign val="subscript"/>
      <sz val="11"/>
      <color theme="1"/>
      <name val="Arial Nova"/>
      <family val="2"/>
      <charset val="238"/>
    </font>
    <font>
      <sz val="11"/>
      <color theme="1"/>
      <name val="Arial Nov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36" borderId="0" xfId="0" applyFont="1" applyFill="1" applyAlignment="1">
      <alignment horizontal="center" vertical="center" wrapText="1"/>
    </xf>
    <xf numFmtId="0" fontId="18" fillId="36" borderId="0" xfId="0" applyFont="1" applyFill="1" applyAlignment="1">
      <alignment horizontal="center" vertical="center" wrapText="1"/>
    </xf>
    <xf numFmtId="0" fontId="18" fillId="38" borderId="0" xfId="0" applyFont="1" applyFill="1" applyAlignment="1">
      <alignment horizontal="center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Dziecko vs ojciec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(trend liniowy) </a:t>
            </a:r>
          </a:p>
        </c:rich>
      </c:tx>
      <c:layout>
        <c:manualLayout>
          <c:xMode val="edge"/>
          <c:yMode val="edge"/>
          <c:x val="0.36340266841644797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Regresja!$C$1</c:f>
              <c:strCache>
                <c:ptCount val="1"/>
                <c:pt idx="0">
                  <c:v>Dziecko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Regresja!$B$2:$B$31</c:f>
              <c:numCache>
                <c:formatCode>General</c:formatCode>
                <c:ptCount val="30"/>
                <c:pt idx="0">
                  <c:v>184</c:v>
                </c:pt>
                <c:pt idx="1">
                  <c:v>190</c:v>
                </c:pt>
                <c:pt idx="2">
                  <c:v>171</c:v>
                </c:pt>
                <c:pt idx="3">
                  <c:v>185</c:v>
                </c:pt>
                <c:pt idx="4">
                  <c:v>185</c:v>
                </c:pt>
                <c:pt idx="5">
                  <c:v>172</c:v>
                </c:pt>
                <c:pt idx="6">
                  <c:v>170</c:v>
                </c:pt>
                <c:pt idx="7">
                  <c:v>178</c:v>
                </c:pt>
                <c:pt idx="8">
                  <c:v>175</c:v>
                </c:pt>
                <c:pt idx="9">
                  <c:v>177</c:v>
                </c:pt>
                <c:pt idx="10">
                  <c:v>179</c:v>
                </c:pt>
                <c:pt idx="11">
                  <c:v>174</c:v>
                </c:pt>
                <c:pt idx="12">
                  <c:v>172</c:v>
                </c:pt>
                <c:pt idx="13">
                  <c:v>173</c:v>
                </c:pt>
                <c:pt idx="14">
                  <c:v>189</c:v>
                </c:pt>
                <c:pt idx="15">
                  <c:v>187</c:v>
                </c:pt>
                <c:pt idx="16">
                  <c:v>174</c:v>
                </c:pt>
                <c:pt idx="17">
                  <c:v>173</c:v>
                </c:pt>
                <c:pt idx="18">
                  <c:v>179</c:v>
                </c:pt>
                <c:pt idx="19">
                  <c:v>175</c:v>
                </c:pt>
                <c:pt idx="20">
                  <c:v>186</c:v>
                </c:pt>
                <c:pt idx="21">
                  <c:v>182</c:v>
                </c:pt>
                <c:pt idx="22">
                  <c:v>191</c:v>
                </c:pt>
                <c:pt idx="23">
                  <c:v>180</c:v>
                </c:pt>
                <c:pt idx="24">
                  <c:v>183</c:v>
                </c:pt>
                <c:pt idx="25">
                  <c:v>182</c:v>
                </c:pt>
                <c:pt idx="26">
                  <c:v>177</c:v>
                </c:pt>
                <c:pt idx="27">
                  <c:v>176</c:v>
                </c:pt>
                <c:pt idx="28">
                  <c:v>169</c:v>
                </c:pt>
                <c:pt idx="29">
                  <c:v>186</c:v>
                </c:pt>
              </c:numCache>
            </c:numRef>
          </c:xVal>
          <c:yVal>
            <c:numRef>
              <c:f>Regresja!$C$2:$C$31</c:f>
              <c:numCache>
                <c:formatCode>General</c:formatCode>
                <c:ptCount val="30"/>
                <c:pt idx="0">
                  <c:v>79</c:v>
                </c:pt>
                <c:pt idx="1">
                  <c:v>80</c:v>
                </c:pt>
                <c:pt idx="2">
                  <c:v>75</c:v>
                </c:pt>
                <c:pt idx="3">
                  <c:v>78</c:v>
                </c:pt>
                <c:pt idx="4">
                  <c:v>81</c:v>
                </c:pt>
                <c:pt idx="5">
                  <c:v>73</c:v>
                </c:pt>
                <c:pt idx="6">
                  <c:v>72</c:v>
                </c:pt>
                <c:pt idx="7">
                  <c:v>75</c:v>
                </c:pt>
                <c:pt idx="8">
                  <c:v>76</c:v>
                </c:pt>
                <c:pt idx="9">
                  <c:v>75</c:v>
                </c:pt>
                <c:pt idx="10">
                  <c:v>79</c:v>
                </c:pt>
                <c:pt idx="11">
                  <c:v>76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77</c:v>
                </c:pt>
                <c:pt idx="16">
                  <c:v>77</c:v>
                </c:pt>
                <c:pt idx="17">
                  <c:v>75</c:v>
                </c:pt>
                <c:pt idx="18">
                  <c:v>76</c:v>
                </c:pt>
                <c:pt idx="19">
                  <c:v>75</c:v>
                </c:pt>
                <c:pt idx="20">
                  <c:v>80</c:v>
                </c:pt>
                <c:pt idx="21">
                  <c:v>76</c:v>
                </c:pt>
                <c:pt idx="22">
                  <c:v>76</c:v>
                </c:pt>
                <c:pt idx="23">
                  <c:v>78</c:v>
                </c:pt>
                <c:pt idx="24">
                  <c:v>78</c:v>
                </c:pt>
                <c:pt idx="25">
                  <c:v>75</c:v>
                </c:pt>
                <c:pt idx="26">
                  <c:v>73</c:v>
                </c:pt>
                <c:pt idx="27">
                  <c:v>74</c:v>
                </c:pt>
                <c:pt idx="28">
                  <c:v>73</c:v>
                </c:pt>
                <c:pt idx="29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6-40F4-B1F9-A24637129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49648"/>
        <c:axId val="510438736"/>
      </c:scatterChart>
      <c:valAx>
        <c:axId val="42004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438736"/>
        <c:crosses val="autoZero"/>
        <c:crossBetween val="midCat"/>
      </c:valAx>
      <c:valAx>
        <c:axId val="5104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004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Dziecko vs ojciec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(trend</a:t>
            </a:r>
            <a:r>
              <a:rPr lang="pl-PL" baseline="0"/>
              <a:t> wielomianowy (st4))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Regresja!$C$1</c:f>
              <c:strCache>
                <c:ptCount val="1"/>
                <c:pt idx="0">
                  <c:v>Dziecko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31031824146981629"/>
                  <c:y val="-0.178663920622638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Regresja!$B$2:$B$31</c:f>
              <c:numCache>
                <c:formatCode>General</c:formatCode>
                <c:ptCount val="30"/>
                <c:pt idx="0">
                  <c:v>184</c:v>
                </c:pt>
                <c:pt idx="1">
                  <c:v>190</c:v>
                </c:pt>
                <c:pt idx="2">
                  <c:v>171</c:v>
                </c:pt>
                <c:pt idx="3">
                  <c:v>185</c:v>
                </c:pt>
                <c:pt idx="4">
                  <c:v>185</c:v>
                </c:pt>
                <c:pt idx="5">
                  <c:v>172</c:v>
                </c:pt>
                <c:pt idx="6">
                  <c:v>170</c:v>
                </c:pt>
                <c:pt idx="7">
                  <c:v>178</c:v>
                </c:pt>
                <c:pt idx="8">
                  <c:v>175</c:v>
                </c:pt>
                <c:pt idx="9">
                  <c:v>177</c:v>
                </c:pt>
                <c:pt idx="10">
                  <c:v>179</c:v>
                </c:pt>
                <c:pt idx="11">
                  <c:v>174</c:v>
                </c:pt>
                <c:pt idx="12">
                  <c:v>172</c:v>
                </c:pt>
                <c:pt idx="13">
                  <c:v>173</c:v>
                </c:pt>
                <c:pt idx="14">
                  <c:v>189</c:v>
                </c:pt>
                <c:pt idx="15">
                  <c:v>187</c:v>
                </c:pt>
                <c:pt idx="16">
                  <c:v>174</c:v>
                </c:pt>
                <c:pt idx="17">
                  <c:v>173</c:v>
                </c:pt>
                <c:pt idx="18">
                  <c:v>179</c:v>
                </c:pt>
                <c:pt idx="19">
                  <c:v>175</c:v>
                </c:pt>
                <c:pt idx="20">
                  <c:v>186</c:v>
                </c:pt>
                <c:pt idx="21">
                  <c:v>182</c:v>
                </c:pt>
                <c:pt idx="22">
                  <c:v>191</c:v>
                </c:pt>
                <c:pt idx="23">
                  <c:v>180</c:v>
                </c:pt>
                <c:pt idx="24">
                  <c:v>183</c:v>
                </c:pt>
                <c:pt idx="25">
                  <c:v>182</c:v>
                </c:pt>
                <c:pt idx="26">
                  <c:v>177</c:v>
                </c:pt>
                <c:pt idx="27">
                  <c:v>176</c:v>
                </c:pt>
                <c:pt idx="28">
                  <c:v>169</c:v>
                </c:pt>
                <c:pt idx="29">
                  <c:v>186</c:v>
                </c:pt>
              </c:numCache>
            </c:numRef>
          </c:xVal>
          <c:yVal>
            <c:numRef>
              <c:f>Regresja!$C$2:$C$31</c:f>
              <c:numCache>
                <c:formatCode>General</c:formatCode>
                <c:ptCount val="30"/>
                <c:pt idx="0">
                  <c:v>79</c:v>
                </c:pt>
                <c:pt idx="1">
                  <c:v>80</c:v>
                </c:pt>
                <c:pt idx="2">
                  <c:v>75</c:v>
                </c:pt>
                <c:pt idx="3">
                  <c:v>78</c:v>
                </c:pt>
                <c:pt idx="4">
                  <c:v>81</c:v>
                </c:pt>
                <c:pt idx="5">
                  <c:v>73</c:v>
                </c:pt>
                <c:pt idx="6">
                  <c:v>72</c:v>
                </c:pt>
                <c:pt idx="7">
                  <c:v>75</c:v>
                </c:pt>
                <c:pt idx="8">
                  <c:v>76</c:v>
                </c:pt>
                <c:pt idx="9">
                  <c:v>75</c:v>
                </c:pt>
                <c:pt idx="10">
                  <c:v>79</c:v>
                </c:pt>
                <c:pt idx="11">
                  <c:v>76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77</c:v>
                </c:pt>
                <c:pt idx="16">
                  <c:v>77</c:v>
                </c:pt>
                <c:pt idx="17">
                  <c:v>75</c:v>
                </c:pt>
                <c:pt idx="18">
                  <c:v>76</c:v>
                </c:pt>
                <c:pt idx="19">
                  <c:v>75</c:v>
                </c:pt>
                <c:pt idx="20">
                  <c:v>80</c:v>
                </c:pt>
                <c:pt idx="21">
                  <c:v>76</c:v>
                </c:pt>
                <c:pt idx="22">
                  <c:v>76</c:v>
                </c:pt>
                <c:pt idx="23">
                  <c:v>78</c:v>
                </c:pt>
                <c:pt idx="24">
                  <c:v>78</c:v>
                </c:pt>
                <c:pt idx="25">
                  <c:v>75</c:v>
                </c:pt>
                <c:pt idx="26">
                  <c:v>73</c:v>
                </c:pt>
                <c:pt idx="27">
                  <c:v>74</c:v>
                </c:pt>
                <c:pt idx="28">
                  <c:v>73</c:v>
                </c:pt>
                <c:pt idx="29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63-438E-BD75-AAE38288E57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Wielomianowa!$B$2:$B$31</c:f>
              <c:numCache>
                <c:formatCode>General</c:formatCode>
                <c:ptCount val="30"/>
                <c:pt idx="0">
                  <c:v>184</c:v>
                </c:pt>
                <c:pt idx="1">
                  <c:v>190</c:v>
                </c:pt>
                <c:pt idx="2">
                  <c:v>171</c:v>
                </c:pt>
                <c:pt idx="3">
                  <c:v>185</c:v>
                </c:pt>
                <c:pt idx="4">
                  <c:v>185</c:v>
                </c:pt>
                <c:pt idx="5">
                  <c:v>172</c:v>
                </c:pt>
                <c:pt idx="6">
                  <c:v>170</c:v>
                </c:pt>
                <c:pt idx="7">
                  <c:v>178</c:v>
                </c:pt>
                <c:pt idx="8">
                  <c:v>175</c:v>
                </c:pt>
                <c:pt idx="9">
                  <c:v>177</c:v>
                </c:pt>
                <c:pt idx="10">
                  <c:v>179</c:v>
                </c:pt>
                <c:pt idx="11">
                  <c:v>174</c:v>
                </c:pt>
                <c:pt idx="12">
                  <c:v>172</c:v>
                </c:pt>
                <c:pt idx="13">
                  <c:v>173</c:v>
                </c:pt>
                <c:pt idx="14">
                  <c:v>189</c:v>
                </c:pt>
                <c:pt idx="15">
                  <c:v>187</c:v>
                </c:pt>
                <c:pt idx="16">
                  <c:v>174</c:v>
                </c:pt>
                <c:pt idx="17">
                  <c:v>173</c:v>
                </c:pt>
                <c:pt idx="18">
                  <c:v>179</c:v>
                </c:pt>
                <c:pt idx="19">
                  <c:v>175</c:v>
                </c:pt>
                <c:pt idx="20">
                  <c:v>186</c:v>
                </c:pt>
                <c:pt idx="21">
                  <c:v>182</c:v>
                </c:pt>
                <c:pt idx="22">
                  <c:v>191</c:v>
                </c:pt>
                <c:pt idx="23">
                  <c:v>180</c:v>
                </c:pt>
                <c:pt idx="24">
                  <c:v>183</c:v>
                </c:pt>
                <c:pt idx="25">
                  <c:v>182</c:v>
                </c:pt>
                <c:pt idx="26">
                  <c:v>177</c:v>
                </c:pt>
                <c:pt idx="27">
                  <c:v>176</c:v>
                </c:pt>
                <c:pt idx="28">
                  <c:v>169</c:v>
                </c:pt>
                <c:pt idx="29">
                  <c:v>186</c:v>
                </c:pt>
              </c:numCache>
            </c:numRef>
          </c:xVal>
          <c:yVal>
            <c:numRef>
              <c:f>Wielomianowa!$D$2:$D$31</c:f>
              <c:numCache>
                <c:formatCode>General</c:formatCode>
                <c:ptCount val="30"/>
                <c:pt idx="0">
                  <c:v>78.380633959736869</c:v>
                </c:pt>
                <c:pt idx="1">
                  <c:v>78.198096717555984</c:v>
                </c:pt>
                <c:pt idx="2">
                  <c:v>73.527862419543936</c:v>
                </c:pt>
                <c:pt idx="3">
                  <c:v>78.786106226259449</c:v>
                </c:pt>
                <c:pt idx="4">
                  <c:v>78.786106226259449</c:v>
                </c:pt>
                <c:pt idx="5">
                  <c:v>73.939819297208444</c:v>
                </c:pt>
                <c:pt idx="6">
                  <c:v>72.977775429023325</c:v>
                </c:pt>
                <c:pt idx="7">
                  <c:v>75.666068984692345</c:v>
                </c:pt>
                <c:pt idx="8">
                  <c:v>74.783114122576805</c:v>
                </c:pt>
                <c:pt idx="9">
                  <c:v>75.334574670234048</c:v>
                </c:pt>
                <c:pt idx="10">
                  <c:v>76.044982229207108</c:v>
                </c:pt>
                <c:pt idx="11">
                  <c:v>74.53067005410206</c:v>
                </c:pt>
                <c:pt idx="12">
                  <c:v>73.939819297208444</c:v>
                </c:pt>
                <c:pt idx="13">
                  <c:v>74.260689245132156</c:v>
                </c:pt>
                <c:pt idx="14">
                  <c:v>78.861282724717171</c:v>
                </c:pt>
                <c:pt idx="15">
                  <c:v>79.240889696469353</c:v>
                </c:pt>
                <c:pt idx="16">
                  <c:v>74.53067005410206</c:v>
                </c:pt>
                <c:pt idx="17">
                  <c:v>74.260689245132156</c:v>
                </c:pt>
                <c:pt idx="18">
                  <c:v>76.044982229207108</c:v>
                </c:pt>
                <c:pt idx="19">
                  <c:v>74.783114122576805</c:v>
                </c:pt>
                <c:pt idx="20">
                  <c:v>79.089122241663958</c:v>
                </c:pt>
                <c:pt idx="21">
                  <c:v>77.423262949620025</c:v>
                </c:pt>
                <c:pt idx="22">
                  <c:v>77.120038988588504</c:v>
                </c:pt>
                <c:pt idx="23">
                  <c:v>76.470439840595475</c:v>
                </c:pt>
                <c:pt idx="24">
                  <c:v>77.914652359248919</c:v>
                </c:pt>
                <c:pt idx="25">
                  <c:v>77.423262949620025</c:v>
                </c:pt>
                <c:pt idx="26">
                  <c:v>75.334574670234048</c:v>
                </c:pt>
                <c:pt idx="27">
                  <c:v>75.044528456686791</c:v>
                </c:pt>
                <c:pt idx="28">
                  <c:v>72.23566975020303</c:v>
                </c:pt>
                <c:pt idx="29">
                  <c:v>79.089122241663958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A4-463C-85DC-3ED4C9B5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54048"/>
        <c:axId val="417448432"/>
      </c:scatterChart>
      <c:valAx>
        <c:axId val="42005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448432"/>
        <c:crosses val="autoZero"/>
        <c:crossBetween val="midCat"/>
      </c:valAx>
      <c:valAx>
        <c:axId val="4174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005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340995</xdr:colOff>
      <xdr:row>8</xdr:row>
      <xdr:rowOff>33337</xdr:rowOff>
    </xdr:from>
    <xdr:to>
      <xdr:col>19</xdr:col>
      <xdr:colOff>36195</xdr:colOff>
      <xdr:row>22</xdr:row>
      <xdr:rowOff>101917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4C0454D-9CA6-464B-AAFF-581B6891D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16</xdr:row>
      <xdr:rowOff>66675</xdr:rowOff>
    </xdr:from>
    <xdr:to>
      <xdr:col>12</xdr:col>
      <xdr:colOff>365760</xdr:colOff>
      <xdr:row>30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F9027C-79B4-4397-A56A-D3342105D2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activeCell="I19" sqref="I1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G1" t="s">
        <v>14</v>
      </c>
      <c r="N1" t="s">
        <v>15</v>
      </c>
    </row>
    <row r="2" spans="1:16" x14ac:dyDescent="0.3">
      <c r="A2">
        <v>172</v>
      </c>
      <c r="B2">
        <v>184</v>
      </c>
      <c r="C2">
        <v>79</v>
      </c>
      <c r="D2">
        <f t="shared" ref="D2:D31" si="0">$H$3*B2+$H$4</f>
        <v>77.631838727252727</v>
      </c>
      <c r="E2">
        <f>C2-D2</f>
        <v>1.3681612727472725</v>
      </c>
    </row>
    <row r="3" spans="1:16" x14ac:dyDescent="0.3">
      <c r="A3">
        <v>168</v>
      </c>
      <c r="B3">
        <v>190</v>
      </c>
      <c r="C3">
        <v>80</v>
      </c>
      <c r="D3">
        <f t="shared" si="0"/>
        <v>79.479281532868498</v>
      </c>
      <c r="E3">
        <f t="shared" ref="E3:E31" si="1">C3-D3</f>
        <v>0.52071846713150194</v>
      </c>
      <c r="G3" t="s">
        <v>3</v>
      </c>
      <c r="H3">
        <v>0.30790713426929278</v>
      </c>
      <c r="N3" t="s">
        <v>3</v>
      </c>
      <c r="O3">
        <f>_xlfn.COVARIANCE.S(C:C,B:B)/_xlfn.VAR.S(B:B)</f>
        <v>0.30803317804794922</v>
      </c>
    </row>
    <row r="4" spans="1:16" x14ac:dyDescent="0.3">
      <c r="A4">
        <v>170</v>
      </c>
      <c r="B4">
        <v>171</v>
      </c>
      <c r="C4">
        <v>75</v>
      </c>
      <c r="D4">
        <f t="shared" si="0"/>
        <v>73.629045981751929</v>
      </c>
      <c r="E4">
        <f t="shared" si="1"/>
        <v>1.3709540182480708</v>
      </c>
      <c r="G4" t="s">
        <v>4</v>
      </c>
      <c r="H4">
        <v>20.976926021702866</v>
      </c>
      <c r="N4" t="s">
        <v>4</v>
      </c>
      <c r="O4">
        <f>AVERAGE(C:C)-$O$3*AVERAGE(B:B)</f>
        <v>20.954323372344042</v>
      </c>
    </row>
    <row r="5" spans="1:16" x14ac:dyDescent="0.3">
      <c r="A5">
        <v>170</v>
      </c>
      <c r="B5">
        <v>185</v>
      </c>
      <c r="C5">
        <v>78</v>
      </c>
      <c r="D5">
        <f t="shared" si="0"/>
        <v>77.939745861522027</v>
      </c>
      <c r="E5">
        <f t="shared" si="1"/>
        <v>6.0254138477972674E-2</v>
      </c>
      <c r="N5" t="s">
        <v>5</v>
      </c>
      <c r="O5">
        <f>CORREL(C:C,B:B)</f>
        <v>0.76258153849066501</v>
      </c>
      <c r="P5">
        <f>CORREL(B:B,C:C)</f>
        <v>0.76258153849066501</v>
      </c>
    </row>
    <row r="6" spans="1:16" x14ac:dyDescent="0.3">
      <c r="A6">
        <v>173</v>
      </c>
      <c r="B6">
        <v>185</v>
      </c>
      <c r="C6">
        <v>81</v>
      </c>
      <c r="D6">
        <f t="shared" si="0"/>
        <v>77.939745861522027</v>
      </c>
      <c r="E6">
        <f t="shared" si="1"/>
        <v>3.0602541384779727</v>
      </c>
      <c r="G6" t="s">
        <v>9</v>
      </c>
      <c r="H6">
        <f>SUMSQ(E:E)</f>
        <v>80.122959235129912</v>
      </c>
      <c r="N6" t="s">
        <v>6</v>
      </c>
      <c r="O6">
        <f>(_xlfn.COVARIANCE.S(C:C,B:B))^2/_xlfn.VAR.S(C:C)/_xlfn.VAR.S(B:B)</f>
        <v>0.5815306028467897</v>
      </c>
    </row>
    <row r="7" spans="1:16" x14ac:dyDescent="0.3">
      <c r="A7">
        <v>162</v>
      </c>
      <c r="B7">
        <v>172</v>
      </c>
      <c r="C7">
        <v>73</v>
      </c>
      <c r="D7">
        <f t="shared" si="0"/>
        <v>73.936953116021215</v>
      </c>
      <c r="E7">
        <f t="shared" si="1"/>
        <v>-0.93695311602121478</v>
      </c>
      <c r="G7" t="s">
        <v>11</v>
      </c>
      <c r="H7">
        <f t="array" ref="H7">SUM((D2:D31-$I$10)^2)</f>
        <v>111.25262348558711</v>
      </c>
      <c r="I7" t="s">
        <v>21</v>
      </c>
    </row>
    <row r="8" spans="1:16" x14ac:dyDescent="0.3">
      <c r="A8">
        <v>159</v>
      </c>
      <c r="B8">
        <v>170</v>
      </c>
      <c r="C8">
        <v>72</v>
      </c>
      <c r="D8">
        <f t="shared" si="0"/>
        <v>73.321138847482644</v>
      </c>
      <c r="E8">
        <f t="shared" si="1"/>
        <v>-1.3211388474826435</v>
      </c>
      <c r="G8" t="s">
        <v>10</v>
      </c>
      <c r="H8">
        <f t="array" ref="H8">SUM((C2:C31-I10)^2)</f>
        <v>191.46666668395693</v>
      </c>
      <c r="I8">
        <f>SUM(H6:H7)</f>
        <v>191.37558272071703</v>
      </c>
    </row>
    <row r="9" spans="1:16" x14ac:dyDescent="0.3">
      <c r="A9">
        <v>164</v>
      </c>
      <c r="B9">
        <v>178</v>
      </c>
      <c r="C9">
        <v>75</v>
      </c>
      <c r="D9">
        <f t="shared" si="0"/>
        <v>75.784395921636985</v>
      </c>
      <c r="E9">
        <f t="shared" si="1"/>
        <v>-0.78439592163698535</v>
      </c>
    </row>
    <row r="10" spans="1:16" x14ac:dyDescent="0.3">
      <c r="A10">
        <v>169</v>
      </c>
      <c r="B10">
        <v>175</v>
      </c>
      <c r="C10">
        <v>76</v>
      </c>
      <c r="D10">
        <f t="shared" si="0"/>
        <v>74.8606745188291</v>
      </c>
      <c r="E10">
        <f t="shared" si="1"/>
        <v>1.1393254811708999</v>
      </c>
      <c r="G10" t="s">
        <v>12</v>
      </c>
      <c r="H10">
        <f>AVERAGE(C:C)</f>
        <v>76.13333333333334</v>
      </c>
      <c r="I10">
        <f>AVERAGE(D:D)</f>
        <v>76.133357340475513</v>
      </c>
      <c r="J10">
        <f>AVERAGE(E:E)</f>
        <v>-2.4007142177614089E-5</v>
      </c>
    </row>
    <row r="11" spans="1:16" x14ac:dyDescent="0.3">
      <c r="A11">
        <v>167</v>
      </c>
      <c r="B11">
        <v>177</v>
      </c>
      <c r="C11">
        <v>75</v>
      </c>
      <c r="D11">
        <f t="shared" si="0"/>
        <v>75.476488787367686</v>
      </c>
      <c r="E11">
        <f t="shared" si="1"/>
        <v>-0.47648878736768552</v>
      </c>
    </row>
    <row r="12" spans="1:16" x14ac:dyDescent="0.3">
      <c r="A12">
        <v>177</v>
      </c>
      <c r="B12">
        <v>179</v>
      </c>
      <c r="C12">
        <v>79</v>
      </c>
      <c r="D12">
        <f t="shared" si="0"/>
        <v>76.092303055906271</v>
      </c>
      <c r="E12">
        <f t="shared" si="1"/>
        <v>2.907696944093729</v>
      </c>
      <c r="G12" t="s">
        <v>6</v>
      </c>
      <c r="H12">
        <f>H7/H8</f>
        <v>0.58105478834718238</v>
      </c>
      <c r="I12">
        <f>(1-H6/H8)</f>
        <v>0.58153050542534235</v>
      </c>
    </row>
    <row r="13" spans="1:16" x14ac:dyDescent="0.3">
      <c r="A13">
        <v>172</v>
      </c>
      <c r="B13">
        <v>174</v>
      </c>
      <c r="C13">
        <v>76</v>
      </c>
      <c r="D13">
        <f t="shared" si="0"/>
        <v>74.552767384559814</v>
      </c>
      <c r="E13">
        <f t="shared" si="1"/>
        <v>1.4472326154401856</v>
      </c>
    </row>
    <row r="14" spans="1:16" x14ac:dyDescent="0.3">
      <c r="A14">
        <v>159</v>
      </c>
      <c r="B14">
        <v>172</v>
      </c>
      <c r="C14">
        <v>72</v>
      </c>
      <c r="D14">
        <f t="shared" si="0"/>
        <v>73.936953116021215</v>
      </c>
      <c r="E14">
        <f t="shared" si="1"/>
        <v>-1.9369531160212148</v>
      </c>
    </row>
    <row r="15" spans="1:16" x14ac:dyDescent="0.3">
      <c r="A15">
        <v>160</v>
      </c>
      <c r="B15">
        <v>173</v>
      </c>
      <c r="C15">
        <v>72</v>
      </c>
      <c r="D15">
        <f t="shared" si="0"/>
        <v>74.244860250290515</v>
      </c>
      <c r="E15">
        <f t="shared" si="1"/>
        <v>-2.2448602502905146</v>
      </c>
    </row>
    <row r="16" spans="1:16" x14ac:dyDescent="0.3">
      <c r="A16">
        <v>168</v>
      </c>
      <c r="B16">
        <v>189</v>
      </c>
      <c r="C16">
        <v>79</v>
      </c>
      <c r="D16">
        <f t="shared" si="0"/>
        <v>79.171374398599198</v>
      </c>
      <c r="E16">
        <f t="shared" si="1"/>
        <v>-0.17137439859919823</v>
      </c>
    </row>
    <row r="17" spans="1:5" x14ac:dyDescent="0.3">
      <c r="A17">
        <v>166</v>
      </c>
      <c r="B17">
        <v>187</v>
      </c>
      <c r="C17">
        <v>77</v>
      </c>
      <c r="D17">
        <f t="shared" si="0"/>
        <v>78.555560130060613</v>
      </c>
      <c r="E17">
        <f t="shared" si="1"/>
        <v>-1.5555601300606128</v>
      </c>
    </row>
    <row r="18" spans="1:5" x14ac:dyDescent="0.3">
      <c r="A18">
        <v>172</v>
      </c>
      <c r="B18">
        <v>174</v>
      </c>
      <c r="C18">
        <v>77</v>
      </c>
      <c r="D18">
        <f t="shared" si="0"/>
        <v>74.552767384559814</v>
      </c>
      <c r="E18">
        <f t="shared" si="1"/>
        <v>2.4472326154401856</v>
      </c>
    </row>
    <row r="19" spans="1:5" x14ac:dyDescent="0.3">
      <c r="A19">
        <v>164</v>
      </c>
      <c r="B19">
        <v>173</v>
      </c>
      <c r="C19">
        <v>75</v>
      </c>
      <c r="D19">
        <f t="shared" si="0"/>
        <v>74.244860250290515</v>
      </c>
      <c r="E19">
        <f t="shared" si="1"/>
        <v>0.75513974970948539</v>
      </c>
    </row>
    <row r="20" spans="1:5" x14ac:dyDescent="0.3">
      <c r="A20">
        <v>171</v>
      </c>
      <c r="B20">
        <v>179</v>
      </c>
      <c r="C20">
        <v>76</v>
      </c>
      <c r="D20">
        <f t="shared" si="0"/>
        <v>76.092303055906271</v>
      </c>
      <c r="E20">
        <f t="shared" si="1"/>
        <v>-9.230305590627097E-2</v>
      </c>
    </row>
    <row r="21" spans="1:5" x14ac:dyDescent="0.3">
      <c r="A21">
        <v>161</v>
      </c>
      <c r="B21">
        <v>175</v>
      </c>
      <c r="C21">
        <v>75</v>
      </c>
      <c r="D21">
        <f t="shared" si="0"/>
        <v>74.8606745188291</v>
      </c>
      <c r="E21">
        <f t="shared" si="1"/>
        <v>0.13932548117089993</v>
      </c>
    </row>
    <row r="22" spans="1:5" x14ac:dyDescent="0.3">
      <c r="A22">
        <v>172</v>
      </c>
      <c r="B22">
        <v>186</v>
      </c>
      <c r="C22">
        <v>80</v>
      </c>
      <c r="D22">
        <f t="shared" si="0"/>
        <v>78.247652995791327</v>
      </c>
      <c r="E22">
        <f t="shared" si="1"/>
        <v>1.7523470042086728</v>
      </c>
    </row>
    <row r="23" spans="1:5" x14ac:dyDescent="0.3">
      <c r="A23">
        <v>166</v>
      </c>
      <c r="B23">
        <v>182</v>
      </c>
      <c r="C23">
        <v>76</v>
      </c>
      <c r="D23">
        <f t="shared" si="0"/>
        <v>77.016024458714156</v>
      </c>
      <c r="E23">
        <f t="shared" si="1"/>
        <v>-1.0160244587141563</v>
      </c>
    </row>
    <row r="24" spans="1:5" x14ac:dyDescent="0.3">
      <c r="A24">
        <v>156</v>
      </c>
      <c r="B24">
        <v>191</v>
      </c>
      <c r="C24">
        <v>76</v>
      </c>
      <c r="D24">
        <f t="shared" si="0"/>
        <v>79.787188667137784</v>
      </c>
      <c r="E24">
        <f t="shared" si="1"/>
        <v>-3.7871886671377837</v>
      </c>
    </row>
    <row r="25" spans="1:5" x14ac:dyDescent="0.3">
      <c r="A25">
        <v>172</v>
      </c>
      <c r="B25">
        <v>180</v>
      </c>
      <c r="C25">
        <v>78</v>
      </c>
      <c r="D25">
        <f t="shared" si="0"/>
        <v>76.400210190175557</v>
      </c>
      <c r="E25">
        <f t="shared" si="1"/>
        <v>1.5997898098244434</v>
      </c>
    </row>
    <row r="26" spans="1:5" x14ac:dyDescent="0.3">
      <c r="A26">
        <v>170</v>
      </c>
      <c r="B26">
        <v>183</v>
      </c>
      <c r="C26">
        <v>78</v>
      </c>
      <c r="D26">
        <f t="shared" si="0"/>
        <v>77.323931592983442</v>
      </c>
      <c r="E26">
        <f t="shared" si="1"/>
        <v>0.67606840701655813</v>
      </c>
    </row>
    <row r="27" spans="1:5" x14ac:dyDescent="0.3">
      <c r="A27">
        <v>157</v>
      </c>
      <c r="B27">
        <v>182</v>
      </c>
      <c r="C27">
        <v>75</v>
      </c>
      <c r="D27">
        <f t="shared" si="0"/>
        <v>77.016024458714156</v>
      </c>
      <c r="E27">
        <f t="shared" si="1"/>
        <v>-2.0160244587141563</v>
      </c>
    </row>
    <row r="28" spans="1:5" x14ac:dyDescent="0.3">
      <c r="A28">
        <v>159</v>
      </c>
      <c r="B28">
        <v>177</v>
      </c>
      <c r="C28">
        <v>73</v>
      </c>
      <c r="D28">
        <f t="shared" si="0"/>
        <v>75.476488787367686</v>
      </c>
      <c r="E28">
        <f t="shared" si="1"/>
        <v>-2.4764887873676855</v>
      </c>
    </row>
    <row r="29" spans="1:5" x14ac:dyDescent="0.3">
      <c r="A29">
        <v>163</v>
      </c>
      <c r="B29">
        <v>176</v>
      </c>
      <c r="C29">
        <v>74</v>
      </c>
      <c r="D29">
        <f t="shared" si="0"/>
        <v>75.168581653098386</v>
      </c>
      <c r="E29">
        <f t="shared" si="1"/>
        <v>-1.1685816530983857</v>
      </c>
    </row>
    <row r="30" spans="1:5" x14ac:dyDescent="0.3">
      <c r="A30">
        <v>164</v>
      </c>
      <c r="B30">
        <v>169</v>
      </c>
      <c r="C30">
        <v>73</v>
      </c>
      <c r="D30">
        <f t="shared" si="0"/>
        <v>73.013231713213344</v>
      </c>
      <c r="E30">
        <f t="shared" si="1"/>
        <v>-1.323171321334371E-2</v>
      </c>
    </row>
    <row r="31" spans="1:5" x14ac:dyDescent="0.3">
      <c r="A31">
        <v>171</v>
      </c>
      <c r="B31">
        <v>186</v>
      </c>
      <c r="C31">
        <v>79</v>
      </c>
      <c r="D31">
        <f t="shared" si="0"/>
        <v>78.247652995791327</v>
      </c>
      <c r="E31">
        <f t="shared" si="1"/>
        <v>0.75234700420867284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topLeftCell="U1" workbookViewId="0">
      <selection activeCell="AB12" sqref="AB12"/>
    </sheetView>
  </sheetViews>
  <sheetFormatPr defaultRowHeight="14.4" x14ac:dyDescent="0.3"/>
  <cols>
    <col min="4" max="4" width="9.88671875" bestFit="1" customWidth="1"/>
    <col min="20" max="20" width="9.77734375" customWidth="1"/>
    <col min="23" max="23" width="11.6640625" bestFit="1" customWidth="1"/>
    <col min="26" max="26" width="10.33203125" customWidth="1"/>
    <col min="28" max="28" width="12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G1" t="s">
        <v>14</v>
      </c>
      <c r="N1" t="s">
        <v>0</v>
      </c>
      <c r="O1" t="s">
        <v>1</v>
      </c>
      <c r="P1" t="s">
        <v>39</v>
      </c>
      <c r="Q1" t="s">
        <v>40</v>
      </c>
      <c r="R1" t="s">
        <v>2</v>
      </c>
      <c r="S1" t="s">
        <v>7</v>
      </c>
      <c r="T1" t="s">
        <v>8</v>
      </c>
      <c r="V1" t="s">
        <v>15</v>
      </c>
      <c r="Z1" cm="1">
        <f t="array" ref="Z1:AC5">LINEST(R2:R31,O2:Q31,TRUE,TRUE)</f>
        <v>-1.8014148563413822E-3</v>
      </c>
      <c r="AA1">
        <v>0.96060023538272932</v>
      </c>
      <c r="AB1">
        <v>-170.28355473265196</v>
      </c>
      <c r="AC1">
        <v>10110.35559034882</v>
      </c>
      <c r="AD1" t="s">
        <v>44</v>
      </c>
    </row>
    <row r="2" spans="1:31" x14ac:dyDescent="0.3">
      <c r="A2">
        <v>172</v>
      </c>
      <c r="B2">
        <v>184</v>
      </c>
      <c r="C2">
        <v>79</v>
      </c>
      <c r="D2">
        <f t="shared" ref="D2:D31" si="0">$H$3*(B2-x)^4+$H$4*(B2-x)^3+$H$5*(B2-x)^2+$H$6*(B2-x)+$H$7</f>
        <v>78.380633959736869</v>
      </c>
      <c r="E2">
        <f>C2-D2</f>
        <v>0.61936604026313091</v>
      </c>
      <c r="N2">
        <v>172</v>
      </c>
      <c r="O2">
        <v>184</v>
      </c>
      <c r="P2">
        <f>$O2^2</f>
        <v>33856</v>
      </c>
      <c r="Q2">
        <f>$O2^3</f>
        <v>6229504</v>
      </c>
      <c r="R2">
        <v>79</v>
      </c>
      <c r="S2">
        <f>$W$3*Q2+$W$4*P2+O2*$W$5+$W$6</f>
        <v>78.34203542047544</v>
      </c>
      <c r="T2">
        <f>R2-S2</f>
        <v>0.65796457952455967</v>
      </c>
      <c r="Z2">
        <v>1.3317955557351096E-3</v>
      </c>
      <c r="AA2">
        <v>0.71915785634538643</v>
      </c>
      <c r="AB2">
        <v>129.36713304445004</v>
      </c>
      <c r="AC2">
        <v>7752.4174378813332</v>
      </c>
    </row>
    <row r="3" spans="1:31" x14ac:dyDescent="0.3">
      <c r="A3">
        <v>168</v>
      </c>
      <c r="B3">
        <v>190</v>
      </c>
      <c r="C3">
        <v>80</v>
      </c>
      <c r="D3">
        <f t="shared" si="0"/>
        <v>78.198096717555984</v>
      </c>
      <c r="E3">
        <f t="shared" ref="E3:E31" si="1">C3-D3</f>
        <v>1.801903282444016</v>
      </c>
      <c r="G3" t="s">
        <v>3</v>
      </c>
      <c r="H3">
        <v>-2.8522468034619008E-4</v>
      </c>
      <c r="N3">
        <v>168</v>
      </c>
      <c r="O3">
        <v>190</v>
      </c>
      <c r="P3">
        <f t="shared" ref="P3:P31" si="2">$O3^2</f>
        <v>36100</v>
      </c>
      <c r="Q3">
        <f t="shared" ref="Q3:Q31" si="3">$O3^3</f>
        <v>6859000</v>
      </c>
      <c r="R3">
        <v>80</v>
      </c>
      <c r="S3">
        <f t="shared" ref="S3:S31" si="4">$W$3*Q3+$W$4*P3+O3*$W$5+$W$6</f>
        <v>78.244188815930102</v>
      </c>
      <c r="T3">
        <f t="shared" ref="T3:T31" si="5">R3-S3</f>
        <v>1.7558111840698984</v>
      </c>
      <c r="V3" t="s">
        <v>3</v>
      </c>
      <c r="W3">
        <f t="array" ref="W3:W6">TRANSPOSE(Z1:AC1)</f>
        <v>-1.8014148563413822E-3</v>
      </c>
      <c r="Z3">
        <v>0.63646848431722491</v>
      </c>
      <c r="AA3">
        <v>1.6361795032243913</v>
      </c>
      <c r="AB3" t="e">
        <v>#N/A</v>
      </c>
      <c r="AC3" t="e">
        <v>#N/A</v>
      </c>
    </row>
    <row r="4" spans="1:31" x14ac:dyDescent="0.3">
      <c r="A4">
        <v>170</v>
      </c>
      <c r="B4">
        <v>171</v>
      </c>
      <c r="C4">
        <v>75</v>
      </c>
      <c r="D4">
        <f t="shared" si="0"/>
        <v>73.527862419543936</v>
      </c>
      <c r="E4">
        <f t="shared" si="1"/>
        <v>1.4721375804560637</v>
      </c>
      <c r="G4" t="s">
        <v>4</v>
      </c>
      <c r="H4">
        <v>-8.6832972068828632E-4</v>
      </c>
      <c r="N4">
        <v>170</v>
      </c>
      <c r="O4">
        <v>171</v>
      </c>
      <c r="P4">
        <f t="shared" si="2"/>
        <v>29241</v>
      </c>
      <c r="Q4">
        <f t="shared" si="3"/>
        <v>5000211</v>
      </c>
      <c r="R4">
        <v>75</v>
      </c>
      <c r="S4">
        <f t="shared" si="4"/>
        <v>73.324833650123765</v>
      </c>
      <c r="T4">
        <f t="shared" si="5"/>
        <v>1.6751663498762355</v>
      </c>
      <c r="V4" t="s">
        <v>4</v>
      </c>
      <c r="W4">
        <v>0.96060023538272932</v>
      </c>
      <c r="Z4">
        <v>15.173540558253482</v>
      </c>
      <c r="AA4">
        <v>26</v>
      </c>
      <c r="AB4" t="e">
        <v>#N/A</v>
      </c>
      <c r="AC4" t="e">
        <v>#N/A</v>
      </c>
    </row>
    <row r="5" spans="1:31" x14ac:dyDescent="0.3">
      <c r="A5">
        <v>170</v>
      </c>
      <c r="B5">
        <v>185</v>
      </c>
      <c r="C5">
        <v>78</v>
      </c>
      <c r="D5">
        <f t="shared" si="0"/>
        <v>78.786106226259449</v>
      </c>
      <c r="E5">
        <f t="shared" si="1"/>
        <v>-0.7861062262594487</v>
      </c>
      <c r="G5" t="s">
        <v>16</v>
      </c>
      <c r="H5">
        <v>2.3240500194777226E-2</v>
      </c>
      <c r="N5">
        <v>170</v>
      </c>
      <c r="O5">
        <v>185</v>
      </c>
      <c r="P5">
        <f t="shared" si="2"/>
        <v>34225</v>
      </c>
      <c r="Q5">
        <f t="shared" si="3"/>
        <v>6331625</v>
      </c>
      <c r="R5">
        <v>78</v>
      </c>
      <c r="S5">
        <f t="shared" si="4"/>
        <v>78.557680999612785</v>
      </c>
      <c r="T5">
        <f t="shared" si="5"/>
        <v>-0.55768099961278494</v>
      </c>
      <c r="V5" t="s">
        <v>16</v>
      </c>
      <c r="W5">
        <v>-170.28355473265196</v>
      </c>
      <c r="Z5">
        <v>121.86249913060469</v>
      </c>
      <c r="AA5">
        <v>69.604167536062008</v>
      </c>
      <c r="AB5" t="e">
        <v>#N/A</v>
      </c>
      <c r="AC5" t="e">
        <v>#N/A</v>
      </c>
    </row>
    <row r="6" spans="1:31" x14ac:dyDescent="0.3">
      <c r="A6">
        <v>173</v>
      </c>
      <c r="B6">
        <v>185</v>
      </c>
      <c r="C6">
        <v>81</v>
      </c>
      <c r="D6">
        <f t="shared" si="0"/>
        <v>78.786106226259449</v>
      </c>
      <c r="E6">
        <f t="shared" si="1"/>
        <v>2.2138937737405513</v>
      </c>
      <c r="G6" t="s">
        <v>17</v>
      </c>
      <c r="H6">
        <v>0.40914271112725836</v>
      </c>
      <c r="N6">
        <v>173</v>
      </c>
      <c r="O6">
        <v>185</v>
      </c>
      <c r="P6">
        <f t="shared" si="2"/>
        <v>34225</v>
      </c>
      <c r="Q6">
        <f t="shared" si="3"/>
        <v>6331625</v>
      </c>
      <c r="R6">
        <v>81</v>
      </c>
      <c r="S6">
        <f t="shared" si="4"/>
        <v>78.557680999612785</v>
      </c>
      <c r="T6">
        <f t="shared" si="5"/>
        <v>2.4423190003872151</v>
      </c>
      <c r="V6" t="s">
        <v>17</v>
      </c>
      <c r="W6">
        <v>10110.35559034882</v>
      </c>
      <c r="Y6" t="s">
        <v>42</v>
      </c>
      <c r="Z6">
        <f>Z1/Z2</f>
        <v>-1.352621165151026</v>
      </c>
      <c r="AA6">
        <f t="shared" ref="AA6:AB6" si="6">AA1/AA2</f>
        <v>1.335729321326341</v>
      </c>
      <c r="AB6">
        <f t="shared" si="6"/>
        <v>-1.3162814288706792</v>
      </c>
      <c r="AC6">
        <f>AC1/AC2</f>
        <v>1.3041552098247033</v>
      </c>
      <c r="AE6" t="s">
        <v>33</v>
      </c>
    </row>
    <row r="7" spans="1:31" x14ac:dyDescent="0.3">
      <c r="A7">
        <v>162</v>
      </c>
      <c r="B7">
        <v>172</v>
      </c>
      <c r="C7">
        <v>73</v>
      </c>
      <c r="D7">
        <f t="shared" si="0"/>
        <v>73.939819297208444</v>
      </c>
      <c r="E7">
        <f t="shared" si="1"/>
        <v>-0.93981929720844448</v>
      </c>
      <c r="G7" t="s">
        <v>18</v>
      </c>
      <c r="H7">
        <v>76.099119458124875</v>
      </c>
      <c r="N7">
        <v>162</v>
      </c>
      <c r="O7">
        <v>172</v>
      </c>
      <c r="P7">
        <f t="shared" si="2"/>
        <v>29584</v>
      </c>
      <c r="Q7">
        <f t="shared" si="3"/>
        <v>5088448</v>
      </c>
      <c r="R7">
        <v>73</v>
      </c>
      <c r="S7">
        <f t="shared" si="4"/>
        <v>73.57571697475214</v>
      </c>
      <c r="T7">
        <f t="shared" si="5"/>
        <v>-0.57571697475214023</v>
      </c>
      <c r="Y7" t="s">
        <v>36</v>
      </c>
      <c r="Z7">
        <f>_xlfn.T.DIST.2T(ABS(Z6),$AA$4)</f>
        <v>0.18782394268504518</v>
      </c>
      <c r="AA7">
        <f t="shared" ref="AA7:AC7" si="7">_xlfn.T.DIST.2T(ABS(AA6),$AA$4)</f>
        <v>0.19321342060382185</v>
      </c>
      <c r="AB7">
        <f t="shared" si="7"/>
        <v>0.19956646475083342</v>
      </c>
      <c r="AC7">
        <f t="shared" si="7"/>
        <v>0.20360876184269211</v>
      </c>
      <c r="AE7">
        <v>0.05</v>
      </c>
    </row>
    <row r="8" spans="1:31" x14ac:dyDescent="0.3">
      <c r="A8">
        <v>159</v>
      </c>
      <c r="B8">
        <v>170</v>
      </c>
      <c r="C8">
        <v>72</v>
      </c>
      <c r="D8">
        <f t="shared" si="0"/>
        <v>72.977775429023325</v>
      </c>
      <c r="E8">
        <f t="shared" si="1"/>
        <v>-0.9777754290233247</v>
      </c>
      <c r="N8">
        <v>159</v>
      </c>
      <c r="O8">
        <v>170</v>
      </c>
      <c r="P8">
        <f t="shared" si="2"/>
        <v>28900</v>
      </c>
      <c r="Q8">
        <f t="shared" si="3"/>
        <v>4913000</v>
      </c>
      <c r="R8">
        <v>72</v>
      </c>
      <c r="S8">
        <f t="shared" si="4"/>
        <v>73.146899153656705</v>
      </c>
      <c r="T8">
        <f t="shared" si="5"/>
        <v>-1.1468991536567046</v>
      </c>
      <c r="Z8" t="e">
        <f>IF(Z7&gt;#REF!,"Nie ma podstaw do odrzucenia hipotezy","Odrzucamy hipotezę")</f>
        <v>#REF!</v>
      </c>
      <c r="AA8" t="str">
        <f>IF(AA7&gt;AE7,"Nie ma podstaw do odrzucenia hipotezy","Odrzucamy hipotezę")</f>
        <v>Nie ma podstaw do odrzucenia hipotezy</v>
      </c>
      <c r="AB8" t="str">
        <f>IF(AB7&gt;AG7,"Nie ma podstaw do odrzucenia hipotezy","Odrzucamy hipotezę:) hipotezę")</f>
        <v>Nie ma podstaw do odrzucenia hipotezy</v>
      </c>
      <c r="AC8" t="str">
        <f t="shared" ref="AC8" si="8">IF(AC7&gt;AH7,"Nie ma podstaw do odrzucenia hipotezy","Odrzucamy hipotezę")</f>
        <v>Nie ma podstaw do odrzucenia hipotezy</v>
      </c>
    </row>
    <row r="9" spans="1:31" x14ac:dyDescent="0.3">
      <c r="A9">
        <v>164</v>
      </c>
      <c r="B9">
        <v>178</v>
      </c>
      <c r="C9">
        <v>75</v>
      </c>
      <c r="D9">
        <f t="shared" si="0"/>
        <v>75.666068984692345</v>
      </c>
      <c r="E9">
        <f t="shared" si="1"/>
        <v>-0.66606898469234466</v>
      </c>
      <c r="G9" t="s">
        <v>9</v>
      </c>
      <c r="H9">
        <f>SUMSQ(E:E)</f>
        <v>66.153716893537108</v>
      </c>
      <c r="I9" t="s">
        <v>20</v>
      </c>
      <c r="N9">
        <v>164</v>
      </c>
      <c r="O9">
        <v>178</v>
      </c>
      <c r="P9">
        <f t="shared" si="2"/>
        <v>31684</v>
      </c>
      <c r="Q9">
        <f t="shared" si="3"/>
        <v>5639752</v>
      </c>
      <c r="R9">
        <v>75</v>
      </c>
      <c r="S9">
        <f t="shared" si="4"/>
        <v>76.007666922141652</v>
      </c>
      <c r="T9">
        <f t="shared" si="5"/>
        <v>-1.0076669221416523</v>
      </c>
      <c r="V9" t="s">
        <v>9</v>
      </c>
      <c r="W9">
        <f>SUMSQ(T:T)</f>
        <v>69.604167536096796</v>
      </c>
      <c r="X9" t="s">
        <v>20</v>
      </c>
    </row>
    <row r="10" spans="1:31" x14ac:dyDescent="0.3">
      <c r="A10">
        <v>169</v>
      </c>
      <c r="B10">
        <v>175</v>
      </c>
      <c r="C10">
        <v>76</v>
      </c>
      <c r="D10">
        <f t="shared" si="0"/>
        <v>74.783114122576805</v>
      </c>
      <c r="E10">
        <f t="shared" si="1"/>
        <v>1.216885877423195</v>
      </c>
      <c r="G10" t="s">
        <v>11</v>
      </c>
      <c r="H10">
        <f t="array" ref="H10">SUM((D2:D31-$I$13)^2)</f>
        <v>125.60127551626114</v>
      </c>
      <c r="I10" t="s">
        <v>13</v>
      </c>
      <c r="N10">
        <v>169</v>
      </c>
      <c r="O10">
        <v>175</v>
      </c>
      <c r="P10">
        <f t="shared" si="2"/>
        <v>30625</v>
      </c>
      <c r="Q10">
        <f t="shared" si="3"/>
        <v>5359375</v>
      </c>
      <c r="R10">
        <v>76</v>
      </c>
      <c r="S10">
        <f t="shared" si="4"/>
        <v>74.657975026213535</v>
      </c>
      <c r="T10">
        <f t="shared" si="5"/>
        <v>1.3420249737864651</v>
      </c>
      <c r="V10" t="s">
        <v>11</v>
      </c>
      <c r="W10">
        <f t="array" ref="W10">SUM((S2:S31-$I$13)^2)</f>
        <v>121.8625161881083</v>
      </c>
      <c r="X10" t="s">
        <v>13</v>
      </c>
      <c r="Z10" t="s">
        <v>43</v>
      </c>
      <c r="AA10">
        <f>Z4</f>
        <v>15.173540558253482</v>
      </c>
      <c r="AB10">
        <f>_xlfn.F.DIST.RT(AA10,4,AA4)</f>
        <v>1.6038360698294836E-6</v>
      </c>
    </row>
    <row r="11" spans="1:31" x14ac:dyDescent="0.3">
      <c r="A11">
        <v>167</v>
      </c>
      <c r="B11">
        <v>177</v>
      </c>
      <c r="C11">
        <v>75</v>
      </c>
      <c r="D11">
        <f t="shared" si="0"/>
        <v>75.334574670234048</v>
      </c>
      <c r="E11">
        <f t="shared" si="1"/>
        <v>-0.33457467023404774</v>
      </c>
      <c r="G11" t="s">
        <v>10</v>
      </c>
      <c r="H11">
        <f t="array" ref="H11">SUM((C2:C31-I13)^2)</f>
        <v>191.46668372425663</v>
      </c>
      <c r="I11">
        <f>SUM(H9:H10)</f>
        <v>191.75499240979826</v>
      </c>
      <c r="N11">
        <v>167</v>
      </c>
      <c r="O11">
        <v>177</v>
      </c>
      <c r="P11">
        <f t="shared" si="2"/>
        <v>31329</v>
      </c>
      <c r="Q11">
        <f t="shared" si="3"/>
        <v>5545233</v>
      </c>
      <c r="R11">
        <v>75</v>
      </c>
      <c r="S11">
        <f t="shared" si="4"/>
        <v>75.546068900457612</v>
      </c>
      <c r="T11">
        <f t="shared" si="5"/>
        <v>-0.54606890045761247</v>
      </c>
      <c r="V11" t="s">
        <v>10</v>
      </c>
      <c r="W11">
        <f t="array" ref="W11">SUM((R2:R31-X13)^2)</f>
        <v>191.46666666666681</v>
      </c>
      <c r="X11">
        <f>SUM(W9:W10)</f>
        <v>191.4666837242051</v>
      </c>
      <c r="AA11">
        <f>W10/4/(W9/AA4)</f>
        <v>11.38015701160303</v>
      </c>
    </row>
    <row r="12" spans="1:31" x14ac:dyDescent="0.3">
      <c r="A12">
        <v>177</v>
      </c>
      <c r="B12">
        <v>179</v>
      </c>
      <c r="C12">
        <v>79</v>
      </c>
      <c r="D12">
        <f t="shared" si="0"/>
        <v>76.044982229207108</v>
      </c>
      <c r="E12">
        <f t="shared" si="1"/>
        <v>2.9550177707928924</v>
      </c>
      <c r="N12">
        <v>177</v>
      </c>
      <c r="O12">
        <v>179</v>
      </c>
      <c r="P12">
        <f t="shared" si="2"/>
        <v>32041</v>
      </c>
      <c r="Q12">
        <f t="shared" si="3"/>
        <v>5735339</v>
      </c>
      <c r="R12">
        <v>79</v>
      </c>
      <c r="S12">
        <f t="shared" si="4"/>
        <v>76.466554348022328</v>
      </c>
      <c r="T12">
        <f t="shared" si="5"/>
        <v>2.5334456519776722</v>
      </c>
      <c r="AB12" t="str">
        <f>IF(AB10&gt;AE7,"Nie ma podstaw do odrzucenia hipotezy","Odrzucamy")</f>
        <v>Odrzucamy</v>
      </c>
    </row>
    <row r="13" spans="1:31" x14ac:dyDescent="0.3">
      <c r="A13">
        <v>172</v>
      </c>
      <c r="B13">
        <v>174</v>
      </c>
      <c r="C13">
        <v>76</v>
      </c>
      <c r="D13">
        <f t="shared" si="0"/>
        <v>74.53067005410206</v>
      </c>
      <c r="E13">
        <f t="shared" si="1"/>
        <v>1.4693299458979396</v>
      </c>
      <c r="G13" t="s">
        <v>12</v>
      </c>
      <c r="H13">
        <f>AVERAGE(C:C)</f>
        <v>76.13333333333334</v>
      </c>
      <c r="I13">
        <f>AVERAGE(D:D)</f>
        <v>76.134087379969003</v>
      </c>
      <c r="J13">
        <f>AVERAGE(E:E)</f>
        <v>-7.540466356601883E-4</v>
      </c>
      <c r="N13">
        <v>172</v>
      </c>
      <c r="O13">
        <v>174</v>
      </c>
      <c r="P13">
        <f t="shared" si="2"/>
        <v>30276</v>
      </c>
      <c r="Q13">
        <f t="shared" si="3"/>
        <v>5268024</v>
      </c>
      <c r="R13">
        <v>76</v>
      </c>
      <c r="S13">
        <f t="shared" si="4"/>
        <v>74.253096151933278</v>
      </c>
      <c r="T13">
        <f t="shared" si="5"/>
        <v>1.7469038480667223</v>
      </c>
      <c r="V13" t="s">
        <v>12</v>
      </c>
      <c r="W13">
        <f>AVERAGE(R:R)</f>
        <v>76.13333333333334</v>
      </c>
      <c r="X13">
        <f>AVERAGE(S:S)</f>
        <v>76.133333333333212</v>
      </c>
      <c r="Y13">
        <f>AVERAGE(T:T)</f>
        <v>1.2126596023639043E-13</v>
      </c>
    </row>
    <row r="14" spans="1:31" x14ac:dyDescent="0.3">
      <c r="A14">
        <v>159</v>
      </c>
      <c r="B14">
        <v>172</v>
      </c>
      <c r="C14">
        <v>72</v>
      </c>
      <c r="D14">
        <f t="shared" si="0"/>
        <v>73.939819297208444</v>
      </c>
      <c r="E14">
        <f t="shared" si="1"/>
        <v>-1.9398192972084445</v>
      </c>
      <c r="G14" t="s">
        <v>19</v>
      </c>
      <c r="H14">
        <f>AVERAGE(B:B)</f>
        <v>179.13333333333333</v>
      </c>
      <c r="N14">
        <v>159</v>
      </c>
      <c r="O14">
        <v>172</v>
      </c>
      <c r="P14">
        <f t="shared" si="2"/>
        <v>29584</v>
      </c>
      <c r="Q14">
        <f t="shared" si="3"/>
        <v>5088448</v>
      </c>
      <c r="R14">
        <v>72</v>
      </c>
      <c r="S14">
        <f t="shared" si="4"/>
        <v>73.57571697475214</v>
      </c>
      <c r="T14">
        <f t="shared" si="5"/>
        <v>-1.5757169747521402</v>
      </c>
      <c r="V14" t="s">
        <v>19</v>
      </c>
      <c r="W14">
        <f>AVERAGE(O:O)</f>
        <v>179.13333333333333</v>
      </c>
    </row>
    <row r="15" spans="1:31" x14ac:dyDescent="0.3">
      <c r="A15">
        <v>160</v>
      </c>
      <c r="B15">
        <v>173</v>
      </c>
      <c r="C15">
        <v>72</v>
      </c>
      <c r="D15">
        <f t="shared" si="0"/>
        <v>74.260689245132156</v>
      </c>
      <c r="E15">
        <f t="shared" si="1"/>
        <v>-2.2606892451321556</v>
      </c>
      <c r="G15" t="s">
        <v>6</v>
      </c>
      <c r="H15">
        <f>H10/H11</f>
        <v>0.6559954613155965</v>
      </c>
      <c r="I15">
        <f>(1-H9/H11)</f>
        <v>0.65448967096119293</v>
      </c>
      <c r="N15">
        <v>160</v>
      </c>
      <c r="O15">
        <v>173</v>
      </c>
      <c r="P15">
        <f t="shared" si="2"/>
        <v>29929</v>
      </c>
      <c r="Q15">
        <f t="shared" si="3"/>
        <v>5177717</v>
      </c>
      <c r="R15">
        <v>72</v>
      </c>
      <c r="S15">
        <f t="shared" si="4"/>
        <v>73.888740638401941</v>
      </c>
      <c r="T15">
        <f t="shared" si="5"/>
        <v>-1.8887406384019414</v>
      </c>
      <c r="V15" t="s">
        <v>6</v>
      </c>
      <c r="W15">
        <f>W10/W11</f>
        <v>0.63646857340585761</v>
      </c>
      <c r="X15">
        <f>(1-W9/W11)</f>
        <v>0.63646848431704339</v>
      </c>
    </row>
    <row r="16" spans="1:31" x14ac:dyDescent="0.3">
      <c r="A16">
        <v>168</v>
      </c>
      <c r="B16">
        <v>189</v>
      </c>
      <c r="C16">
        <v>79</v>
      </c>
      <c r="D16">
        <f t="shared" si="0"/>
        <v>78.861282724717171</v>
      </c>
      <c r="E16">
        <f t="shared" si="1"/>
        <v>0.13871727528282918</v>
      </c>
      <c r="N16">
        <v>168</v>
      </c>
      <c r="O16">
        <v>189</v>
      </c>
      <c r="P16">
        <f t="shared" si="2"/>
        <v>35721</v>
      </c>
      <c r="Q16">
        <f t="shared" si="3"/>
        <v>6751269</v>
      </c>
      <c r="R16">
        <v>79</v>
      </c>
      <c r="S16">
        <f t="shared" si="4"/>
        <v>78.528478227042797</v>
      </c>
      <c r="T16">
        <f t="shared" si="5"/>
        <v>0.47152177295720321</v>
      </c>
      <c r="V16" t="s">
        <v>41</v>
      </c>
      <c r="W16">
        <f>1-W9/AA4/(W11/(COUNT(O:O)-1))</f>
        <v>0.59452254019977924</v>
      </c>
    </row>
    <row r="17" spans="1:20" x14ac:dyDescent="0.3">
      <c r="A17">
        <v>166</v>
      </c>
      <c r="B17">
        <v>187</v>
      </c>
      <c r="C17">
        <v>77</v>
      </c>
      <c r="D17">
        <f t="shared" si="0"/>
        <v>79.240889696469353</v>
      </c>
      <c r="E17">
        <f t="shared" si="1"/>
        <v>-2.2408896964693525</v>
      </c>
      <c r="N17">
        <v>166</v>
      </c>
      <c r="O17">
        <v>187</v>
      </c>
      <c r="P17">
        <f t="shared" si="2"/>
        <v>34969</v>
      </c>
      <c r="Q17">
        <f t="shared" si="3"/>
        <v>6539203</v>
      </c>
      <c r="R17">
        <v>77</v>
      </c>
      <c r="S17">
        <f t="shared" si="4"/>
        <v>78.743053609428898</v>
      </c>
      <c r="T17">
        <f t="shared" si="5"/>
        <v>-1.7430536094288982</v>
      </c>
    </row>
    <row r="18" spans="1:20" x14ac:dyDescent="0.3">
      <c r="A18">
        <v>172</v>
      </c>
      <c r="B18">
        <v>174</v>
      </c>
      <c r="C18">
        <v>77</v>
      </c>
      <c r="D18">
        <f t="shared" si="0"/>
        <v>74.53067005410206</v>
      </c>
      <c r="E18">
        <f t="shared" si="1"/>
        <v>2.4693299458979396</v>
      </c>
      <c r="N18">
        <v>172</v>
      </c>
      <c r="O18">
        <v>174</v>
      </c>
      <c r="P18">
        <f t="shared" si="2"/>
        <v>30276</v>
      </c>
      <c r="Q18">
        <f t="shared" si="3"/>
        <v>5268024</v>
      </c>
      <c r="R18">
        <v>77</v>
      </c>
      <c r="S18">
        <f t="shared" si="4"/>
        <v>74.253096151933278</v>
      </c>
      <c r="T18">
        <f t="shared" si="5"/>
        <v>2.7469038480667223</v>
      </c>
    </row>
    <row r="19" spans="1:20" x14ac:dyDescent="0.3">
      <c r="A19">
        <v>164</v>
      </c>
      <c r="B19">
        <v>173</v>
      </c>
      <c r="C19">
        <v>75</v>
      </c>
      <c r="D19">
        <f t="shared" si="0"/>
        <v>74.260689245132156</v>
      </c>
      <c r="E19">
        <f t="shared" si="1"/>
        <v>0.73931075486784437</v>
      </c>
      <c r="N19">
        <v>164</v>
      </c>
      <c r="O19">
        <v>173</v>
      </c>
      <c r="P19">
        <f t="shared" si="2"/>
        <v>29929</v>
      </c>
      <c r="Q19">
        <f t="shared" si="3"/>
        <v>5177717</v>
      </c>
      <c r="R19">
        <v>75</v>
      </c>
      <c r="S19">
        <f t="shared" si="4"/>
        <v>73.888740638401941</v>
      </c>
      <c r="T19">
        <f t="shared" si="5"/>
        <v>1.1112593615980586</v>
      </c>
    </row>
    <row r="20" spans="1:20" x14ac:dyDescent="0.3">
      <c r="A20">
        <v>171</v>
      </c>
      <c r="B20">
        <v>179</v>
      </c>
      <c r="C20">
        <v>76</v>
      </c>
      <c r="D20">
        <f t="shared" si="0"/>
        <v>76.044982229207108</v>
      </c>
      <c r="E20">
        <f t="shared" si="1"/>
        <v>-4.4982229207107594E-2</v>
      </c>
      <c r="N20">
        <v>171</v>
      </c>
      <c r="O20">
        <v>179</v>
      </c>
      <c r="P20">
        <f t="shared" si="2"/>
        <v>32041</v>
      </c>
      <c r="Q20">
        <f t="shared" si="3"/>
        <v>5735339</v>
      </c>
      <c r="R20">
        <v>76</v>
      </c>
      <c r="S20">
        <f t="shared" si="4"/>
        <v>76.466554348022328</v>
      </c>
      <c r="T20">
        <f t="shared" si="5"/>
        <v>-0.46655434802232776</v>
      </c>
    </row>
    <row r="21" spans="1:20" x14ac:dyDescent="0.3">
      <c r="A21">
        <v>161</v>
      </c>
      <c r="B21">
        <v>175</v>
      </c>
      <c r="C21">
        <v>75</v>
      </c>
      <c r="D21">
        <f t="shared" si="0"/>
        <v>74.783114122576805</v>
      </c>
      <c r="E21">
        <f t="shared" si="1"/>
        <v>0.21688587742319498</v>
      </c>
      <c r="N21">
        <v>161</v>
      </c>
      <c r="O21">
        <v>175</v>
      </c>
      <c r="P21">
        <f t="shared" si="2"/>
        <v>30625</v>
      </c>
      <c r="Q21">
        <f t="shared" si="3"/>
        <v>5359375</v>
      </c>
      <c r="R21">
        <v>75</v>
      </c>
      <c r="S21">
        <f t="shared" si="4"/>
        <v>74.657975026213535</v>
      </c>
      <c r="T21">
        <f t="shared" si="5"/>
        <v>0.34202497378646513</v>
      </c>
    </row>
    <row r="22" spans="1:20" x14ac:dyDescent="0.3">
      <c r="A22">
        <v>172</v>
      </c>
      <c r="B22">
        <v>186</v>
      </c>
      <c r="C22">
        <v>80</v>
      </c>
      <c r="D22">
        <f t="shared" si="0"/>
        <v>79.089122241663958</v>
      </c>
      <c r="E22">
        <f t="shared" si="1"/>
        <v>0.91087775833604212</v>
      </c>
      <c r="N22">
        <v>172</v>
      </c>
      <c r="O22">
        <v>186</v>
      </c>
      <c r="P22">
        <f t="shared" si="2"/>
        <v>34596</v>
      </c>
      <c r="Q22">
        <f t="shared" si="3"/>
        <v>6434856</v>
      </c>
      <c r="R22">
        <v>80</v>
      </c>
      <c r="S22">
        <f t="shared" si="4"/>
        <v>78.694956558978447</v>
      </c>
      <c r="T22">
        <f t="shared" si="5"/>
        <v>1.305043441021553</v>
      </c>
    </row>
    <row r="23" spans="1:20" x14ac:dyDescent="0.3">
      <c r="A23">
        <v>166</v>
      </c>
      <c r="B23">
        <v>182</v>
      </c>
      <c r="C23">
        <v>76</v>
      </c>
      <c r="D23">
        <f t="shared" si="0"/>
        <v>77.423262949620025</v>
      </c>
      <c r="E23">
        <f t="shared" si="1"/>
        <v>-1.4232629496200246</v>
      </c>
      <c r="N23">
        <v>166</v>
      </c>
      <c r="O23">
        <v>182</v>
      </c>
      <c r="P23">
        <f t="shared" si="2"/>
        <v>33124</v>
      </c>
      <c r="Q23">
        <f t="shared" si="3"/>
        <v>6028568</v>
      </c>
      <c r="R23">
        <v>76</v>
      </c>
      <c r="S23">
        <f t="shared" si="4"/>
        <v>77.718868159430713</v>
      </c>
      <c r="T23">
        <f t="shared" si="5"/>
        <v>-1.7188681594307127</v>
      </c>
    </row>
    <row r="24" spans="1:20" x14ac:dyDescent="0.3">
      <c r="A24">
        <v>156</v>
      </c>
      <c r="B24">
        <v>191</v>
      </c>
      <c r="C24">
        <v>76</v>
      </c>
      <c r="D24">
        <f t="shared" si="0"/>
        <v>77.120038988588504</v>
      </c>
      <c r="E24">
        <f t="shared" si="1"/>
        <v>-1.1200389885885045</v>
      </c>
      <c r="N24">
        <v>156</v>
      </c>
      <c r="O24">
        <v>191</v>
      </c>
      <c r="P24">
        <f t="shared" si="2"/>
        <v>36481</v>
      </c>
      <c r="Q24">
        <f t="shared" si="3"/>
        <v>6967871</v>
      </c>
      <c r="R24">
        <v>76</v>
      </c>
      <c r="S24">
        <f t="shared" si="4"/>
        <v>77.827486939357186</v>
      </c>
      <c r="T24">
        <f t="shared" si="5"/>
        <v>-1.8274869393571862</v>
      </c>
    </row>
    <row r="25" spans="1:20" x14ac:dyDescent="0.3">
      <c r="A25">
        <v>172</v>
      </c>
      <c r="B25">
        <v>180</v>
      </c>
      <c r="C25">
        <v>78</v>
      </c>
      <c r="D25">
        <f t="shared" si="0"/>
        <v>76.470439840595475</v>
      </c>
      <c r="E25">
        <f t="shared" si="1"/>
        <v>1.5295601594045252</v>
      </c>
      <c r="N25">
        <v>172</v>
      </c>
      <c r="O25">
        <v>180</v>
      </c>
      <c r="P25">
        <f t="shared" si="2"/>
        <v>32400</v>
      </c>
      <c r="Q25">
        <f t="shared" si="3"/>
        <v>5832000</v>
      </c>
      <c r="R25">
        <v>78</v>
      </c>
      <c r="S25">
        <f t="shared" si="4"/>
        <v>76.911922688952473</v>
      </c>
      <c r="T25">
        <f t="shared" si="5"/>
        <v>1.0880773110475275</v>
      </c>
    </row>
    <row r="26" spans="1:20" x14ac:dyDescent="0.3">
      <c r="A26">
        <v>170</v>
      </c>
      <c r="B26">
        <v>183</v>
      </c>
      <c r="C26">
        <v>78</v>
      </c>
      <c r="D26">
        <f t="shared" si="0"/>
        <v>77.914652359248919</v>
      </c>
      <c r="E26">
        <f t="shared" si="1"/>
        <v>8.5347640751081144E-2</v>
      </c>
      <c r="N26">
        <v>170</v>
      </c>
      <c r="O26">
        <v>183</v>
      </c>
      <c r="P26">
        <f t="shared" si="2"/>
        <v>33489</v>
      </c>
      <c r="Q26">
        <f t="shared" si="3"/>
        <v>6128487</v>
      </c>
      <c r="R26">
        <v>78</v>
      </c>
      <c r="S26">
        <f t="shared" si="4"/>
        <v>78.058828310702665</v>
      </c>
      <c r="T26">
        <f t="shared" si="5"/>
        <v>-5.8828310702665476E-2</v>
      </c>
    </row>
    <row r="27" spans="1:20" x14ac:dyDescent="0.3">
      <c r="A27">
        <v>157</v>
      </c>
      <c r="B27">
        <v>182</v>
      </c>
      <c r="C27">
        <v>75</v>
      </c>
      <c r="D27">
        <f t="shared" si="0"/>
        <v>77.423262949620025</v>
      </c>
      <c r="E27">
        <f t="shared" si="1"/>
        <v>-2.4232629496200246</v>
      </c>
      <c r="N27">
        <v>157</v>
      </c>
      <c r="O27">
        <v>182</v>
      </c>
      <c r="P27">
        <f t="shared" si="2"/>
        <v>33124</v>
      </c>
      <c r="Q27">
        <f t="shared" si="3"/>
        <v>6028568</v>
      </c>
      <c r="R27">
        <v>75</v>
      </c>
      <c r="S27">
        <f t="shared" si="4"/>
        <v>77.718868159430713</v>
      </c>
      <c r="T27">
        <f t="shared" si="5"/>
        <v>-2.7188681594307127</v>
      </c>
    </row>
    <row r="28" spans="1:20" x14ac:dyDescent="0.3">
      <c r="A28">
        <v>159</v>
      </c>
      <c r="B28">
        <v>177</v>
      </c>
      <c r="C28">
        <v>73</v>
      </c>
      <c r="D28">
        <f t="shared" si="0"/>
        <v>75.334574670234048</v>
      </c>
      <c r="E28">
        <f t="shared" si="1"/>
        <v>-2.3345746702340477</v>
      </c>
      <c r="N28">
        <v>159</v>
      </c>
      <c r="O28">
        <v>177</v>
      </c>
      <c r="P28">
        <f t="shared" si="2"/>
        <v>31329</v>
      </c>
      <c r="Q28">
        <f t="shared" si="3"/>
        <v>5545233</v>
      </c>
      <c r="R28">
        <v>73</v>
      </c>
      <c r="S28">
        <f t="shared" si="4"/>
        <v>75.546068900457612</v>
      </c>
      <c r="T28">
        <f t="shared" si="5"/>
        <v>-2.5460689004576125</v>
      </c>
    </row>
    <row r="29" spans="1:20" x14ac:dyDescent="0.3">
      <c r="A29">
        <v>163</v>
      </c>
      <c r="B29">
        <v>176</v>
      </c>
      <c r="C29">
        <v>74</v>
      </c>
      <c r="D29">
        <f t="shared" si="0"/>
        <v>75.044528456686791</v>
      </c>
      <c r="E29">
        <f t="shared" si="1"/>
        <v>-1.0445284566867912</v>
      </c>
      <c r="N29">
        <v>163</v>
      </c>
      <c r="O29">
        <v>176</v>
      </c>
      <c r="P29">
        <f t="shared" si="2"/>
        <v>30976</v>
      </c>
      <c r="Q29">
        <f t="shared" si="3"/>
        <v>5451776</v>
      </c>
      <c r="R29">
        <v>74</v>
      </c>
      <c r="S29">
        <f t="shared" si="4"/>
        <v>75.092568772102823</v>
      </c>
      <c r="T29">
        <f t="shared" si="5"/>
        <v>-1.0925687721028225</v>
      </c>
    </row>
    <row r="30" spans="1:20" x14ac:dyDescent="0.3">
      <c r="A30">
        <v>164</v>
      </c>
      <c r="B30">
        <v>169</v>
      </c>
      <c r="C30">
        <v>73</v>
      </c>
      <c r="D30">
        <f t="shared" si="0"/>
        <v>72.23566975020303</v>
      </c>
      <c r="E30">
        <f t="shared" si="1"/>
        <v>0.76433024979696995</v>
      </c>
      <c r="N30">
        <v>164</v>
      </c>
      <c r="O30">
        <v>169</v>
      </c>
      <c r="P30">
        <f t="shared" si="2"/>
        <v>28561</v>
      </c>
      <c r="Q30">
        <f t="shared" si="3"/>
        <v>4826809</v>
      </c>
      <c r="R30">
        <v>73</v>
      </c>
      <c r="S30">
        <f t="shared" si="4"/>
        <v>73.052721974476299</v>
      </c>
      <c r="T30">
        <f t="shared" si="5"/>
        <v>-5.2721974476298783E-2</v>
      </c>
    </row>
    <row r="31" spans="1:20" x14ac:dyDescent="0.3">
      <c r="A31">
        <v>171</v>
      </c>
      <c r="B31">
        <v>186</v>
      </c>
      <c r="C31">
        <v>79</v>
      </c>
      <c r="D31">
        <f t="shared" si="0"/>
        <v>79.089122241663958</v>
      </c>
      <c r="E31">
        <f t="shared" si="1"/>
        <v>-8.912224166395788E-2</v>
      </c>
      <c r="N31">
        <v>171</v>
      </c>
      <c r="O31">
        <v>186</v>
      </c>
      <c r="P31">
        <f t="shared" si="2"/>
        <v>34596</v>
      </c>
      <c r="Q31">
        <f t="shared" si="3"/>
        <v>6434856</v>
      </c>
      <c r="R31">
        <v>79</v>
      </c>
      <c r="S31">
        <f t="shared" si="4"/>
        <v>78.694956558978447</v>
      </c>
      <c r="T31">
        <f t="shared" si="5"/>
        <v>0.30504344102155301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48CE-FEEB-4914-92DA-9668590FA6E0}">
  <dimension ref="A1:AF31"/>
  <sheetViews>
    <sheetView topLeftCell="N1" workbookViewId="0">
      <selection activeCell="U9" sqref="U9"/>
    </sheetView>
  </sheetViews>
  <sheetFormatPr defaultRowHeight="14.4" x14ac:dyDescent="0.3"/>
  <cols>
    <col min="15" max="15" width="12.88671875" bestFit="1" customWidth="1"/>
    <col min="20" max="20" width="16.44140625" bestFit="1" customWidth="1"/>
    <col min="21" max="21" width="12.6640625" bestFit="1" customWidth="1"/>
    <col min="24" max="24" width="16.77734375" bestFit="1" customWidth="1"/>
    <col min="32" max="32" width="12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G1" t="s">
        <v>14</v>
      </c>
      <c r="M1" t="s">
        <v>23</v>
      </c>
      <c r="N1" t="s">
        <v>1</v>
      </c>
      <c r="O1" t="s">
        <v>0</v>
      </c>
      <c r="P1" t="s">
        <v>2</v>
      </c>
      <c r="Q1" t="s">
        <v>7</v>
      </c>
      <c r="R1" t="s">
        <v>8</v>
      </c>
      <c r="T1" t="s">
        <v>15</v>
      </c>
      <c r="W1" t="s">
        <v>22</v>
      </c>
      <c r="X1">
        <f t="array" ref="X1:Z3">MMULT(TRANSPOSE(M2:O31),M2:O31)</f>
        <v>30</v>
      </c>
      <c r="Y1">
        <v>5374</v>
      </c>
      <c r="Z1">
        <v>4994</v>
      </c>
      <c r="AB1">
        <f>COUNT(M:M)</f>
        <v>30</v>
      </c>
      <c r="AC1">
        <f>SUM(N:N)</f>
        <v>5374</v>
      </c>
      <c r="AD1">
        <f>SUM(O:O)</f>
        <v>4994</v>
      </c>
    </row>
    <row r="2" spans="1:32" x14ac:dyDescent="0.3">
      <c r="A2">
        <v>172</v>
      </c>
      <c r="B2">
        <v>184</v>
      </c>
      <c r="C2">
        <v>79</v>
      </c>
      <c r="D2">
        <f t="shared" ref="D2:D31" si="0">$H$2*A2+$H$3*B2+$H$4</f>
        <v>78.919056895881113</v>
      </c>
      <c r="E2">
        <f>C2-D2</f>
        <v>8.0943104118887277E-2</v>
      </c>
      <c r="G2" t="s">
        <v>3</v>
      </c>
      <c r="H2">
        <v>0.28230769121980964</v>
      </c>
      <c r="M2">
        <v>1</v>
      </c>
      <c r="N2">
        <v>184</v>
      </c>
      <c r="O2">
        <v>172</v>
      </c>
      <c r="P2">
        <v>79</v>
      </c>
      <c r="Q2">
        <f>$U$4*O2+$U$3*N2+$U$2*M2</f>
        <v>78.919406202039283</v>
      </c>
      <c r="R2">
        <f>P2-Q2</f>
        <v>8.0593797960716529E-2</v>
      </c>
      <c r="T2" s="3" t="s">
        <v>16</v>
      </c>
      <c r="U2" s="3">
        <f>Z7</f>
        <v>-15.912265633947229</v>
      </c>
      <c r="X2">
        <v>5374</v>
      </c>
      <c r="Y2">
        <v>963836</v>
      </c>
      <c r="Z2">
        <v>894827</v>
      </c>
      <c r="AB2">
        <f>AC1</f>
        <v>5374</v>
      </c>
      <c r="AC2">
        <f>SUMSQ(N:N)</f>
        <v>963836</v>
      </c>
      <c r="AD2">
        <f>SUMPRODUCT(N:N,O:O)</f>
        <v>894827</v>
      </c>
    </row>
    <row r="3" spans="1:32" x14ac:dyDescent="0.3">
      <c r="A3">
        <v>168</v>
      </c>
      <c r="B3">
        <v>190</v>
      </c>
      <c r="C3">
        <v>80</v>
      </c>
      <c r="D3">
        <f t="shared" si="0"/>
        <v>79.298396900907846</v>
      </c>
      <c r="E3">
        <f t="shared" ref="E3:E31" si="1">C3-D3</f>
        <v>0.70160309909215357</v>
      </c>
      <c r="G3" t="s">
        <v>4</v>
      </c>
      <c r="H3">
        <v>0.2514284616509937</v>
      </c>
      <c r="M3">
        <v>1</v>
      </c>
      <c r="N3">
        <v>190</v>
      </c>
      <c r="O3">
        <v>168</v>
      </c>
      <c r="P3">
        <v>80</v>
      </c>
      <c r="Q3">
        <f t="shared" ref="Q3:Q31" si="2">$U$4*O3+$U$3*N3+$U$2*M3</f>
        <v>79.298775963602893</v>
      </c>
      <c r="R3">
        <f t="shared" ref="R3:R31" si="3">P3-Q3</f>
        <v>0.7012240363971074</v>
      </c>
      <c r="T3" s="3" t="s">
        <v>4</v>
      </c>
      <c r="U3" s="3">
        <f>Z8</f>
        <v>0.25145830674937092</v>
      </c>
      <c r="X3">
        <v>4994</v>
      </c>
      <c r="Y3">
        <v>894827</v>
      </c>
      <c r="Z3">
        <v>832220</v>
      </c>
      <c r="AB3">
        <f>AD1</f>
        <v>4994</v>
      </c>
      <c r="AC3">
        <f>AD2</f>
        <v>894827</v>
      </c>
      <c r="AD3">
        <f>SUMSQ(O:O)</f>
        <v>832220</v>
      </c>
    </row>
    <row r="4" spans="1:32" x14ac:dyDescent="0.3">
      <c r="A4">
        <v>170</v>
      </c>
      <c r="B4">
        <v>171</v>
      </c>
      <c r="C4">
        <v>75</v>
      </c>
      <c r="D4">
        <f t="shared" si="0"/>
        <v>75.085871511978581</v>
      </c>
      <c r="E4">
        <f t="shared" si="1"/>
        <v>-8.5871511978581339E-2</v>
      </c>
      <c r="G4" t="s">
        <v>16</v>
      </c>
      <c r="H4">
        <v>-15.900702937708992</v>
      </c>
      <c r="M4">
        <v>1</v>
      </c>
      <c r="N4">
        <v>171</v>
      </c>
      <c r="O4">
        <v>170</v>
      </c>
      <c r="P4">
        <v>75</v>
      </c>
      <c r="Q4">
        <f t="shared" si="2"/>
        <v>75.085758174831156</v>
      </c>
      <c r="R4">
        <f t="shared" si="3"/>
        <v>-8.5758174831155998E-2</v>
      </c>
      <c r="T4" s="3" t="s">
        <v>3</v>
      </c>
      <c r="U4" s="3">
        <f>Z9</f>
        <v>0.28234501973315268</v>
      </c>
    </row>
    <row r="5" spans="1:32" x14ac:dyDescent="0.3">
      <c r="A5">
        <v>170</v>
      </c>
      <c r="B5">
        <v>185</v>
      </c>
      <c r="C5">
        <v>78</v>
      </c>
      <c r="D5">
        <f t="shared" si="0"/>
        <v>78.605869975092475</v>
      </c>
      <c r="E5">
        <f t="shared" si="1"/>
        <v>-0.60586997509247453</v>
      </c>
      <c r="M5">
        <v>1</v>
      </c>
      <c r="N5">
        <v>185</v>
      </c>
      <c r="O5">
        <v>170</v>
      </c>
      <c r="P5">
        <v>78</v>
      </c>
      <c r="Q5">
        <f t="shared" si="2"/>
        <v>78.60617446932234</v>
      </c>
      <c r="R5">
        <f t="shared" si="3"/>
        <v>-0.60617446932234031</v>
      </c>
      <c r="V5" t="s">
        <v>38</v>
      </c>
    </row>
    <row r="6" spans="1:32" x14ac:dyDescent="0.3">
      <c r="A6">
        <v>173</v>
      </c>
      <c r="B6">
        <v>185</v>
      </c>
      <c r="C6">
        <v>81</v>
      </c>
      <c r="D6">
        <f t="shared" si="0"/>
        <v>79.452793048751914</v>
      </c>
      <c r="E6">
        <f t="shared" si="1"/>
        <v>1.5472069512480857</v>
      </c>
      <c r="G6" t="s">
        <v>9</v>
      </c>
      <c r="H6">
        <f>SUMSQ(E:E)</f>
        <v>13.290616423352038</v>
      </c>
      <c r="M6">
        <v>1</v>
      </c>
      <c r="N6">
        <v>185</v>
      </c>
      <c r="O6">
        <v>173</v>
      </c>
      <c r="P6">
        <v>81</v>
      </c>
      <c r="Q6">
        <f t="shared" si="2"/>
        <v>79.453209528521811</v>
      </c>
      <c r="R6">
        <f t="shared" si="3"/>
        <v>1.5467904714781895</v>
      </c>
      <c r="U6" s="2" t="s">
        <v>25</v>
      </c>
      <c r="V6" s="2" t="s">
        <v>28</v>
      </c>
      <c r="W6" s="2" t="s">
        <v>27</v>
      </c>
      <c r="X6" s="2" t="s">
        <v>26</v>
      </c>
      <c r="AA6" s="2" t="s">
        <v>30</v>
      </c>
      <c r="AB6" s="2" t="s">
        <v>31</v>
      </c>
      <c r="AC6" s="2" t="s">
        <v>32</v>
      </c>
      <c r="AE6" s="2" t="s">
        <v>33</v>
      </c>
    </row>
    <row r="7" spans="1:32" x14ac:dyDescent="0.3">
      <c r="A7">
        <v>162</v>
      </c>
      <c r="B7">
        <v>172</v>
      </c>
      <c r="C7">
        <v>73</v>
      </c>
      <c r="D7">
        <f t="shared" si="0"/>
        <v>73.078838443871092</v>
      </c>
      <c r="E7">
        <f t="shared" si="1"/>
        <v>-7.8838443871092068E-2</v>
      </c>
      <c r="G7" t="s">
        <v>11</v>
      </c>
      <c r="H7">
        <f t="array" ref="H7">SUM((D2:D31-$I$10)^2)</f>
        <v>178.13140085755856</v>
      </c>
      <c r="I7" t="s">
        <v>21</v>
      </c>
      <c r="M7">
        <v>1</v>
      </c>
      <c r="N7">
        <v>172</v>
      </c>
      <c r="O7">
        <v>162</v>
      </c>
      <c r="P7">
        <v>73</v>
      </c>
      <c r="Q7">
        <f t="shared" si="2"/>
        <v>73.078456323715315</v>
      </c>
      <c r="R7">
        <f t="shared" si="3"/>
        <v>-7.8456323715315079E-2</v>
      </c>
      <c r="T7" s="1" t="s">
        <v>9</v>
      </c>
      <c r="U7" s="1">
        <f>SUMSQ(R:R)</f>
        <v>13.290613620187584</v>
      </c>
      <c r="V7" s="2">
        <f>U7/(X1-3)</f>
        <v>0.49224494889583642</v>
      </c>
      <c r="W7" s="2">
        <f>SQRT(V7)</f>
        <v>0.7016017024607597</v>
      </c>
      <c r="Y7" s="3" t="s">
        <v>16</v>
      </c>
      <c r="Z7" s="3">
        <f t="array" ref="Z7:Z9">MMULT(MMULT(MINVERSE(X1:Z3),TRANSPOSE(M2:O31)),P2:P31)</f>
        <v>-15.912265633947229</v>
      </c>
      <c r="AA7">
        <f>SQRT(Y12)</f>
        <v>4.8463992434919492</v>
      </c>
      <c r="AB7">
        <f>Z7/AA7</f>
        <v>-3.283317125660917</v>
      </c>
      <c r="AC7">
        <f>_xlfn.T.DIST.2T(ABS(AB7),$X$1-3)</f>
        <v>2.8378652734622417E-3</v>
      </c>
      <c r="AE7">
        <v>0.05</v>
      </c>
    </row>
    <row r="8" spans="1:32" x14ac:dyDescent="0.3">
      <c r="A8">
        <v>159</v>
      </c>
      <c r="B8">
        <v>170</v>
      </c>
      <c r="C8">
        <v>72</v>
      </c>
      <c r="D8">
        <f t="shared" si="0"/>
        <v>71.729058446909676</v>
      </c>
      <c r="E8">
        <f t="shared" si="1"/>
        <v>0.27094155309032431</v>
      </c>
      <c r="G8" t="s">
        <v>10</v>
      </c>
      <c r="H8">
        <f t="array" ref="H8">SUM((C2:C31-I10)^2)</f>
        <v>191.466666666853</v>
      </c>
      <c r="I8">
        <f>SUM(H6:H7)</f>
        <v>191.42201728091061</v>
      </c>
      <c r="M8">
        <v>1</v>
      </c>
      <c r="N8">
        <v>170</v>
      </c>
      <c r="O8">
        <v>159</v>
      </c>
      <c r="P8">
        <v>72</v>
      </c>
      <c r="Q8">
        <f t="shared" si="2"/>
        <v>71.728504651017104</v>
      </c>
      <c r="R8">
        <f t="shared" si="3"/>
        <v>0.27149534898289573</v>
      </c>
      <c r="T8" s="1" t="s">
        <v>11</v>
      </c>
      <c r="U8" s="1">
        <f t="array" ref="U8">SUM((Q2:Q31-$I$10)^2)</f>
        <v>178.17605304673603</v>
      </c>
      <c r="Y8" s="3" t="s">
        <v>4</v>
      </c>
      <c r="Z8" s="3">
        <v>0.25145830674937092</v>
      </c>
      <c r="AA8">
        <f>SQRT(Z13)</f>
        <v>2.1048841806911696E-2</v>
      </c>
      <c r="AB8">
        <f t="shared" ref="AB8:AB9" si="4">Z8/AA8</f>
        <v>11.946420095513327</v>
      </c>
      <c r="AC8">
        <f t="shared" ref="AC8:AC9" si="5">_xlfn.T.DIST.2T(ABS(AB8),$X$1-3)</f>
        <v>2.7491044764825244E-12</v>
      </c>
    </row>
    <row r="9" spans="1:32" x14ac:dyDescent="0.3">
      <c r="A9">
        <v>164</v>
      </c>
      <c r="B9">
        <v>178</v>
      </c>
      <c r="C9">
        <v>75</v>
      </c>
      <c r="D9">
        <f t="shared" si="0"/>
        <v>75.152024596216677</v>
      </c>
      <c r="E9">
        <f t="shared" si="1"/>
        <v>-0.15202459621667685</v>
      </c>
      <c r="M9">
        <v>1</v>
      </c>
      <c r="N9">
        <v>178</v>
      </c>
      <c r="O9">
        <v>164</v>
      </c>
      <c r="P9">
        <v>75</v>
      </c>
      <c r="Q9">
        <f t="shared" si="2"/>
        <v>75.151896203677822</v>
      </c>
      <c r="R9">
        <f t="shared" si="3"/>
        <v>-0.15189620367782197</v>
      </c>
      <c r="T9" s="1" t="s">
        <v>10</v>
      </c>
      <c r="U9" s="1">
        <f t="array" ref="U9">SUM((P2:P31-V11)^2)</f>
        <v>191.46666666666681</v>
      </c>
      <c r="V9" s="1">
        <f>SUM(U7:U8)</f>
        <v>191.4666666669236</v>
      </c>
      <c r="Y9" s="3" t="s">
        <v>3</v>
      </c>
      <c r="Z9" s="3">
        <v>0.28234501973315268</v>
      </c>
      <c r="AA9">
        <f>SQRT(AA14)</f>
        <v>2.4231342407132955E-2</v>
      </c>
      <c r="AB9">
        <f t="shared" si="4"/>
        <v>11.652058519466882</v>
      </c>
      <c r="AC9">
        <f t="shared" si="5"/>
        <v>4.8509935773602877E-12</v>
      </c>
    </row>
    <row r="10" spans="1:32" x14ac:dyDescent="0.3">
      <c r="A10">
        <v>169</v>
      </c>
      <c r="B10">
        <v>175</v>
      </c>
      <c r="C10">
        <v>76</v>
      </c>
      <c r="D10">
        <f t="shared" si="0"/>
        <v>75.80927766736275</v>
      </c>
      <c r="E10">
        <f t="shared" si="1"/>
        <v>0.19072233263725025</v>
      </c>
      <c r="G10" t="s">
        <v>12</v>
      </c>
      <c r="H10">
        <f>AVERAGE(C:C)</f>
        <v>76.13333333333334</v>
      </c>
      <c r="I10">
        <f>AVERAGE(D:D)</f>
        <v>76.133335824429977</v>
      </c>
      <c r="J10">
        <f>AVERAGE(E:E)</f>
        <v>-2.4910966582562348E-6</v>
      </c>
      <c r="M10">
        <v>1</v>
      </c>
      <c r="N10">
        <v>175</v>
      </c>
      <c r="O10">
        <v>169</v>
      </c>
      <c r="P10">
        <v>76</v>
      </c>
      <c r="Q10">
        <f t="shared" si="2"/>
        <v>75.80924638209548</v>
      </c>
      <c r="R10">
        <f t="shared" si="3"/>
        <v>0.1907536179045195</v>
      </c>
    </row>
    <row r="11" spans="1:32" x14ac:dyDescent="0.3">
      <c r="A11">
        <v>167</v>
      </c>
      <c r="B11">
        <v>177</v>
      </c>
      <c r="C11">
        <v>75</v>
      </c>
      <c r="D11">
        <f t="shared" si="0"/>
        <v>75.7475192082251</v>
      </c>
      <c r="E11">
        <f t="shared" si="1"/>
        <v>-0.74751920822509987</v>
      </c>
      <c r="M11">
        <v>1</v>
      </c>
      <c r="N11">
        <v>177</v>
      </c>
      <c r="O11">
        <v>167</v>
      </c>
      <c r="P11">
        <v>75</v>
      </c>
      <c r="Q11">
        <f t="shared" si="2"/>
        <v>75.747472956127922</v>
      </c>
      <c r="R11">
        <f t="shared" si="3"/>
        <v>-0.74747295612792186</v>
      </c>
      <c r="T11" t="s">
        <v>12</v>
      </c>
      <c r="U11">
        <f>AVERAGE(P:P)</f>
        <v>76.13333333333334</v>
      </c>
      <c r="V11">
        <f>AVERAGE(Q:Q)</f>
        <v>76.133333333335557</v>
      </c>
      <c r="W11">
        <f>AVERAGE(R:R)</f>
        <v>-2.2296831048151945E-12</v>
      </c>
      <c r="Y11" t="s">
        <v>29</v>
      </c>
      <c r="AC11" t="s">
        <v>34</v>
      </c>
      <c r="AF11" t="s">
        <v>36</v>
      </c>
    </row>
    <row r="12" spans="1:32" x14ac:dyDescent="0.3">
      <c r="A12">
        <v>177</v>
      </c>
      <c r="B12">
        <v>179</v>
      </c>
      <c r="C12">
        <v>79</v>
      </c>
      <c r="D12">
        <f t="shared" si="0"/>
        <v>79.073453043725181</v>
      </c>
      <c r="E12">
        <f t="shared" si="1"/>
        <v>-7.3453043725180578E-2</v>
      </c>
      <c r="G12" t="s">
        <v>6</v>
      </c>
      <c r="H12">
        <f>H7/H8</f>
        <v>0.930352023976594</v>
      </c>
      <c r="I12">
        <f>(1-H6/H8)</f>
        <v>0.93058522063019267</v>
      </c>
      <c r="M12">
        <v>1</v>
      </c>
      <c r="N12">
        <v>179</v>
      </c>
      <c r="O12">
        <v>177</v>
      </c>
      <c r="P12">
        <v>79</v>
      </c>
      <c r="Q12">
        <f t="shared" si="2"/>
        <v>79.073839766958187</v>
      </c>
      <c r="R12">
        <f t="shared" si="3"/>
        <v>-7.383976695818717E-2</v>
      </c>
      <c r="Y12" cm="1">
        <f t="array" ref="Y12:AA14">V7*MINVERSE(X1:Z3)</f>
        <v>23.487585627319341</v>
      </c>
      <c r="Z12">
        <v>-5.9780598864155862E-2</v>
      </c>
      <c r="AA12">
        <v>-7.6666877367783534E-2</v>
      </c>
      <c r="AB12" t="s">
        <v>16</v>
      </c>
      <c r="AC12" t="s">
        <v>35</v>
      </c>
      <c r="AD12">
        <f>U8/2/V7</f>
        <v>180.98311973175751</v>
      </c>
      <c r="AF12">
        <f>_xlfn.F.DIST.RT(AD12,2,AB1-3)</f>
        <v>2.2887589538552282E-16</v>
      </c>
    </row>
    <row r="13" spans="1:32" x14ac:dyDescent="0.3">
      <c r="A13">
        <v>172</v>
      </c>
      <c r="B13">
        <v>174</v>
      </c>
      <c r="C13">
        <v>76</v>
      </c>
      <c r="D13">
        <f t="shared" si="0"/>
        <v>76.404772279371173</v>
      </c>
      <c r="E13">
        <f t="shared" si="1"/>
        <v>-0.40477227937117277</v>
      </c>
      <c r="M13">
        <v>1</v>
      </c>
      <c r="N13">
        <v>174</v>
      </c>
      <c r="O13">
        <v>172</v>
      </c>
      <c r="P13">
        <v>76</v>
      </c>
      <c r="Q13">
        <f t="shared" si="2"/>
        <v>76.404823134545566</v>
      </c>
      <c r="R13">
        <f t="shared" si="3"/>
        <v>-0.40482313454556618</v>
      </c>
      <c r="T13" t="s">
        <v>6</v>
      </c>
      <c r="U13">
        <f>U8/U9</f>
        <v>0.93058523527194936</v>
      </c>
      <c r="V13">
        <f>(1-U7/U9)</f>
        <v>0.9305852352706081</v>
      </c>
      <c r="Y13">
        <v>-5.978059886415487E-2</v>
      </c>
      <c r="Z13">
        <v>4.4305374141239356E-4</v>
      </c>
      <c r="AA13">
        <v>-1.176517501853337E-4</v>
      </c>
      <c r="AB13" t="s">
        <v>4</v>
      </c>
    </row>
    <row r="14" spans="1:32" x14ac:dyDescent="0.3">
      <c r="A14">
        <v>159</v>
      </c>
      <c r="B14">
        <v>172</v>
      </c>
      <c r="C14">
        <v>72</v>
      </c>
      <c r="D14">
        <f t="shared" si="0"/>
        <v>72.231915370211652</v>
      </c>
      <c r="E14">
        <f t="shared" si="1"/>
        <v>-0.23191537021165232</v>
      </c>
      <c r="M14">
        <v>1</v>
      </c>
      <c r="N14">
        <v>172</v>
      </c>
      <c r="O14">
        <v>159</v>
      </c>
      <c r="P14">
        <v>72</v>
      </c>
      <c r="Q14">
        <f t="shared" si="2"/>
        <v>72.231421264515845</v>
      </c>
      <c r="R14">
        <f t="shared" si="3"/>
        <v>-0.23142126451584488</v>
      </c>
      <c r="T14" t="s">
        <v>24</v>
      </c>
      <c r="U14">
        <f>1-U7/(X1-3)/(U9/(X1-1))</f>
        <v>0.92544340084620869</v>
      </c>
      <c r="V14">
        <f>1-U7/(X1-3)/_xlfn.VAR.S(P:P)</f>
        <v>0.92544340084620869</v>
      </c>
      <c r="Y14">
        <v>-7.6666877367784575E-2</v>
      </c>
      <c r="Z14">
        <v>-1.1765175018532777E-4</v>
      </c>
      <c r="AA14">
        <v>5.8715795485171987E-4</v>
      </c>
      <c r="AB14" t="s">
        <v>3</v>
      </c>
    </row>
    <row r="15" spans="1:32" x14ac:dyDescent="0.3">
      <c r="A15">
        <v>160</v>
      </c>
      <c r="B15">
        <v>173</v>
      </c>
      <c r="C15">
        <v>72</v>
      </c>
      <c r="D15">
        <f t="shared" si="0"/>
        <v>72.765651523082454</v>
      </c>
      <c r="E15">
        <f t="shared" si="1"/>
        <v>-0.76565152308245388</v>
      </c>
      <c r="M15">
        <v>1</v>
      </c>
      <c r="N15">
        <v>173</v>
      </c>
      <c r="O15">
        <v>160</v>
      </c>
      <c r="P15">
        <v>72</v>
      </c>
      <c r="Q15">
        <f t="shared" si="2"/>
        <v>72.765224590998372</v>
      </c>
      <c r="R15">
        <f t="shared" si="3"/>
        <v>-0.76522459099837192</v>
      </c>
      <c r="Y15" t="s">
        <v>16</v>
      </c>
      <c r="Z15" t="s">
        <v>4</v>
      </c>
      <c r="AA15" t="s">
        <v>3</v>
      </c>
    </row>
    <row r="16" spans="1:32" x14ac:dyDescent="0.3">
      <c r="A16">
        <v>168</v>
      </c>
      <c r="B16">
        <v>189</v>
      </c>
      <c r="C16">
        <v>79</v>
      </c>
      <c r="D16">
        <f t="shared" si="0"/>
        <v>79.04696843925683</v>
      </c>
      <c r="E16">
        <f t="shared" si="1"/>
        <v>-4.6968439256829697E-2</v>
      </c>
      <c r="M16">
        <v>1</v>
      </c>
      <c r="N16">
        <v>189</v>
      </c>
      <c r="O16">
        <v>168</v>
      </c>
      <c r="P16">
        <v>79</v>
      </c>
      <c r="Q16">
        <f t="shared" si="2"/>
        <v>79.047317656853522</v>
      </c>
      <c r="R16">
        <f t="shared" si="3"/>
        <v>-4.7317656853522294E-2</v>
      </c>
    </row>
    <row r="17" spans="1:22" x14ac:dyDescent="0.3">
      <c r="A17">
        <v>166</v>
      </c>
      <c r="B17">
        <v>187</v>
      </c>
      <c r="C17">
        <v>77</v>
      </c>
      <c r="D17">
        <f t="shared" si="0"/>
        <v>77.979496133515227</v>
      </c>
      <c r="E17">
        <f t="shared" si="1"/>
        <v>-0.97949613351522657</v>
      </c>
      <c r="M17">
        <v>1</v>
      </c>
      <c r="N17">
        <v>187</v>
      </c>
      <c r="O17">
        <v>166</v>
      </c>
      <c r="P17">
        <v>77</v>
      </c>
      <c r="Q17">
        <f t="shared" si="2"/>
        <v>77.979711003888482</v>
      </c>
      <c r="R17">
        <f t="shared" si="3"/>
        <v>-0.97971100388848242</v>
      </c>
      <c r="T17" t="s">
        <v>37</v>
      </c>
    </row>
    <row r="18" spans="1:22" x14ac:dyDescent="0.3">
      <c r="A18">
        <v>172</v>
      </c>
      <c r="B18">
        <v>174</v>
      </c>
      <c r="C18">
        <v>77</v>
      </c>
      <c r="D18">
        <f t="shared" si="0"/>
        <v>76.404772279371173</v>
      </c>
      <c r="E18">
        <f t="shared" si="1"/>
        <v>0.59522772062882723</v>
      </c>
      <c r="M18">
        <v>1</v>
      </c>
      <c r="N18">
        <v>174</v>
      </c>
      <c r="O18">
        <v>172</v>
      </c>
      <c r="P18">
        <v>77</v>
      </c>
      <c r="Q18">
        <f t="shared" si="2"/>
        <v>76.404823134545566</v>
      </c>
      <c r="R18">
        <f t="shared" si="3"/>
        <v>0.59517686545443382</v>
      </c>
      <c r="T18" s="4" cm="1">
        <f t="array" ref="T18:V22">LINEST(P2:P31,N2:O31,TRUE,TRUE)</f>
        <v>0.28234501973311182</v>
      </c>
      <c r="U18" s="4">
        <v>0.25145830674930775</v>
      </c>
      <c r="V18" s="4">
        <v>-15.912265633931341</v>
      </c>
    </row>
    <row r="19" spans="1:22" x14ac:dyDescent="0.3">
      <c r="A19">
        <v>164</v>
      </c>
      <c r="B19">
        <v>173</v>
      </c>
      <c r="C19">
        <v>75</v>
      </c>
      <c r="D19">
        <f t="shared" si="0"/>
        <v>73.894882287961707</v>
      </c>
      <c r="E19">
        <f t="shared" si="1"/>
        <v>1.1051177120382931</v>
      </c>
      <c r="M19">
        <v>1</v>
      </c>
      <c r="N19">
        <v>173</v>
      </c>
      <c r="O19">
        <v>164</v>
      </c>
      <c r="P19">
        <v>75</v>
      </c>
      <c r="Q19">
        <f t="shared" si="2"/>
        <v>73.894604669930985</v>
      </c>
      <c r="R19">
        <f t="shared" si="3"/>
        <v>1.1053953300690154</v>
      </c>
      <c r="T19" s="4">
        <v>2.4231342407133996E-2</v>
      </c>
      <c r="U19" s="4">
        <v>2.104884180691205E-2</v>
      </c>
      <c r="V19" s="4">
        <v>4.8463992434921428</v>
      </c>
    </row>
    <row r="20" spans="1:22" x14ac:dyDescent="0.3">
      <c r="A20">
        <v>171</v>
      </c>
      <c r="B20">
        <v>179</v>
      </c>
      <c r="C20">
        <v>76</v>
      </c>
      <c r="D20">
        <f t="shared" si="0"/>
        <v>77.379606896406329</v>
      </c>
      <c r="E20">
        <f t="shared" si="1"/>
        <v>-1.3796068964063295</v>
      </c>
      <c r="M20">
        <v>1</v>
      </c>
      <c r="N20">
        <v>179</v>
      </c>
      <c r="O20">
        <v>171</v>
      </c>
      <c r="P20">
        <v>76</v>
      </c>
      <c r="Q20">
        <f t="shared" si="2"/>
        <v>77.379769648559275</v>
      </c>
      <c r="R20">
        <f t="shared" si="3"/>
        <v>-1.3797696485592752</v>
      </c>
      <c r="T20" s="4">
        <v>0.93058523527060799</v>
      </c>
      <c r="U20" s="4">
        <v>0.70160170246075992</v>
      </c>
      <c r="V20" s="4" t="e">
        <v>#N/A</v>
      </c>
    </row>
    <row r="21" spans="1:22" x14ac:dyDescent="0.3">
      <c r="A21">
        <v>161</v>
      </c>
      <c r="B21">
        <v>175</v>
      </c>
      <c r="C21">
        <v>75</v>
      </c>
      <c r="D21">
        <f t="shared" si="0"/>
        <v>73.550816137604272</v>
      </c>
      <c r="E21">
        <f t="shared" si="1"/>
        <v>1.4491838623957278</v>
      </c>
      <c r="M21">
        <v>1</v>
      </c>
      <c r="N21">
        <v>175</v>
      </c>
      <c r="O21">
        <v>161</v>
      </c>
      <c r="P21">
        <v>75</v>
      </c>
      <c r="Q21">
        <f t="shared" si="2"/>
        <v>73.550486224230255</v>
      </c>
      <c r="R21">
        <f t="shared" si="3"/>
        <v>1.4495137757697449</v>
      </c>
      <c r="T21" s="4">
        <v>180.98311973149643</v>
      </c>
      <c r="U21" s="4">
        <v>27</v>
      </c>
      <c r="V21" s="4" t="e">
        <v>#N/A</v>
      </c>
    </row>
    <row r="22" spans="1:22" x14ac:dyDescent="0.3">
      <c r="A22">
        <v>172</v>
      </c>
      <c r="B22">
        <v>186</v>
      </c>
      <c r="C22">
        <v>80</v>
      </c>
      <c r="D22">
        <f t="shared" si="0"/>
        <v>79.421913819183089</v>
      </c>
      <c r="E22">
        <f t="shared" si="1"/>
        <v>0.57808618081691066</v>
      </c>
      <c r="M22">
        <v>1</v>
      </c>
      <c r="N22">
        <v>186</v>
      </c>
      <c r="O22">
        <v>172</v>
      </c>
      <c r="P22">
        <v>80</v>
      </c>
      <c r="Q22">
        <f t="shared" si="2"/>
        <v>79.422322815538024</v>
      </c>
      <c r="R22">
        <f t="shared" si="3"/>
        <v>0.57767718446197591</v>
      </c>
      <c r="T22" s="4">
        <v>178.1760530464791</v>
      </c>
      <c r="U22" s="4">
        <v>13.290613620187591</v>
      </c>
      <c r="V22" s="4" t="e">
        <v>#N/A</v>
      </c>
    </row>
    <row r="23" spans="1:22" x14ac:dyDescent="0.3">
      <c r="A23">
        <v>166</v>
      </c>
      <c r="B23">
        <v>182</v>
      </c>
      <c r="C23">
        <v>76</v>
      </c>
      <c r="D23">
        <f t="shared" si="0"/>
        <v>76.722353825260257</v>
      </c>
      <c r="E23">
        <f t="shared" si="1"/>
        <v>-0.7223538252602566</v>
      </c>
      <c r="M23">
        <v>1</v>
      </c>
      <c r="N23">
        <v>182</v>
      </c>
      <c r="O23">
        <v>166</v>
      </c>
      <c r="P23">
        <v>76</v>
      </c>
      <c r="Q23">
        <f t="shared" si="2"/>
        <v>76.722419470141617</v>
      </c>
      <c r="R23">
        <f t="shared" si="3"/>
        <v>-0.72241947014161667</v>
      </c>
    </row>
    <row r="24" spans="1:22" x14ac:dyDescent="0.3">
      <c r="A24">
        <v>156</v>
      </c>
      <c r="B24">
        <v>191</v>
      </c>
      <c r="C24">
        <v>76</v>
      </c>
      <c r="D24">
        <f t="shared" si="0"/>
        <v>76.162133067921104</v>
      </c>
      <c r="E24">
        <f t="shared" si="1"/>
        <v>-0.16213306792110416</v>
      </c>
      <c r="M24">
        <v>1</v>
      </c>
      <c r="N24">
        <v>191</v>
      </c>
      <c r="O24">
        <v>156</v>
      </c>
      <c r="P24">
        <v>76</v>
      </c>
      <c r="Q24">
        <f t="shared" si="2"/>
        <v>76.162094033554425</v>
      </c>
      <c r="R24">
        <f t="shared" si="3"/>
        <v>-0.16209403355442475</v>
      </c>
    </row>
    <row r="25" spans="1:22" x14ac:dyDescent="0.3">
      <c r="A25">
        <v>172</v>
      </c>
      <c r="B25">
        <v>180</v>
      </c>
      <c r="C25">
        <v>78</v>
      </c>
      <c r="D25">
        <f t="shared" si="0"/>
        <v>77.913343049277131</v>
      </c>
      <c r="E25">
        <f t="shared" si="1"/>
        <v>8.6656950722868942E-2</v>
      </c>
      <c r="M25">
        <v>1</v>
      </c>
      <c r="N25">
        <v>180</v>
      </c>
      <c r="O25">
        <v>172</v>
      </c>
      <c r="P25">
        <v>78</v>
      </c>
      <c r="Q25">
        <f t="shared" si="2"/>
        <v>77.913572975041788</v>
      </c>
      <c r="R25">
        <f t="shared" si="3"/>
        <v>8.6427024958211973E-2</v>
      </c>
    </row>
    <row r="26" spans="1:22" x14ac:dyDescent="0.3">
      <c r="A26">
        <v>170</v>
      </c>
      <c r="B26">
        <v>183</v>
      </c>
      <c r="C26">
        <v>78</v>
      </c>
      <c r="D26">
        <f t="shared" si="0"/>
        <v>78.103013051790498</v>
      </c>
      <c r="E26">
        <f t="shared" si="1"/>
        <v>-0.10301305179049791</v>
      </c>
      <c r="M26">
        <v>1</v>
      </c>
      <c r="N26">
        <v>183</v>
      </c>
      <c r="O26">
        <v>170</v>
      </c>
      <c r="P26">
        <v>78</v>
      </c>
      <c r="Q26">
        <f t="shared" si="2"/>
        <v>78.1032578558236</v>
      </c>
      <c r="R26">
        <f t="shared" si="3"/>
        <v>-0.1032578558235997</v>
      </c>
    </row>
    <row r="27" spans="1:22" x14ac:dyDescent="0.3">
      <c r="A27">
        <v>157</v>
      </c>
      <c r="B27">
        <v>182</v>
      </c>
      <c r="C27">
        <v>75</v>
      </c>
      <c r="D27">
        <f t="shared" si="0"/>
        <v>74.181584604281966</v>
      </c>
      <c r="E27">
        <f t="shared" si="1"/>
        <v>0.81841539571803423</v>
      </c>
      <c r="M27">
        <v>1</v>
      </c>
      <c r="N27">
        <v>182</v>
      </c>
      <c r="O27">
        <v>157</v>
      </c>
      <c r="P27">
        <v>75</v>
      </c>
      <c r="Q27">
        <f t="shared" si="2"/>
        <v>74.181314292543249</v>
      </c>
      <c r="R27">
        <f t="shared" si="3"/>
        <v>0.81868570745675129</v>
      </c>
    </row>
    <row r="28" spans="1:22" x14ac:dyDescent="0.3">
      <c r="A28">
        <v>159</v>
      </c>
      <c r="B28">
        <v>177</v>
      </c>
      <c r="C28">
        <v>73</v>
      </c>
      <c r="D28">
        <f t="shared" si="0"/>
        <v>73.489057678466622</v>
      </c>
      <c r="E28">
        <f t="shared" si="1"/>
        <v>-0.48905767846662229</v>
      </c>
      <c r="M28">
        <v>1</v>
      </c>
      <c r="N28">
        <v>177</v>
      </c>
      <c r="O28">
        <v>159</v>
      </c>
      <c r="P28">
        <v>73</v>
      </c>
      <c r="Q28">
        <f t="shared" si="2"/>
        <v>73.488712798262696</v>
      </c>
      <c r="R28">
        <f t="shared" si="3"/>
        <v>-0.48871279826269642</v>
      </c>
    </row>
    <row r="29" spans="1:22" x14ac:dyDescent="0.3">
      <c r="A29">
        <v>163</v>
      </c>
      <c r="B29">
        <v>176</v>
      </c>
      <c r="C29">
        <v>74</v>
      </c>
      <c r="D29">
        <f t="shared" si="0"/>
        <v>74.366859981694859</v>
      </c>
      <c r="E29">
        <f t="shared" si="1"/>
        <v>-0.36685998169485856</v>
      </c>
      <c r="M29">
        <v>1</v>
      </c>
      <c r="N29">
        <v>176</v>
      </c>
      <c r="O29">
        <v>163</v>
      </c>
      <c r="P29">
        <v>74</v>
      </c>
      <c r="Q29">
        <f t="shared" si="2"/>
        <v>74.366634570445939</v>
      </c>
      <c r="R29">
        <f t="shared" si="3"/>
        <v>-0.36663457044593883</v>
      </c>
    </row>
    <row r="30" spans="1:22" x14ac:dyDescent="0.3">
      <c r="A30">
        <v>164</v>
      </c>
      <c r="B30">
        <v>169</v>
      </c>
      <c r="C30">
        <v>73</v>
      </c>
      <c r="D30">
        <f t="shared" si="0"/>
        <v>72.889168441357725</v>
      </c>
      <c r="E30">
        <f t="shared" si="1"/>
        <v>0.11083155864227479</v>
      </c>
      <c r="M30">
        <v>1</v>
      </c>
      <c r="N30">
        <v>169</v>
      </c>
      <c r="O30">
        <v>164</v>
      </c>
      <c r="P30">
        <v>73</v>
      </c>
      <c r="Q30">
        <f t="shared" si="2"/>
        <v>72.888771442933503</v>
      </c>
      <c r="R30">
        <f t="shared" si="3"/>
        <v>0.11122855706649659</v>
      </c>
    </row>
    <row r="31" spans="1:22" x14ac:dyDescent="0.3">
      <c r="A31">
        <v>171</v>
      </c>
      <c r="B31">
        <v>186</v>
      </c>
      <c r="C31">
        <v>79</v>
      </c>
      <c r="D31">
        <f t="shared" si="0"/>
        <v>79.139606127963276</v>
      </c>
      <c r="E31">
        <f t="shared" si="1"/>
        <v>-0.13960612796327609</v>
      </c>
      <c r="M31">
        <v>1</v>
      </c>
      <c r="N31">
        <v>186</v>
      </c>
      <c r="O31">
        <v>171</v>
      </c>
      <c r="P31">
        <v>79</v>
      </c>
      <c r="Q31">
        <f t="shared" si="2"/>
        <v>79.139977795804867</v>
      </c>
      <c r="R31">
        <f t="shared" si="3"/>
        <v>-0.13997779580486736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A6B2-EC5C-4F57-AC30-B5C21F62CFC6}">
  <dimension ref="A1:V51"/>
  <sheetViews>
    <sheetView tabSelected="1" topLeftCell="C1" workbookViewId="0">
      <selection activeCell="T12" sqref="T12"/>
    </sheetView>
  </sheetViews>
  <sheetFormatPr defaultRowHeight="14.4" x14ac:dyDescent="0.3"/>
  <cols>
    <col min="2" max="2" width="11.33203125" bestFit="1" customWidth="1"/>
    <col min="3" max="3" width="10.77734375" bestFit="1" customWidth="1"/>
    <col min="4" max="4" width="10.5546875" bestFit="1" customWidth="1"/>
    <col min="5" max="5" width="11.109375" bestFit="1" customWidth="1"/>
    <col min="16" max="18" width="12.6640625" bestFit="1" customWidth="1"/>
  </cols>
  <sheetData>
    <row r="1" spans="1:22" x14ac:dyDescent="0.3">
      <c r="A1" t="s">
        <v>23</v>
      </c>
      <c r="B1" t="s">
        <v>45</v>
      </c>
      <c r="C1" t="s">
        <v>46</v>
      </c>
      <c r="D1" t="s">
        <v>48</v>
      </c>
      <c r="E1" t="s">
        <v>47</v>
      </c>
      <c r="F1" t="s">
        <v>7</v>
      </c>
      <c r="G1" t="s">
        <v>8</v>
      </c>
      <c r="I1" t="s">
        <v>15</v>
      </c>
      <c r="L1" t="s">
        <v>50</v>
      </c>
      <c r="M1" s="5">
        <f t="array" ref="M1:P4">MMULT(TRANSPOSE(A2:D51),A2:D51)</f>
        <v>50</v>
      </c>
      <c r="N1" s="5">
        <v>250.29999999999998</v>
      </c>
      <c r="O1" s="5">
        <v>171.40000000000003</v>
      </c>
      <c r="P1" s="5">
        <v>12.299999999999995</v>
      </c>
    </row>
    <row r="2" spans="1:22" x14ac:dyDescent="0.3">
      <c r="A2">
        <v>1</v>
      </c>
      <c r="B2">
        <v>5.0999999999999996</v>
      </c>
      <c r="C2">
        <v>3.5</v>
      </c>
      <c r="D2">
        <v>0.2</v>
      </c>
      <c r="E2">
        <v>1.4</v>
      </c>
      <c r="F2">
        <f>D2*$J$5+C2*$J$4+B2*$J$3+$J$2*A2</f>
        <v>1.4495699564193423</v>
      </c>
      <c r="G2">
        <f>E2-F2</f>
        <v>-4.9569956419342365E-2</v>
      </c>
      <c r="I2" s="3" t="s">
        <v>17</v>
      </c>
      <c r="J2" s="3">
        <f>O7</f>
        <v>0.86546731051543035</v>
      </c>
      <c r="M2" s="5">
        <v>250.29999999999998</v>
      </c>
      <c r="N2" s="5">
        <v>1259.0899999999997</v>
      </c>
      <c r="O2" s="5">
        <v>862.89000000000033</v>
      </c>
      <c r="P2" s="5">
        <v>62.08000000000002</v>
      </c>
    </row>
    <row r="3" spans="1:22" x14ac:dyDescent="0.3">
      <c r="A3">
        <v>1</v>
      </c>
      <c r="B3">
        <v>4.9000000000000004</v>
      </c>
      <c r="C3">
        <v>3</v>
      </c>
      <c r="D3">
        <v>0.2</v>
      </c>
      <c r="E3">
        <v>1.4</v>
      </c>
      <c r="F3">
        <f t="shared" ref="F3:F51" si="0">D3*$J$5+C3*$J$4+B3*$J$3+$J$2*A3</f>
        <v>1.4406855968736429</v>
      </c>
      <c r="G3">
        <f t="shared" ref="G3:G51" si="1">E3-F3</f>
        <v>-4.0685596873643037E-2</v>
      </c>
      <c r="I3" s="3" t="s">
        <v>16</v>
      </c>
      <c r="J3" s="3">
        <f>O8</f>
        <v>0.11605588117659629</v>
      </c>
      <c r="M3" s="5">
        <v>171.40000000000003</v>
      </c>
      <c r="N3" s="5">
        <v>862.89000000000033</v>
      </c>
      <c r="O3" s="5">
        <v>594.60000000000025</v>
      </c>
      <c r="P3" s="5">
        <v>42.62</v>
      </c>
    </row>
    <row r="4" spans="1:22" x14ac:dyDescent="0.3">
      <c r="A4">
        <v>1</v>
      </c>
      <c r="B4">
        <v>4.7</v>
      </c>
      <c r="C4">
        <v>3.2</v>
      </c>
      <c r="D4">
        <v>0.2</v>
      </c>
      <c r="E4">
        <v>1.3</v>
      </c>
      <c r="F4">
        <f t="shared" si="0"/>
        <v>1.4117436939624757</v>
      </c>
      <c r="G4">
        <f t="shared" si="1"/>
        <v>-0.11174369396247563</v>
      </c>
      <c r="I4" s="3" t="s">
        <v>4</v>
      </c>
      <c r="J4" s="3">
        <f>O9</f>
        <v>-2.8653633379239367E-2</v>
      </c>
      <c r="M4" s="5">
        <v>12.299999999999995</v>
      </c>
      <c r="N4" s="5">
        <v>62.08000000000002</v>
      </c>
      <c r="O4" s="5">
        <v>42.62</v>
      </c>
      <c r="P4" s="5">
        <v>3.5700000000000007</v>
      </c>
    </row>
    <row r="5" spans="1:22" x14ac:dyDescent="0.3">
      <c r="A5">
        <v>1</v>
      </c>
      <c r="B5">
        <v>4.5999999999999996</v>
      </c>
      <c r="C5">
        <v>3.1</v>
      </c>
      <c r="D5">
        <v>0.2</v>
      </c>
      <c r="E5">
        <v>1.5</v>
      </c>
      <c r="F5">
        <f t="shared" si="0"/>
        <v>1.40300346918274</v>
      </c>
      <c r="G5">
        <f t="shared" si="1"/>
        <v>9.6996530817260007E-2</v>
      </c>
      <c r="I5" s="3" t="s">
        <v>3</v>
      </c>
      <c r="J5" s="3">
        <f>O10</f>
        <v>0.46252684365304381</v>
      </c>
      <c r="K5" t="s">
        <v>49</v>
      </c>
      <c r="P5" s="10" t="s">
        <v>57</v>
      </c>
      <c r="Q5" s="10"/>
      <c r="R5" s="10"/>
      <c r="S5" s="7"/>
      <c r="T5" s="7"/>
    </row>
    <row r="6" spans="1:22" ht="43.8" x14ac:dyDescent="0.3">
      <c r="A6">
        <v>1</v>
      </c>
      <c r="B6">
        <v>5</v>
      </c>
      <c r="C6">
        <v>3.6</v>
      </c>
      <c r="D6">
        <v>0.2</v>
      </c>
      <c r="E6">
        <v>1.4</v>
      </c>
      <c r="F6">
        <f t="shared" si="0"/>
        <v>1.4350990049637589</v>
      </c>
      <c r="G6">
        <f t="shared" si="1"/>
        <v>-3.5099004963758951E-2</v>
      </c>
      <c r="J6" s="2" t="s">
        <v>25</v>
      </c>
      <c r="K6" s="2" t="s">
        <v>28</v>
      </c>
      <c r="L6" s="2" t="s">
        <v>27</v>
      </c>
      <c r="M6" s="2" t="s">
        <v>26</v>
      </c>
      <c r="P6" s="9" t="s">
        <v>56</v>
      </c>
      <c r="Q6" s="9" t="s">
        <v>55</v>
      </c>
      <c r="R6" s="9" t="s">
        <v>54</v>
      </c>
      <c r="S6" s="8" t="s">
        <v>53</v>
      </c>
      <c r="T6" s="8"/>
      <c r="U6" s="7" t="s">
        <v>58</v>
      </c>
      <c r="V6" s="2" t="s">
        <v>33</v>
      </c>
    </row>
    <row r="7" spans="1:22" x14ac:dyDescent="0.3">
      <c r="A7">
        <v>1</v>
      </c>
      <c r="B7">
        <v>5.4</v>
      </c>
      <c r="C7">
        <v>3.9</v>
      </c>
      <c r="D7">
        <v>0.4</v>
      </c>
      <c r="E7">
        <v>1.7</v>
      </c>
      <c r="F7">
        <f t="shared" si="0"/>
        <v>1.5654306361512345</v>
      </c>
      <c r="G7">
        <f t="shared" si="1"/>
        <v>0.1345693638487655</v>
      </c>
      <c r="I7" s="1" t="s">
        <v>9</v>
      </c>
      <c r="J7" s="1">
        <f>SUMSQ(G:G)</f>
        <v>1.2636615961756437</v>
      </c>
      <c r="K7" s="2">
        <f>J7/(M1-4)</f>
        <v>2.7470904264687904E-2</v>
      </c>
      <c r="L7" s="2">
        <f>SQRT(K7)</f>
        <v>0.16574348935836938</v>
      </c>
      <c r="N7" s="3" t="s">
        <v>17</v>
      </c>
      <c r="O7" s="3">
        <f t="array" ref="O7:O10">MMULT(MMULT(MINVERSE(M1:P4),TRANSPOSE(A2:D51)),E2:E51)</f>
        <v>0.86546731051543035</v>
      </c>
      <c r="P7" s="7">
        <f>SQRT(N12)</f>
        <v>0.34331325411082148</v>
      </c>
      <c r="Q7" s="7">
        <f>O7/P7</f>
        <v>2.5209260060669187</v>
      </c>
      <c r="R7" s="7">
        <f>_xlfn.T.DIST.2T(ABS($Q7), $M$1 - 4)</f>
        <v>1.5234996983931586E-2</v>
      </c>
      <c r="S7" s="6" t="str">
        <f>IF($R7 &lt;= $V$7, "Odrzucamy hipotezę zerową.", "Nie ma podstaw do odrzucenia hipotezy zerowej.")</f>
        <v>Odrzucamy hipotezę zerową.</v>
      </c>
      <c r="T7" s="6"/>
      <c r="V7">
        <v>0.05</v>
      </c>
    </row>
    <row r="8" spans="1:22" ht="14.4" customHeight="1" x14ac:dyDescent="0.3">
      <c r="A8">
        <v>1</v>
      </c>
      <c r="B8">
        <v>4.5999999999999996</v>
      </c>
      <c r="C8">
        <v>3.4</v>
      </c>
      <c r="D8">
        <v>0.3</v>
      </c>
      <c r="E8">
        <v>1.4</v>
      </c>
      <c r="F8">
        <f t="shared" si="0"/>
        <v>1.4406600635342726</v>
      </c>
      <c r="G8">
        <f t="shared" si="1"/>
        <v>-4.066006353427265E-2</v>
      </c>
      <c r="I8" s="1" t="s">
        <v>11</v>
      </c>
      <c r="J8" s="1">
        <f t="array" ref="J8">SUM((F2:F51-AVERAGE(F2:F51))^2)</f>
        <v>0.21413840382436272</v>
      </c>
      <c r="N8" s="3" t="s">
        <v>16</v>
      </c>
      <c r="O8" s="3">
        <v>0.11605588117659629</v>
      </c>
      <c r="P8" s="7">
        <f>SQRT(O13)</f>
        <v>0.10162415899153601</v>
      </c>
      <c r="Q8" s="7">
        <f t="shared" ref="Q8:Q10" si="2">O8/P8</f>
        <v>1.1420107416216085</v>
      </c>
      <c r="R8" s="7">
        <f t="shared" ref="R8:R10" si="3">_xlfn.T.DIST.2T(ABS($Q8), $M$1 - 4)</f>
        <v>0.25935938269058101</v>
      </c>
      <c r="S8" s="6" t="str">
        <f t="shared" ref="S8:S10" si="4">IF($R8 &lt;= $V$7, "Odrzucamy hipotezę zerową.", "Nie ma podstaw do odrzucenia hipotezy zerowej.")</f>
        <v>Nie ma podstaw do odrzucenia hipotezy zerowej.</v>
      </c>
      <c r="T8" s="6"/>
    </row>
    <row r="9" spans="1:22" ht="14.4" customHeight="1" x14ac:dyDescent="0.3">
      <c r="A9">
        <v>1</v>
      </c>
      <c r="B9">
        <v>5</v>
      </c>
      <c r="C9">
        <v>3.4</v>
      </c>
      <c r="D9">
        <v>0.2</v>
      </c>
      <c r="E9">
        <v>1.5</v>
      </c>
      <c r="F9">
        <f t="shared" si="0"/>
        <v>1.4408297316396066</v>
      </c>
      <c r="G9">
        <f t="shared" si="1"/>
        <v>5.9170268360393408E-2</v>
      </c>
      <c r="I9" s="1" t="s">
        <v>10</v>
      </c>
      <c r="J9" s="1">
        <f t="array" ref="J9">SUM((E2:E51-AVERAGE(E2:E51))^2)</f>
        <v>1.4778000000000004</v>
      </c>
      <c r="K9" s="1">
        <f>SUM(J7:J8)</f>
        <v>1.4778000000000064</v>
      </c>
      <c r="N9" s="3" t="s">
        <v>4</v>
      </c>
      <c r="O9" s="3">
        <v>-2.8653633379239367E-2</v>
      </c>
      <c r="P9" s="7">
        <f>SQRT(P14)</f>
        <v>9.3335279138423544E-2</v>
      </c>
      <c r="Q9" s="7">
        <f t="shared" si="2"/>
        <v>-0.30699681453508892</v>
      </c>
      <c r="R9" s="7">
        <f t="shared" si="3"/>
        <v>0.76023129249388932</v>
      </c>
      <c r="S9" s="6" t="str">
        <f t="shared" si="4"/>
        <v>Nie ma podstaw do odrzucenia hipotezy zerowej.</v>
      </c>
      <c r="T9" s="6"/>
    </row>
    <row r="10" spans="1:22" ht="14.4" customHeight="1" x14ac:dyDescent="0.3">
      <c r="A10">
        <v>1</v>
      </c>
      <c r="B10">
        <v>4.4000000000000004</v>
      </c>
      <c r="C10">
        <v>2.9</v>
      </c>
      <c r="D10">
        <v>0.2</v>
      </c>
      <c r="E10">
        <v>1.4</v>
      </c>
      <c r="F10">
        <f t="shared" si="0"/>
        <v>1.3855230196232686</v>
      </c>
      <c r="G10">
        <f t="shared" si="1"/>
        <v>1.4476980376731285E-2</v>
      </c>
      <c r="N10" s="3" t="s">
        <v>3</v>
      </c>
      <c r="O10" s="3">
        <v>0.46252684365304381</v>
      </c>
      <c r="P10" s="7">
        <f>SQRT(Q15)</f>
        <v>0.23409808807532292</v>
      </c>
      <c r="Q10" s="7">
        <f t="shared" si="2"/>
        <v>1.9757822349417142</v>
      </c>
      <c r="R10" s="7">
        <f t="shared" si="3"/>
        <v>5.4195742258180996E-2</v>
      </c>
      <c r="S10" s="6" t="str">
        <f t="shared" si="4"/>
        <v>Nie ma podstaw do odrzucenia hipotezy zerowej.</v>
      </c>
      <c r="T10" s="6"/>
    </row>
    <row r="11" spans="1:22" x14ac:dyDescent="0.3">
      <c r="A11">
        <v>1</v>
      </c>
      <c r="B11">
        <v>4.9000000000000004</v>
      </c>
      <c r="C11">
        <v>3.1</v>
      </c>
      <c r="D11">
        <v>0.1</v>
      </c>
      <c r="E11">
        <v>1.5</v>
      </c>
      <c r="F11">
        <f t="shared" si="0"/>
        <v>1.3915675491704147</v>
      </c>
      <c r="G11">
        <f t="shared" si="1"/>
        <v>0.1084324508295853</v>
      </c>
      <c r="I11" t="s">
        <v>51</v>
      </c>
      <c r="J11">
        <f>AVERAGE(E:E)</f>
        <v>1.4620000000000002</v>
      </c>
      <c r="K11">
        <f>AVERAGE(F:F)</f>
        <v>1.4620000000000872</v>
      </c>
      <c r="L11">
        <f>AVERAGE(G:G)</f>
        <v>-8.7645446456008364E-14</v>
      </c>
      <c r="N11" t="s">
        <v>29</v>
      </c>
      <c r="S11" t="s">
        <v>34</v>
      </c>
      <c r="V11" t="s">
        <v>36</v>
      </c>
    </row>
    <row r="12" spans="1:22" x14ac:dyDescent="0.3">
      <c r="A12">
        <v>1</v>
      </c>
      <c r="B12">
        <v>5.4</v>
      </c>
      <c r="C12">
        <v>3.7</v>
      </c>
      <c r="D12">
        <v>0.2</v>
      </c>
      <c r="E12">
        <v>1.5</v>
      </c>
      <c r="F12">
        <f t="shared" si="0"/>
        <v>1.4786559940964734</v>
      </c>
      <c r="G12">
        <f t="shared" si="1"/>
        <v>2.1344005903526586E-2</v>
      </c>
      <c r="N12">
        <f t="array" ref="N12:Q15">K7*MINVERSE(M1:P4)</f>
        <v>0.11786399044816148</v>
      </c>
      <c r="O12">
        <v>-2.7161247110457386E-2</v>
      </c>
      <c r="P12">
        <v>4.8088440582793844E-3</v>
      </c>
      <c r="Q12">
        <v>8.8207855296758252E-3</v>
      </c>
      <c r="R12" t="s">
        <v>17</v>
      </c>
      <c r="S12" t="s">
        <v>35</v>
      </c>
      <c r="T12">
        <f>J8/3/K7</f>
        <v>2.5983661569236363</v>
      </c>
      <c r="V12">
        <f>_xlfn.F.DIST.RT(T12,3,M1-4)</f>
        <v>6.3561549844817572E-2</v>
      </c>
    </row>
    <row r="13" spans="1:22" x14ac:dyDescent="0.3">
      <c r="A13">
        <v>1</v>
      </c>
      <c r="B13">
        <v>4.8</v>
      </c>
      <c r="C13">
        <v>3.4</v>
      </c>
      <c r="D13">
        <v>0.2</v>
      </c>
      <c r="E13">
        <v>1.6</v>
      </c>
      <c r="F13">
        <f t="shared" si="0"/>
        <v>1.4176185554042875</v>
      </c>
      <c r="G13">
        <f t="shared" si="1"/>
        <v>0.18238144459571259</v>
      </c>
      <c r="I13" t="s">
        <v>6</v>
      </c>
      <c r="J13">
        <f>J8/J9</f>
        <v>0.14490350779832362</v>
      </c>
      <c r="K13">
        <f>(1-J7/J9)</f>
        <v>0.14490350779831962</v>
      </c>
      <c r="N13">
        <v>-2.7161247110457077E-2</v>
      </c>
      <c r="O13">
        <v>1.0327469690736989E-2</v>
      </c>
      <c r="P13">
        <v>-6.8822345653604981E-3</v>
      </c>
      <c r="Q13">
        <v>-3.8445775256767943E-3</v>
      </c>
      <c r="R13" t="s">
        <v>16</v>
      </c>
      <c r="T13" t="s">
        <v>52</v>
      </c>
    </row>
    <row r="14" spans="1:22" x14ac:dyDescent="0.3">
      <c r="A14">
        <v>1</v>
      </c>
      <c r="B14">
        <v>4.8</v>
      </c>
      <c r="C14">
        <v>3</v>
      </c>
      <c r="D14">
        <v>0.1</v>
      </c>
      <c r="E14">
        <v>1.4</v>
      </c>
      <c r="F14">
        <f t="shared" si="0"/>
        <v>1.382827324390679</v>
      </c>
      <c r="G14">
        <f t="shared" si="1"/>
        <v>1.7172675609320898E-2</v>
      </c>
      <c r="I14" t="s">
        <v>24</v>
      </c>
      <c r="J14">
        <f>1-J7/(M1-3)/(J9/(M1-1))</f>
        <v>0.10851642302378006</v>
      </c>
      <c r="K14">
        <f>1-J7/(M1-3)/_xlfn.VAR.S(E:E)</f>
        <v>0.1085164230237381</v>
      </c>
      <c r="N14">
        <v>4.8088440582789455E-3</v>
      </c>
      <c r="O14">
        <v>-6.882234565360407E-3</v>
      </c>
      <c r="P14">
        <v>8.7114743318474422E-3</v>
      </c>
      <c r="Q14">
        <v>-8.915115189341051E-4</v>
      </c>
      <c r="R14" t="s">
        <v>4</v>
      </c>
    </row>
    <row r="15" spans="1:22" x14ac:dyDescent="0.3">
      <c r="A15">
        <v>1</v>
      </c>
      <c r="B15">
        <v>4.3</v>
      </c>
      <c r="C15">
        <v>3</v>
      </c>
      <c r="D15">
        <v>0.1</v>
      </c>
      <c r="E15">
        <v>1.1000000000000001</v>
      </c>
      <c r="F15">
        <f t="shared" si="0"/>
        <v>1.3247993838023806</v>
      </c>
      <c r="G15">
        <f t="shared" si="1"/>
        <v>-0.22479938380238051</v>
      </c>
      <c r="N15">
        <v>8.8207855296755927E-3</v>
      </c>
      <c r="O15">
        <v>-3.8445775256768073E-3</v>
      </c>
      <c r="P15">
        <v>-8.9151151893401891E-4</v>
      </c>
      <c r="Q15">
        <v>5.4801914840521646E-2</v>
      </c>
      <c r="R15" t="s">
        <v>3</v>
      </c>
    </row>
    <row r="16" spans="1:22" x14ac:dyDescent="0.3">
      <c r="A16">
        <v>1</v>
      </c>
      <c r="B16">
        <v>5.8</v>
      </c>
      <c r="C16">
        <v>4</v>
      </c>
      <c r="D16">
        <v>0.2</v>
      </c>
      <c r="E16">
        <v>1.2</v>
      </c>
      <c r="F16">
        <f t="shared" si="0"/>
        <v>1.5164822565533402</v>
      </c>
      <c r="G16">
        <f t="shared" si="1"/>
        <v>-0.31648225655334028</v>
      </c>
      <c r="N16" t="s">
        <v>17</v>
      </c>
      <c r="O16" t="s">
        <v>16</v>
      </c>
      <c r="P16" t="s">
        <v>4</v>
      </c>
      <c r="Q16" t="s">
        <v>3</v>
      </c>
    </row>
    <row r="17" spans="1:12" x14ac:dyDescent="0.3">
      <c r="A17">
        <v>1</v>
      </c>
      <c r="B17">
        <v>5.7</v>
      </c>
      <c r="C17">
        <v>4.4000000000000004</v>
      </c>
      <c r="D17">
        <v>0.4</v>
      </c>
      <c r="E17">
        <v>1.5</v>
      </c>
      <c r="F17">
        <f t="shared" si="0"/>
        <v>1.5859205838145938</v>
      </c>
      <c r="G17">
        <f t="shared" si="1"/>
        <v>-8.5920583814593776E-2</v>
      </c>
      <c r="I17" t="s">
        <v>37</v>
      </c>
    </row>
    <row r="18" spans="1:12" x14ac:dyDescent="0.3">
      <c r="A18">
        <v>1</v>
      </c>
      <c r="B18">
        <v>5.4</v>
      </c>
      <c r="C18">
        <v>3.9</v>
      </c>
      <c r="D18">
        <v>0.4</v>
      </c>
      <c r="E18">
        <v>1.3</v>
      </c>
      <c r="F18">
        <f t="shared" si="0"/>
        <v>1.5654306361512345</v>
      </c>
      <c r="G18">
        <f t="shared" si="1"/>
        <v>-0.26543063615123441</v>
      </c>
      <c r="I18" s="4">
        <f t="array" ref="I18:L22">LINEST(E2:E51,B2:D51,TRUE,TRUE)</f>
        <v>0.4625268436530473</v>
      </c>
      <c r="J18" s="4">
        <v>-2.8653633379210109E-2</v>
      </c>
      <c r="K18" s="4">
        <v>0.1160558811765702</v>
      </c>
      <c r="L18">
        <v>0.86546731051537251</v>
      </c>
    </row>
    <row r="19" spans="1:12" x14ac:dyDescent="0.3">
      <c r="A19">
        <v>1</v>
      </c>
      <c r="B19">
        <v>5.0999999999999996</v>
      </c>
      <c r="C19">
        <v>3.5</v>
      </c>
      <c r="D19">
        <v>0.3</v>
      </c>
      <c r="E19">
        <v>1.4</v>
      </c>
      <c r="F19">
        <f t="shared" si="0"/>
        <v>1.4958226407846467</v>
      </c>
      <c r="G19">
        <f t="shared" si="1"/>
        <v>-9.5822640784646751E-2</v>
      </c>
      <c r="I19" s="4">
        <v>0.23409808807532179</v>
      </c>
      <c r="J19" s="4">
        <v>9.3335279138418895E-2</v>
      </c>
      <c r="K19" s="4">
        <v>0.10162415899152839</v>
      </c>
      <c r="L19">
        <v>0.34331325411081098</v>
      </c>
    </row>
    <row r="20" spans="1:12" x14ac:dyDescent="0.3">
      <c r="A20">
        <v>1</v>
      </c>
      <c r="B20">
        <v>5.7</v>
      </c>
      <c r="C20">
        <v>3.8</v>
      </c>
      <c r="D20">
        <v>0.3</v>
      </c>
      <c r="E20">
        <v>1.7</v>
      </c>
      <c r="F20">
        <f t="shared" si="0"/>
        <v>1.5568600794768328</v>
      </c>
      <c r="G20">
        <f t="shared" si="1"/>
        <v>0.14313992052316715</v>
      </c>
      <c r="I20" s="4">
        <v>0.14490350779832006</v>
      </c>
      <c r="J20" s="4">
        <v>0.16574348935836933</v>
      </c>
      <c r="K20" s="4" t="e">
        <v>#N/A</v>
      </c>
      <c r="L20" t="e">
        <v>#N/A</v>
      </c>
    </row>
    <row r="21" spans="1:12" x14ac:dyDescent="0.3">
      <c r="A21">
        <v>1</v>
      </c>
      <c r="B21">
        <v>5.0999999999999996</v>
      </c>
      <c r="C21">
        <v>3.8</v>
      </c>
      <c r="D21">
        <v>0.3</v>
      </c>
      <c r="E21">
        <v>1.5</v>
      </c>
      <c r="F21">
        <f t="shared" si="0"/>
        <v>1.4872265507708748</v>
      </c>
      <c r="G21">
        <f t="shared" si="1"/>
        <v>1.2773449229125156E-2</v>
      </c>
      <c r="I21" s="4">
        <v>2.5983661569235736</v>
      </c>
      <c r="J21" s="4">
        <v>46</v>
      </c>
      <c r="K21" s="4" t="e">
        <v>#N/A</v>
      </c>
      <c r="L21" t="e">
        <v>#N/A</v>
      </c>
    </row>
    <row r="22" spans="1:12" x14ac:dyDescent="0.3">
      <c r="A22">
        <v>1</v>
      </c>
      <c r="B22">
        <v>5.4</v>
      </c>
      <c r="C22">
        <v>3.4</v>
      </c>
      <c r="D22">
        <v>0.2</v>
      </c>
      <c r="E22">
        <v>1.7</v>
      </c>
      <c r="F22">
        <f t="shared" si="0"/>
        <v>1.4872520841102452</v>
      </c>
      <c r="G22">
        <f t="shared" si="1"/>
        <v>0.21274791588975472</v>
      </c>
      <c r="I22" s="4">
        <v>0.21413840382435745</v>
      </c>
      <c r="J22" s="4">
        <v>1.263661596175643</v>
      </c>
      <c r="K22" s="4" t="e">
        <v>#N/A</v>
      </c>
      <c r="L22" t="e">
        <v>#N/A</v>
      </c>
    </row>
    <row r="23" spans="1:12" x14ac:dyDescent="0.3">
      <c r="A23">
        <v>1</v>
      </c>
      <c r="B23">
        <v>5.0999999999999996</v>
      </c>
      <c r="C23">
        <v>3.7</v>
      </c>
      <c r="D23">
        <v>0.4</v>
      </c>
      <c r="E23">
        <v>1.5</v>
      </c>
      <c r="F23">
        <f t="shared" si="0"/>
        <v>1.5363445984741033</v>
      </c>
      <c r="G23">
        <f t="shared" si="1"/>
        <v>-3.6344598474103318E-2</v>
      </c>
    </row>
    <row r="24" spans="1:12" x14ac:dyDescent="0.3">
      <c r="A24">
        <v>1</v>
      </c>
      <c r="B24">
        <v>4.5999999999999996</v>
      </c>
      <c r="C24">
        <v>3.6</v>
      </c>
      <c r="D24">
        <v>0.2</v>
      </c>
      <c r="E24">
        <v>1</v>
      </c>
      <c r="F24">
        <f t="shared" si="0"/>
        <v>1.3886766524931202</v>
      </c>
      <c r="G24">
        <f t="shared" si="1"/>
        <v>-0.38867665249312022</v>
      </c>
    </row>
    <row r="25" spans="1:12" x14ac:dyDescent="0.3">
      <c r="A25">
        <v>1</v>
      </c>
      <c r="B25">
        <v>5.0999999999999996</v>
      </c>
      <c r="C25">
        <v>3.3</v>
      </c>
      <c r="D25">
        <v>0.5</v>
      </c>
      <c r="E25">
        <v>1.7</v>
      </c>
      <c r="F25">
        <f t="shared" si="0"/>
        <v>1.5940587361911036</v>
      </c>
      <c r="G25">
        <f t="shared" si="1"/>
        <v>0.10594126380889635</v>
      </c>
    </row>
    <row r="26" spans="1:12" x14ac:dyDescent="0.3">
      <c r="A26">
        <v>1</v>
      </c>
      <c r="B26">
        <v>4.8</v>
      </c>
      <c r="C26">
        <v>3.4</v>
      </c>
      <c r="D26">
        <v>0.2</v>
      </c>
      <c r="E26">
        <v>1.9</v>
      </c>
      <c r="F26">
        <f t="shared" si="0"/>
        <v>1.4176185554042875</v>
      </c>
      <c r="G26">
        <f t="shared" si="1"/>
        <v>0.48238144459571242</v>
      </c>
    </row>
    <row r="27" spans="1:12" x14ac:dyDescent="0.3">
      <c r="A27">
        <v>1</v>
      </c>
      <c r="B27">
        <v>5</v>
      </c>
      <c r="C27">
        <v>3</v>
      </c>
      <c r="D27">
        <v>0.2</v>
      </c>
      <c r="E27">
        <v>1.6</v>
      </c>
      <c r="F27">
        <f t="shared" si="0"/>
        <v>1.4522911849913025</v>
      </c>
      <c r="G27">
        <f t="shared" si="1"/>
        <v>0.14770881500869759</v>
      </c>
    </row>
    <row r="28" spans="1:12" x14ac:dyDescent="0.3">
      <c r="A28">
        <v>1</v>
      </c>
      <c r="B28">
        <v>5</v>
      </c>
      <c r="C28">
        <v>3.4</v>
      </c>
      <c r="D28">
        <v>0.4</v>
      </c>
      <c r="E28">
        <v>1.6</v>
      </c>
      <c r="F28">
        <f t="shared" si="0"/>
        <v>1.5333351003702154</v>
      </c>
      <c r="G28">
        <f t="shared" si="1"/>
        <v>6.6664899629784724E-2</v>
      </c>
    </row>
    <row r="29" spans="1:12" x14ac:dyDescent="0.3">
      <c r="A29">
        <v>1</v>
      </c>
      <c r="B29">
        <v>5.2</v>
      </c>
      <c r="C29">
        <v>3.5</v>
      </c>
      <c r="D29">
        <v>0.2</v>
      </c>
      <c r="E29">
        <v>1.5</v>
      </c>
      <c r="F29">
        <f t="shared" si="0"/>
        <v>1.461175544537002</v>
      </c>
      <c r="G29">
        <f t="shared" si="1"/>
        <v>3.8824455462997953E-2</v>
      </c>
    </row>
    <row r="30" spans="1:12" x14ac:dyDescent="0.3">
      <c r="A30">
        <v>1</v>
      </c>
      <c r="B30">
        <v>5.2</v>
      </c>
      <c r="C30">
        <v>3.4</v>
      </c>
      <c r="D30">
        <v>0.2</v>
      </c>
      <c r="E30">
        <v>1.4</v>
      </c>
      <c r="F30">
        <f t="shared" si="0"/>
        <v>1.4640409078749261</v>
      </c>
      <c r="G30">
        <f t="shared" si="1"/>
        <v>-6.4040907874926223E-2</v>
      </c>
    </row>
    <row r="31" spans="1:12" x14ac:dyDescent="0.3">
      <c r="A31">
        <v>1</v>
      </c>
      <c r="B31">
        <v>4.7</v>
      </c>
      <c r="C31">
        <v>3.2</v>
      </c>
      <c r="D31">
        <v>0.2</v>
      </c>
      <c r="E31">
        <v>1.6</v>
      </c>
      <c r="F31">
        <f t="shared" si="0"/>
        <v>1.4117436939624757</v>
      </c>
      <c r="G31">
        <f t="shared" si="1"/>
        <v>0.18825630603752441</v>
      </c>
    </row>
    <row r="32" spans="1:12" x14ac:dyDescent="0.3">
      <c r="A32">
        <v>1</v>
      </c>
      <c r="B32">
        <v>4.8</v>
      </c>
      <c r="C32">
        <v>3.1</v>
      </c>
      <c r="D32">
        <v>0.2</v>
      </c>
      <c r="E32">
        <v>1.6</v>
      </c>
      <c r="F32">
        <f t="shared" si="0"/>
        <v>1.4262146454180593</v>
      </c>
      <c r="G32">
        <f t="shared" si="1"/>
        <v>0.17378535458194078</v>
      </c>
    </row>
    <row r="33" spans="1:7" x14ac:dyDescent="0.3">
      <c r="A33">
        <v>1</v>
      </c>
      <c r="B33">
        <v>5.4</v>
      </c>
      <c r="C33">
        <v>3.4</v>
      </c>
      <c r="D33">
        <v>0.4</v>
      </c>
      <c r="E33">
        <v>1.5</v>
      </c>
      <c r="F33">
        <f t="shared" si="0"/>
        <v>1.579757452840854</v>
      </c>
      <c r="G33">
        <f t="shared" si="1"/>
        <v>-7.9757452840854004E-2</v>
      </c>
    </row>
    <row r="34" spans="1:7" x14ac:dyDescent="0.3">
      <c r="A34">
        <v>1</v>
      </c>
      <c r="B34">
        <v>5.2</v>
      </c>
      <c r="C34">
        <v>4.0999999999999996</v>
      </c>
      <c r="D34">
        <v>0.1</v>
      </c>
      <c r="E34">
        <v>1.5</v>
      </c>
      <c r="F34">
        <f t="shared" si="0"/>
        <v>1.397730680144154</v>
      </c>
      <c r="G34">
        <f t="shared" si="1"/>
        <v>0.10226931985584597</v>
      </c>
    </row>
    <row r="35" spans="1:7" x14ac:dyDescent="0.3">
      <c r="A35">
        <v>1</v>
      </c>
      <c r="B35">
        <v>5.5</v>
      </c>
      <c r="C35">
        <v>4.2</v>
      </c>
      <c r="D35">
        <v>0.2</v>
      </c>
      <c r="E35">
        <v>1.4</v>
      </c>
      <c r="F35">
        <f t="shared" si="0"/>
        <v>1.4759347655245134</v>
      </c>
      <c r="G35">
        <f t="shared" si="1"/>
        <v>-7.5934765524513503E-2</v>
      </c>
    </row>
    <row r="36" spans="1:7" x14ac:dyDescent="0.3">
      <c r="A36">
        <v>1</v>
      </c>
      <c r="B36">
        <v>4.9000000000000004</v>
      </c>
      <c r="C36">
        <v>3.1</v>
      </c>
      <c r="D36">
        <v>0.2</v>
      </c>
      <c r="E36">
        <v>1.5</v>
      </c>
      <c r="F36">
        <f t="shared" si="0"/>
        <v>1.4378202335357191</v>
      </c>
      <c r="G36">
        <f t="shared" si="1"/>
        <v>6.2179766464280917E-2</v>
      </c>
    </row>
    <row r="37" spans="1:7" x14ac:dyDescent="0.3">
      <c r="A37">
        <v>1</v>
      </c>
      <c r="B37">
        <v>5</v>
      </c>
      <c r="C37">
        <v>3.2</v>
      </c>
      <c r="D37">
        <v>0.2</v>
      </c>
      <c r="E37">
        <v>1.2</v>
      </c>
      <c r="F37">
        <f t="shared" si="0"/>
        <v>1.4465604583154545</v>
      </c>
      <c r="G37">
        <f t="shared" si="1"/>
        <v>-0.24656045831545459</v>
      </c>
    </row>
    <row r="38" spans="1:7" x14ac:dyDescent="0.3">
      <c r="A38">
        <v>1</v>
      </c>
      <c r="B38">
        <v>5.5</v>
      </c>
      <c r="C38">
        <v>3.5</v>
      </c>
      <c r="D38">
        <v>0.2</v>
      </c>
      <c r="E38">
        <v>1.3</v>
      </c>
      <c r="F38">
        <f t="shared" si="0"/>
        <v>1.4959923088899809</v>
      </c>
      <c r="G38">
        <f t="shared" si="1"/>
        <v>-0.19599230888998087</v>
      </c>
    </row>
    <row r="39" spans="1:7" x14ac:dyDescent="0.3">
      <c r="A39">
        <v>1</v>
      </c>
      <c r="B39">
        <v>4.9000000000000004</v>
      </c>
      <c r="C39">
        <v>3.6</v>
      </c>
      <c r="D39">
        <v>0.1</v>
      </c>
      <c r="E39">
        <v>1.4</v>
      </c>
      <c r="F39">
        <f t="shared" si="0"/>
        <v>1.3772407324807949</v>
      </c>
      <c r="G39">
        <f t="shared" si="1"/>
        <v>2.2759267519204984E-2</v>
      </c>
    </row>
    <row r="40" spans="1:7" x14ac:dyDescent="0.3">
      <c r="A40">
        <v>1</v>
      </c>
      <c r="B40">
        <v>4.4000000000000004</v>
      </c>
      <c r="C40">
        <v>3</v>
      </c>
      <c r="D40">
        <v>0.2</v>
      </c>
      <c r="E40">
        <v>1.3</v>
      </c>
      <c r="F40">
        <f t="shared" si="0"/>
        <v>1.3826576562853448</v>
      </c>
      <c r="G40">
        <f t="shared" si="1"/>
        <v>-8.2657656285344716E-2</v>
      </c>
    </row>
    <row r="41" spans="1:7" x14ac:dyDescent="0.3">
      <c r="A41">
        <v>1</v>
      </c>
      <c r="B41">
        <v>5.0999999999999996</v>
      </c>
      <c r="C41">
        <v>3.4</v>
      </c>
      <c r="D41">
        <v>0.2</v>
      </c>
      <c r="E41">
        <v>1.5</v>
      </c>
      <c r="F41">
        <f t="shared" si="0"/>
        <v>1.4524353197572664</v>
      </c>
      <c r="G41">
        <f t="shared" si="1"/>
        <v>4.7564680242733637E-2</v>
      </c>
    </row>
    <row r="42" spans="1:7" x14ac:dyDescent="0.3">
      <c r="A42">
        <v>1</v>
      </c>
      <c r="B42">
        <v>5</v>
      </c>
      <c r="C42">
        <v>3.5</v>
      </c>
      <c r="D42">
        <v>0.3</v>
      </c>
      <c r="E42">
        <v>1.3</v>
      </c>
      <c r="F42">
        <f t="shared" si="0"/>
        <v>1.4842170526669871</v>
      </c>
      <c r="G42">
        <f t="shared" si="1"/>
        <v>-0.18421705266698707</v>
      </c>
    </row>
    <row r="43" spans="1:7" x14ac:dyDescent="0.3">
      <c r="A43">
        <v>1</v>
      </c>
      <c r="B43">
        <v>4.5</v>
      </c>
      <c r="C43">
        <v>2.2999999999999998</v>
      </c>
      <c r="D43">
        <v>0.3</v>
      </c>
      <c r="E43">
        <v>1.3</v>
      </c>
      <c r="F43">
        <f t="shared" si="0"/>
        <v>1.4605734721337762</v>
      </c>
      <c r="G43">
        <f t="shared" si="1"/>
        <v>-0.16057347213377615</v>
      </c>
    </row>
    <row r="44" spans="1:7" x14ac:dyDescent="0.3">
      <c r="A44">
        <v>1</v>
      </c>
      <c r="B44">
        <v>4.4000000000000004</v>
      </c>
      <c r="C44">
        <v>3.2</v>
      </c>
      <c r="D44">
        <v>0.2</v>
      </c>
      <c r="E44">
        <v>1.3</v>
      </c>
      <c r="F44">
        <f t="shared" si="0"/>
        <v>1.3769269296094968</v>
      </c>
      <c r="G44">
        <f t="shared" si="1"/>
        <v>-7.6926929609496764E-2</v>
      </c>
    </row>
    <row r="45" spans="1:7" x14ac:dyDescent="0.3">
      <c r="A45">
        <v>1</v>
      </c>
      <c r="B45">
        <v>5</v>
      </c>
      <c r="C45">
        <v>3.5</v>
      </c>
      <c r="D45">
        <v>0.6</v>
      </c>
      <c r="E45">
        <v>1.6</v>
      </c>
      <c r="F45">
        <f t="shared" si="0"/>
        <v>1.6229751057629003</v>
      </c>
      <c r="G45">
        <f t="shared" si="1"/>
        <v>-2.2975105762900183E-2</v>
      </c>
    </row>
    <row r="46" spans="1:7" x14ac:dyDescent="0.3">
      <c r="A46">
        <v>1</v>
      </c>
      <c r="B46">
        <v>5.0999999999999996</v>
      </c>
      <c r="C46">
        <v>3.8</v>
      </c>
      <c r="D46">
        <v>0.4</v>
      </c>
      <c r="E46">
        <v>1.9</v>
      </c>
      <c r="F46">
        <f t="shared" si="0"/>
        <v>1.5334792351361795</v>
      </c>
      <c r="G46">
        <f t="shared" si="1"/>
        <v>0.36652076486382046</v>
      </c>
    </row>
    <row r="47" spans="1:7" x14ac:dyDescent="0.3">
      <c r="A47">
        <v>1</v>
      </c>
      <c r="B47">
        <v>4.8</v>
      </c>
      <c r="C47">
        <v>3</v>
      </c>
      <c r="D47">
        <v>0.3</v>
      </c>
      <c r="E47">
        <v>1.4</v>
      </c>
      <c r="F47">
        <f t="shared" si="0"/>
        <v>1.4753326931212878</v>
      </c>
      <c r="G47">
        <f t="shared" si="1"/>
        <v>-7.5332693121287875E-2</v>
      </c>
    </row>
    <row r="48" spans="1:7" x14ac:dyDescent="0.3">
      <c r="A48">
        <v>1</v>
      </c>
      <c r="B48">
        <v>5.0999999999999996</v>
      </c>
      <c r="C48">
        <v>3.8</v>
      </c>
      <c r="D48">
        <v>0.2</v>
      </c>
      <c r="E48">
        <v>1.6</v>
      </c>
      <c r="F48">
        <f t="shared" si="0"/>
        <v>1.4409738664055707</v>
      </c>
      <c r="G48">
        <f t="shared" si="1"/>
        <v>0.15902613359442941</v>
      </c>
    </row>
    <row r="49" spans="1:7" x14ac:dyDescent="0.3">
      <c r="A49">
        <v>1</v>
      </c>
      <c r="B49">
        <v>4.5999999999999996</v>
      </c>
      <c r="C49">
        <v>3.2</v>
      </c>
      <c r="D49">
        <v>0.2</v>
      </c>
      <c r="E49">
        <v>1.4</v>
      </c>
      <c r="F49">
        <f t="shared" si="0"/>
        <v>1.4001381058448161</v>
      </c>
      <c r="G49">
        <f t="shared" si="1"/>
        <v>-1.3810584481621646E-4</v>
      </c>
    </row>
    <row r="50" spans="1:7" x14ac:dyDescent="0.3">
      <c r="A50">
        <v>1</v>
      </c>
      <c r="B50">
        <v>5.3</v>
      </c>
      <c r="C50">
        <v>3.7</v>
      </c>
      <c r="D50">
        <v>0.2</v>
      </c>
      <c r="E50">
        <v>1.5</v>
      </c>
      <c r="F50">
        <f t="shared" si="0"/>
        <v>1.4670504059788136</v>
      </c>
      <c r="G50">
        <f t="shared" si="1"/>
        <v>3.2949594021186357E-2</v>
      </c>
    </row>
    <row r="51" spans="1:7" x14ac:dyDescent="0.3">
      <c r="A51">
        <v>1</v>
      </c>
      <c r="B51">
        <v>5</v>
      </c>
      <c r="C51">
        <v>3.3</v>
      </c>
      <c r="D51">
        <v>0.2</v>
      </c>
      <c r="E51">
        <v>1.4</v>
      </c>
      <c r="F51">
        <f t="shared" si="0"/>
        <v>1.4436950949775307</v>
      </c>
      <c r="G51">
        <f t="shared" si="1"/>
        <v>-4.3695094977530768E-2</v>
      </c>
    </row>
  </sheetData>
  <mergeCells count="6">
    <mergeCell ref="P5:R5"/>
    <mergeCell ref="S6:T6"/>
    <mergeCell ref="S7:T7"/>
    <mergeCell ref="S8:T8"/>
    <mergeCell ref="S9:T9"/>
    <mergeCell ref="S10:T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</vt:i4>
      </vt:variant>
    </vt:vector>
  </HeadingPairs>
  <TitlesOfParts>
    <vt:vector size="5" baseType="lpstr">
      <vt:lpstr>Regresja</vt:lpstr>
      <vt:lpstr>Wielomianowa</vt:lpstr>
      <vt:lpstr>RegresjaWieloraka</vt:lpstr>
      <vt:lpstr>WielorakaIrysy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FTIMS</dc:creator>
  <cp:lastModifiedBy>User</cp:lastModifiedBy>
  <dcterms:created xsi:type="dcterms:W3CDTF">2022-04-21T09:43:59Z</dcterms:created>
  <dcterms:modified xsi:type="dcterms:W3CDTF">2022-05-27T20:25:48Z</dcterms:modified>
</cp:coreProperties>
</file>