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\Desktop\TCC\CÁLCULOS\"/>
    </mc:Choice>
  </mc:AlternateContent>
  <xr:revisionPtr revIDLastSave="0" documentId="13_ncr:1_{C5EAD9D2-EE75-4B48-9A33-051790B16683}" xr6:coauthVersionLast="47" xr6:coauthVersionMax="47" xr10:uidLastSave="{00000000-0000-0000-0000-000000000000}"/>
  <bookViews>
    <workbookView xWindow="-120" yWindow="-120" windowWidth="29040" windowHeight="15720" activeTab="1" xr2:uid="{7A717DED-5C80-42E4-BECD-108EADC5B25C}"/>
  </bookViews>
  <sheets>
    <sheet name="CONTAS DE ENERGIA" sheetId="1" r:id="rId1"/>
    <sheet name="CUSTOS" sheetId="13" r:id="rId2"/>
    <sheet name="PVSYST" sheetId="2" r:id="rId3"/>
    <sheet name="TARIFAS E TAXAS" sheetId="3" r:id="rId4"/>
    <sheet name="IRADIAÇÕES" sheetId="4" r:id="rId5"/>
    <sheet name="TEMPERATURA" sheetId="6" r:id="rId6"/>
    <sheet name="FLUXO" sheetId="5" r:id="rId7"/>
    <sheet name="CABOS" sheetId="9" r:id="rId8"/>
    <sheet name="POTÊNCIA" sheetId="12" r:id="rId9"/>
    <sheet name="COMPONENTES1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" i="13" l="1"/>
  <c r="E2" i="13"/>
  <c r="F17" i="2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16" i="2"/>
  <c r="D16" i="2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C16" i="2"/>
  <c r="C17" i="2" s="1"/>
  <c r="B16" i="2"/>
  <c r="E16" i="2" s="1"/>
  <c r="G16" i="2" s="1"/>
  <c r="H16" i="2" s="1"/>
  <c r="F15" i="2"/>
  <c r="D15" i="2"/>
  <c r="C15" i="2"/>
  <c r="B15" i="2"/>
  <c r="E15" i="2" s="1"/>
  <c r="G15" i="2" s="1"/>
  <c r="H15" i="2" s="1"/>
  <c r="E14" i="2"/>
  <c r="G14" i="2" s="1"/>
  <c r="E2" i="2"/>
  <c r="L12" i="3"/>
  <c r="C35" i="1"/>
  <c r="C34" i="1"/>
  <c r="D15" i="3"/>
  <c r="H14" i="3"/>
  <c r="M6" i="1"/>
  <c r="M4" i="1"/>
  <c r="M3" i="1"/>
  <c r="I16" i="1"/>
  <c r="I15" i="1"/>
  <c r="C16" i="4"/>
  <c r="B16" i="4"/>
  <c r="Q14" i="9"/>
  <c r="Q13" i="9"/>
  <c r="Q10" i="9"/>
  <c r="G23" i="12"/>
  <c r="G16" i="12"/>
  <c r="E23" i="12"/>
  <c r="E16" i="12"/>
  <c r="G15" i="12"/>
  <c r="G14" i="12"/>
  <c r="C39" i="12"/>
  <c r="G38" i="12"/>
  <c r="G37" i="12"/>
  <c r="E34" i="12"/>
  <c r="G33" i="12"/>
  <c r="G32" i="12"/>
  <c r="G31" i="12"/>
  <c r="G30" i="12"/>
  <c r="F27" i="12"/>
  <c r="D26" i="12"/>
  <c r="G22" i="12"/>
  <c r="G21" i="12"/>
  <c r="G20" i="12"/>
  <c r="G19" i="12"/>
  <c r="G13" i="12"/>
  <c r="G12" i="12"/>
  <c r="E9" i="12"/>
  <c r="G8" i="12"/>
  <c r="G7" i="12"/>
  <c r="G6" i="12"/>
  <c r="G5" i="12"/>
  <c r="G4" i="12"/>
  <c r="G3" i="12"/>
  <c r="Q12" i="9"/>
  <c r="Q11" i="9"/>
  <c r="Q9" i="9"/>
  <c r="Q8" i="9"/>
  <c r="Q7" i="9"/>
  <c r="Q6" i="9"/>
  <c r="Q5" i="9"/>
  <c r="Q4" i="9"/>
  <c r="Q3" i="9"/>
  <c r="B15" i="6"/>
  <c r="C14" i="6"/>
  <c r="B14" i="6"/>
  <c r="D15" i="5"/>
  <c r="D25" i="5" s="1"/>
  <c r="D35" i="5" s="1"/>
  <c r="D26" i="5"/>
  <c r="D36" i="5" s="1"/>
  <c r="D24" i="5"/>
  <c r="D13" i="5"/>
  <c r="D23" i="5" s="1"/>
  <c r="D33" i="5" s="1"/>
  <c r="O5" i="2"/>
  <c r="O6" i="2"/>
  <c r="O7" i="2"/>
  <c r="O8" i="2"/>
  <c r="O9" i="2"/>
  <c r="O10" i="2"/>
  <c r="O11" i="2"/>
  <c r="O12" i="2"/>
  <c r="O13" i="2"/>
  <c r="O14" i="2"/>
  <c r="O15" i="2"/>
  <c r="O4" i="2"/>
  <c r="M16" i="2"/>
  <c r="O16" i="2" s="1"/>
  <c r="N15" i="2"/>
  <c r="N14" i="2"/>
  <c r="N13" i="2"/>
  <c r="N12" i="2"/>
  <c r="N11" i="2"/>
  <c r="N10" i="2"/>
  <c r="N9" i="2"/>
  <c r="N8" i="2"/>
  <c r="N7" i="2"/>
  <c r="N6" i="2"/>
  <c r="N5" i="2"/>
  <c r="N4" i="2"/>
  <c r="D33" i="1"/>
  <c r="E33" i="1"/>
  <c r="F33" i="1"/>
  <c r="C33" i="1"/>
  <c r="D15" i="1"/>
  <c r="D16" i="1" s="1"/>
  <c r="G15" i="1"/>
  <c r="G16" i="1" s="1"/>
  <c r="E15" i="1"/>
  <c r="E16" i="1" s="1"/>
  <c r="H3" i="1"/>
  <c r="H4" i="1"/>
  <c r="H5" i="1"/>
  <c r="H6" i="1"/>
  <c r="H7" i="1"/>
  <c r="H8" i="1"/>
  <c r="H9" i="1"/>
  <c r="H10" i="1"/>
  <c r="H11" i="1"/>
  <c r="H12" i="1"/>
  <c r="H13" i="1"/>
  <c r="H14" i="1"/>
  <c r="F3" i="1"/>
  <c r="I3" i="1" s="1"/>
  <c r="F4" i="1"/>
  <c r="I4" i="1" s="1"/>
  <c r="F5" i="1"/>
  <c r="F6" i="1"/>
  <c r="F7" i="1"/>
  <c r="I7" i="1" s="1"/>
  <c r="F8" i="1"/>
  <c r="F9" i="1"/>
  <c r="F10" i="1"/>
  <c r="F11" i="1"/>
  <c r="I11" i="1" s="1"/>
  <c r="F12" i="1"/>
  <c r="I12" i="1" s="1"/>
  <c r="F13" i="1"/>
  <c r="I13" i="1" s="1"/>
  <c r="F14" i="1"/>
  <c r="E16" i="13" l="1"/>
  <c r="H14" i="2"/>
  <c r="B17" i="2"/>
  <c r="E17" i="2" s="1"/>
  <c r="G17" i="2" s="1"/>
  <c r="H17" i="2" s="1"/>
  <c r="C18" i="2"/>
  <c r="G39" i="12"/>
  <c r="H41" i="12"/>
  <c r="G34" i="12"/>
  <c r="G9" i="12"/>
  <c r="F26" i="12"/>
  <c r="H27" i="12" s="1"/>
  <c r="D27" i="12"/>
  <c r="D34" i="5"/>
  <c r="N16" i="2"/>
  <c r="H15" i="1"/>
  <c r="I10" i="1"/>
  <c r="I5" i="1"/>
  <c r="I14" i="1"/>
  <c r="I8" i="1"/>
  <c r="I6" i="1"/>
  <c r="I9" i="1"/>
  <c r="H16" i="1"/>
  <c r="F15" i="1"/>
  <c r="F16" i="1" s="1"/>
  <c r="C19" i="2" l="1"/>
  <c r="B18" i="2"/>
  <c r="E18" i="2" s="1"/>
  <c r="G18" i="2" s="1"/>
  <c r="H18" i="2" s="1"/>
  <c r="I14" i="2"/>
  <c r="I15" i="2" s="1"/>
  <c r="I16" i="2" s="1"/>
  <c r="I17" i="2" s="1"/>
  <c r="I18" i="2" s="1"/>
  <c r="H42" i="12"/>
  <c r="C20" i="2" l="1"/>
  <c r="B19" i="2"/>
  <c r="E19" i="2" s="1"/>
  <c r="G19" i="2" s="1"/>
  <c r="B20" i="2" l="1"/>
  <c r="E20" i="2" s="1"/>
  <c r="G20" i="2" s="1"/>
  <c r="H20" i="2" s="1"/>
  <c r="C21" i="2"/>
  <c r="H19" i="2"/>
  <c r="I19" i="2" l="1"/>
  <c r="I20" i="2" s="1"/>
  <c r="C22" i="2"/>
  <c r="B21" i="2"/>
  <c r="E21" i="2" s="1"/>
  <c r="G21" i="2" s="1"/>
  <c r="H21" i="2" l="1"/>
  <c r="I21" i="2" s="1"/>
  <c r="I22" i="2" s="1"/>
  <c r="C23" i="2"/>
  <c r="B22" i="2"/>
  <c r="E22" i="2" s="1"/>
  <c r="G22" i="2" s="1"/>
  <c r="H22" i="2" s="1"/>
  <c r="E5" i="2" l="1"/>
  <c r="B23" i="2"/>
  <c r="E23" i="2" s="1"/>
  <c r="G23" i="2" s="1"/>
  <c r="C24" i="2"/>
  <c r="B24" i="2" l="1"/>
  <c r="E24" i="2" s="1"/>
  <c r="G24" i="2" s="1"/>
  <c r="H24" i="2" s="1"/>
  <c r="C25" i="2"/>
  <c r="H23" i="2"/>
  <c r="I23" i="2" l="1"/>
  <c r="I24" i="2" s="1"/>
  <c r="C26" i="2"/>
  <c r="B25" i="2"/>
  <c r="E25" i="2" s="1"/>
  <c r="G25" i="2" s="1"/>
  <c r="H25" i="2" s="1"/>
  <c r="B26" i="2" l="1"/>
  <c r="E26" i="2" s="1"/>
  <c r="G26" i="2" s="1"/>
  <c r="H26" i="2" s="1"/>
  <c r="C27" i="2"/>
  <c r="I25" i="2"/>
  <c r="I26" i="2" s="1"/>
  <c r="C28" i="2" l="1"/>
  <c r="B27" i="2"/>
  <c r="E27" i="2" s="1"/>
  <c r="G27" i="2" s="1"/>
  <c r="H27" i="2" s="1"/>
  <c r="I27" i="2" s="1"/>
  <c r="C29" i="2" l="1"/>
  <c r="B28" i="2"/>
  <c r="E28" i="2" s="1"/>
  <c r="G28" i="2" s="1"/>
  <c r="H28" i="2" s="1"/>
  <c r="I28" i="2" s="1"/>
  <c r="B29" i="2" l="1"/>
  <c r="E29" i="2" s="1"/>
  <c r="G29" i="2" s="1"/>
  <c r="H29" i="2" s="1"/>
  <c r="I29" i="2" s="1"/>
  <c r="C30" i="2"/>
  <c r="C31" i="2" l="1"/>
  <c r="B30" i="2"/>
  <c r="E30" i="2" s="1"/>
  <c r="G30" i="2" s="1"/>
  <c r="H30" i="2" s="1"/>
  <c r="I30" i="2" s="1"/>
  <c r="C32" i="2" l="1"/>
  <c r="B31" i="2"/>
  <c r="E31" i="2" s="1"/>
  <c r="G31" i="2" s="1"/>
  <c r="H31" i="2" s="1"/>
  <c r="I31" i="2" s="1"/>
  <c r="B32" i="2" l="1"/>
  <c r="E32" i="2" s="1"/>
  <c r="G32" i="2" s="1"/>
  <c r="H32" i="2" s="1"/>
  <c r="I32" i="2" s="1"/>
  <c r="C33" i="2"/>
  <c r="B33" i="2" s="1"/>
  <c r="E33" i="2" s="1"/>
  <c r="G33" i="2" s="1"/>
  <c r="H33" i="2" l="1"/>
  <c r="E3" i="2"/>
  <c r="E4" i="2" l="1"/>
  <c r="E1" i="2"/>
  <c r="I33" i="2"/>
</calcChain>
</file>

<file path=xl/sharedStrings.xml><?xml version="1.0" encoding="utf-8"?>
<sst xmlns="http://schemas.openxmlformats.org/spreadsheetml/2006/main" count="980" uniqueCount="491">
  <si>
    <t>Consumo Ponta TUSD (kWh)</t>
  </si>
  <si>
    <t>Consumo Ponta TE (kWh)</t>
  </si>
  <si>
    <t>Consumo Fora de Ponta TUSD (kWh)</t>
  </si>
  <si>
    <t>Consumo Fora de Ponta TE (kWh)</t>
  </si>
  <si>
    <t>Tarifa</t>
  </si>
  <si>
    <t>Total a Pagar (R$)</t>
  </si>
  <si>
    <t>Mês</t>
  </si>
  <si>
    <t>VERDE A4 COMERCIAL</t>
  </si>
  <si>
    <t>Média Mensal</t>
  </si>
  <si>
    <t>Total Anual</t>
  </si>
  <si>
    <t>MÊS</t>
  </si>
  <si>
    <t>Consumo Fora de Ponta TE</t>
  </si>
  <si>
    <t xml:space="preserve">Consumo Ponta TE </t>
  </si>
  <si>
    <t xml:space="preserve">Consumo Ponta TUSD </t>
  </si>
  <si>
    <t>TARIFAS EM R$</t>
  </si>
  <si>
    <t xml:space="preserve">Consumo Fora de Ponta TUSD </t>
  </si>
  <si>
    <t>Total  Mensal (KWh)</t>
  </si>
  <si>
    <t>MÉDIA (R$)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</si>
  <si>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</si>
  <si>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</si>
  <si>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</si>
  <si>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</si>
  <si>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</si>
  <si>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</si>
  <si>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</si>
  <si>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</si>
  <si>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</si>
  <si>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</si>
  <si>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</si>
  <si>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</si>
  <si>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Ano</t>
  </si>
  <si>
    <t>REAJUSTE DO VALOR DE TARIFAS DA CPFL PAULISTA</t>
  </si>
  <si>
    <t>Ano (Vigência a partir de)</t>
  </si>
  <si>
    <t>Tipo de Processo Tarifário</t>
  </si>
  <si>
    <t>Reajuste Tarifário (Grupo A - Alta Tensão)</t>
  </si>
  <si>
    <t>Observações Importantes</t>
  </si>
  <si>
    <t>IPCA (Inflação Acumulada no Ano) (%)</t>
  </si>
  <si>
    <t>Fonte Principal</t>
  </si>
  <si>
    <t>2025 (30/04/2025)</t>
  </si>
  <si>
    <t>Reajuste Tarifário Anual</t>
  </si>
  <si>
    <t>Houve uma redução média geral na tarifa. O valor específico para alta tensão é de -3,06%.</t>
  </si>
  <si>
    <t>Banco Central do Brasil / IBGE</t>
  </si>
  <si>
    <t>2024 (08/04/2024)</t>
  </si>
  <si>
    <t>Aumento de 0,80% para o Grupo A.</t>
  </si>
  <si>
    <t>2023 (08/04/2023)</t>
  </si>
  <si>
    <t>Revisão Tarifária Periódica</t>
  </si>
  <si>
    <t>Ano de Revisão Tarifária Periódica (RTP), que reavalia os custos da concessionária de forma mais aprofundada. O efeito médio foi de 4,89%.</t>
  </si>
  <si>
    <t>2022 (08/04/2022)</t>
  </si>
  <si>
    <t>Aumento médio significativo para o Grupo A.</t>
  </si>
  <si>
    <t>2021 (Abril/2021)</t>
  </si>
  <si>
    <t>Reajuste específico para o Grupo A.</t>
  </si>
  <si>
    <t>2020 (01/07/2020)</t>
  </si>
  <si>
    <t>O reajuste específico para o Grupo A foi de 6,72%. O efeito médio geral para os consumidores foi de 6,05%. Houve suspensão da aplicação das tarifas entre 08/04/2020 e 30/06/2020 devido à pandemia.</t>
  </si>
  <si>
    <t>2019 (08/04/2019)</t>
  </si>
  <si>
    <t>O reajuste específico para o Grupo A foi de 6,72%. O efeito médio para todos os consumidores foi de 8,66%.</t>
  </si>
  <si>
    <t>2018 (08/04/2018)</t>
  </si>
  <si>
    <t>Ano de Revisão Tarifária Periódica. Este percentual é específico para grandes consumidores (Grupo A).</t>
  </si>
  <si>
    <t>2017 (08/04/2017)</t>
  </si>
  <si>
    <t>Redução significativa para o Grupo A. O efeito médio para todos os consumidores foi de -10,50%.</t>
  </si>
  <si>
    <t>2016 (08/04/2016)</t>
  </si>
  <si>
    <t>Aumento de 6,56% para o Grupo A. O efeito médio geral foi de 7,55%.</t>
  </si>
  <si>
    <t>Banco Central do Brasil / IBGE (Projeções ou Acumulado até o momento em 2024)</t>
  </si>
  <si>
    <t>2015 (08/04/2015)</t>
  </si>
  <si>
    <t>Redução que se aplicou a todos os consumidores, incluindo o Grupo A.</t>
  </si>
  <si>
    <t xml:space="preserve">Média </t>
  </si>
  <si>
    <t>Cálculos próprios com base nos dados</t>
  </si>
  <si>
    <t>Reajuste médio</t>
  </si>
  <si>
    <t>Site;Santa Bárbara d'Oeste</t>
  </si>
  <si>
    <t>Country;Brasil</t>
  </si>
  <si>
    <t>Region;South_America</t>
  </si>
  <si>
    <t>Source;Meteonorm 8.2 (2008-2015), Sat=100%</t>
  </si>
  <si>
    <t>Latitude;-22.7547;°</t>
  </si>
  <si>
    <t>Longitude;-47.4144;°</t>
  </si>
  <si>
    <t>Altitude;564;m</t>
  </si>
  <si>
    <t>Time Zone;-3;GMT</t>
  </si>
  <si>
    <r>
      <t>Horizontal (KWh/m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</si>
  <si>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Dados</t>
  </si>
  <si>
    <t>Energia Injetada na Rede</t>
  </si>
  <si>
    <t>Energia Consumida Pela FHO</t>
  </si>
  <si>
    <t>Excedente (Diferença)</t>
  </si>
  <si>
    <t>%</t>
  </si>
  <si>
    <r>
      <t>Difusa (KWh/m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</si>
  <si>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KWh</t>
  </si>
  <si>
    <t>VALORES ENERGÉTICOS DO SISTEMA</t>
  </si>
  <si>
    <t>Tipo de Irradiação</t>
  </si>
  <si>
    <t>CONTAS DE ENERGIA</t>
  </si>
  <si>
    <t>Eficiência do sistema no Geral</t>
  </si>
  <si>
    <t>DADOS ELÉTRICOS DO PAINEL</t>
  </si>
  <si>
    <t>Potência Nominal</t>
  </si>
  <si>
    <t>Tensão de circuito-aberto (VOC)</t>
  </si>
  <si>
    <t>Corrente de Curto-circuito (ISC)</t>
  </si>
  <si>
    <t>Tensão de Potência Maxima (Vmpp)</t>
  </si>
  <si>
    <t>Corrente de Potência Maxima (Impp)</t>
  </si>
  <si>
    <t xml:space="preserve">Eficiência </t>
  </si>
  <si>
    <t>W</t>
  </si>
  <si>
    <t>V</t>
  </si>
  <si>
    <t>A</t>
  </si>
  <si>
    <t xml:space="preserve"> RSM132-8-715BHDG</t>
  </si>
  <si>
    <t>MODELO</t>
  </si>
  <si>
    <t>DADOS ELÉTRICOS DAS STRINGS</t>
  </si>
  <si>
    <t>Método de ligação</t>
  </si>
  <si>
    <t>Qtd. De placas por strings</t>
  </si>
  <si>
    <t>série</t>
  </si>
  <si>
    <t>paralelo</t>
  </si>
  <si>
    <t>Número de Entradas / Saidas</t>
  </si>
  <si>
    <t>Qtd. De Strings Conectadas na Mesma stringbox</t>
  </si>
  <si>
    <t>DADOS ELÉTRICOS DA STRINGBOX</t>
  </si>
  <si>
    <t>DADOS ELÉTRICOS NA ENTRADA CC DOS INVERSORES</t>
  </si>
  <si>
    <t>Número MPPTs utilizados por Inversor</t>
  </si>
  <si>
    <t>Número de Inversores no Projeto</t>
  </si>
  <si>
    <t>INVERSOR</t>
  </si>
  <si>
    <t xml:space="preserve">Intervalo de Tensão do MPPT </t>
  </si>
  <si>
    <t>Observação</t>
  </si>
  <si>
    <t>Os valores apresentados incluem o ganho adicional de 10% proveniente da face posterior do painel. Este percentual é atribuído à natureza bifacial do painel, que permite a geração de energia por ambas as faces. Embora a face frontal seja a principal geradora, a parte traseira contribui com aproximadamente 10% da potência gerada pela face frontal.</t>
  </si>
  <si>
    <t>CABOS</t>
  </si>
  <si>
    <t>Área</t>
  </si>
  <si>
    <t>De</t>
  </si>
  <si>
    <t>Para</t>
  </si>
  <si>
    <t>Corrente (A)</t>
  </si>
  <si>
    <t>Tensão (V)</t>
  </si>
  <si>
    <t>FCA</t>
  </si>
  <si>
    <t>FCT</t>
  </si>
  <si>
    <t>Corrente Seçção Coriigida (A)</t>
  </si>
  <si>
    <t>Corrente Secção (A)</t>
  </si>
  <si>
    <t>Grupo FV</t>
  </si>
  <si>
    <t>Placa</t>
  </si>
  <si>
    <t>Método de instalação</t>
  </si>
  <si>
    <t>C / 11A</t>
  </si>
  <si>
    <t>Material</t>
  </si>
  <si>
    <t>EPR</t>
  </si>
  <si>
    <t>0,6/1</t>
  </si>
  <si>
    <t>Isolação (kV)</t>
  </si>
  <si>
    <t>Referência</t>
  </si>
  <si>
    <t>String</t>
  </si>
  <si>
    <t>Stringbox CC</t>
  </si>
  <si>
    <t>CA/CC</t>
  </si>
  <si>
    <t>CC</t>
  </si>
  <si>
    <t>Barramento CA 380V</t>
  </si>
  <si>
    <t>CA</t>
  </si>
  <si>
    <t>D / 61</t>
  </si>
  <si>
    <t>Minima (°C)</t>
  </si>
  <si>
    <t>Máxima (°C)</t>
  </si>
  <si>
    <t>Média Mín/Máx</t>
  </si>
  <si>
    <t>Média Geral</t>
  </si>
  <si>
    <t>FONTE: https://www.climatempo.com.br/climatologia/535/santabarbaradoeste-sp</t>
  </si>
  <si>
    <t>Cabo Flexível Corfitox
HEPR 90°C 0,6/1 kV</t>
  </si>
  <si>
    <t>HEPR</t>
  </si>
  <si>
    <t>EPR/SOLAR</t>
  </si>
  <si>
    <t>Cabo Flexível Solar Corfitox
120ºC 1,8 Kv cc</t>
  </si>
  <si>
    <t>Trafo 13,8/0,38V</t>
  </si>
  <si>
    <t>D / 62</t>
  </si>
  <si>
    <t>Multiplos Cabos por fase?</t>
  </si>
  <si>
    <t>Não</t>
  </si>
  <si>
    <t>3F+N</t>
  </si>
  <si>
    <t>3F+N+PE</t>
  </si>
  <si>
    <t>Condutores</t>
  </si>
  <si>
    <t>Inversor (Entrada CC)</t>
  </si>
  <si>
    <t>Inversor (Saida CA)</t>
  </si>
  <si>
    <t>Vias</t>
  </si>
  <si>
    <t>Sim (2 por fase)</t>
  </si>
  <si>
    <t>Cada entrada MPPT processa sua corrente e tensão individualmente e após a conversão de CC para CA unifica as correntes e retifica a tensão para 380V</t>
  </si>
  <si>
    <t>CARGAS AUXILIARES</t>
  </si>
  <si>
    <t>TOMADAS</t>
  </si>
  <si>
    <t>Tipo</t>
  </si>
  <si>
    <t>Externa?</t>
  </si>
  <si>
    <t>TUE</t>
  </si>
  <si>
    <t>NÃO</t>
  </si>
  <si>
    <t>TUG</t>
  </si>
  <si>
    <t>Potência Total (W)</t>
  </si>
  <si>
    <t>Potência Unitária (VA/W)</t>
  </si>
  <si>
    <t>Número da Tomada</t>
  </si>
  <si>
    <t>SIM</t>
  </si>
  <si>
    <t>Número da Lmpâda</t>
  </si>
  <si>
    <t>Potência Unitária (VA)</t>
  </si>
  <si>
    <t>Refletor</t>
  </si>
  <si>
    <t>Seccão cabo (mm2 )</t>
  </si>
  <si>
    <t>Componentes</t>
  </si>
  <si>
    <t>Qtd.</t>
  </si>
  <si>
    <t>Roteador</t>
  </si>
  <si>
    <t>PLC</t>
  </si>
  <si>
    <t>CFTV</t>
  </si>
  <si>
    <t>Qtd. De Câmeras</t>
  </si>
  <si>
    <t>Potência (W)</t>
  </si>
  <si>
    <t>COMUNICAÇÃO</t>
  </si>
  <si>
    <t>Localização</t>
  </si>
  <si>
    <t>Módulos de Comunicação</t>
  </si>
  <si>
    <t>Painel</t>
  </si>
  <si>
    <t>Auxiliar</t>
  </si>
  <si>
    <t>Quadro carga auxiliar</t>
  </si>
  <si>
    <t>B1</t>
  </si>
  <si>
    <t>B2</t>
  </si>
  <si>
    <t>Tomadas</t>
  </si>
  <si>
    <t>Comunicação / CFTV</t>
  </si>
  <si>
    <t>Trafo 13,8/0,22kV</t>
  </si>
  <si>
    <t>2E / 1S</t>
  </si>
  <si>
    <t>160 - 1000 V</t>
  </si>
  <si>
    <t>Qtd. De Stringsbox no Por Inversor</t>
  </si>
  <si>
    <t>4 Stringbox de 2E/1S e 1 Stingbox de 1E/1S</t>
  </si>
  <si>
    <t>≈ 167</t>
  </si>
  <si>
    <t>Foi adotado a corrente de saida máxima de cada inversor</t>
  </si>
  <si>
    <t>Corrente total (A)</t>
  </si>
  <si>
    <t>Fonte 220-24V</t>
  </si>
  <si>
    <t>Sim</t>
  </si>
  <si>
    <t>Cabo</t>
  </si>
  <si>
    <t>PoE</t>
  </si>
  <si>
    <t>CORRENTE TOTAL DAS CARGAS AUXILIARES (A)</t>
  </si>
  <si>
    <t>POTÊNCIA TOTAL DAS CARGAS AUXILIARES (W)</t>
  </si>
  <si>
    <t>Corrente Máxima de cada MPPT</t>
  </si>
  <si>
    <t>36 A</t>
  </si>
  <si>
    <t>ENTRADA CC 
(POR INVERSOR)</t>
  </si>
  <si>
    <t>SAIDA CA 
(POR INVERSOR)</t>
  </si>
  <si>
    <t>Corrente (A)
IB - Projeto</t>
  </si>
  <si>
    <t>INFLAÇÃO</t>
  </si>
  <si>
    <t>Data da Reunião do Copom</t>
  </si>
  <si>
    <t>Taxa Selic Fixada (a.a.)</t>
  </si>
  <si>
    <t>Período de Vigência</t>
  </si>
  <si>
    <t>31 de janeiro</t>
  </si>
  <si>
    <t>01/02/2024 - 20/03/2024</t>
  </si>
  <si>
    <t>20 de março</t>
  </si>
  <si>
    <t>21/03/2024 - 08/05/2024</t>
  </si>
  <si>
    <t>08 de maio</t>
  </si>
  <si>
    <t>09/05/2024 - 19/06/2024</t>
  </si>
  <si>
    <t>19 de junho</t>
  </si>
  <si>
    <t>20/06/2024 - 31/07/2024</t>
  </si>
  <si>
    <t>31 de julho</t>
  </si>
  <si>
    <t>01/08/2024 - 18/09/2024</t>
  </si>
  <si>
    <t>18 de setembro</t>
  </si>
  <si>
    <t>19/09/2024 - 06/11/2024</t>
  </si>
  <si>
    <t>06 de novembro</t>
  </si>
  <si>
    <t>07/11/2024 - 11/12/2024</t>
  </si>
  <si>
    <t>11 de dezembro</t>
  </si>
  <si>
    <t>12/12/2024 - 29/01/2025</t>
  </si>
  <si>
    <t>Média</t>
  </si>
  <si>
    <t>SELIC 2- 2024</t>
  </si>
  <si>
    <t>Fonte</t>
  </si>
  <si>
    <t>Conselho Federal de Contabilidade (CFC) e a Receita Federal do Brasil.</t>
  </si>
  <si>
    <t>Atuação</t>
  </si>
  <si>
    <t>Sob Carga</t>
  </si>
  <si>
    <t>Polos</t>
  </si>
  <si>
    <t>CHAVES SECCIONADORAS</t>
  </si>
  <si>
    <t>Qtd. No Projeto</t>
  </si>
  <si>
    <t>Manopla</t>
  </si>
  <si>
    <t>Interna</t>
  </si>
  <si>
    <t>Porta Fusível?</t>
  </si>
  <si>
    <t>IB - Projeto (A)</t>
  </si>
  <si>
    <t>Tipo Fusível</t>
  </si>
  <si>
    <t>-</t>
  </si>
  <si>
    <t>NH3 - 630A</t>
  </si>
  <si>
    <t>NH1 - 250A</t>
  </si>
  <si>
    <t>DISJUNTORES</t>
  </si>
  <si>
    <t>Caixa Moldada</t>
  </si>
  <si>
    <t>Disparador</t>
  </si>
  <si>
    <t xml:space="preserve">Ajustavél? </t>
  </si>
  <si>
    <t>Icu (kA)</t>
  </si>
  <si>
    <t>Ics (kA)</t>
  </si>
  <si>
    <t>Tensão Nominal de Operação (V)</t>
  </si>
  <si>
    <t>Tensão Base - Vb -(V)</t>
  </si>
  <si>
    <t>Tensão Base - Vb - (V)</t>
  </si>
  <si>
    <t>Corrente Nominal de Operação (A)</t>
  </si>
  <si>
    <t>Tipo de Ajuste?</t>
  </si>
  <si>
    <t>Faixa de Ajuste (A)</t>
  </si>
  <si>
    <t>Magnético e Térmico</t>
  </si>
  <si>
    <t>Número de Polos</t>
  </si>
  <si>
    <t>100% de Icu</t>
  </si>
  <si>
    <t>252 - 630</t>
  </si>
  <si>
    <t>QDPCA</t>
  </si>
  <si>
    <t>Termomagnético</t>
  </si>
  <si>
    <t>sim</t>
  </si>
  <si>
    <t>Magnético</t>
  </si>
  <si>
    <t>10 - 50</t>
  </si>
  <si>
    <t>Características da Chave</t>
  </si>
  <si>
    <t>Variáveis da Linha</t>
  </si>
  <si>
    <t>Características do Disjuntor</t>
  </si>
  <si>
    <t>Função</t>
  </si>
  <si>
    <t>Proteger o conjunto do sistema (todos os inversores ligados ao barramento) e o transformador</t>
  </si>
  <si>
    <t>Seccionar o circuito das strings em paralelo</t>
  </si>
  <si>
    <t xml:space="preserve">Seccionar o circuito dos inversores </t>
  </si>
  <si>
    <t>Seccionar o circutio do transformador auxiliar</t>
  </si>
  <si>
    <t>Proteger contra sobrecarga e curto-circuito o circuito de comunicação</t>
  </si>
  <si>
    <t>Proteger contra sobrecarga e curto-circuito o circuito de tomadas</t>
  </si>
  <si>
    <t>Mini Disjuntor</t>
  </si>
  <si>
    <t>Fixo</t>
  </si>
  <si>
    <t>Proteger contra sobrecarga e curto-circuito os inversores individualmente</t>
  </si>
  <si>
    <t>Secção Escolhida (mm2 )</t>
  </si>
  <si>
    <t>Curva B</t>
  </si>
  <si>
    <t>Curva C</t>
  </si>
  <si>
    <t>WEG - ACW630H-ETM630-AC-3</t>
  </si>
  <si>
    <t>WEG - AGW50N-DX50-3</t>
  </si>
  <si>
    <t>STECK - SDZD62B10</t>
  </si>
  <si>
    <t>STECK - SDZD62B32</t>
  </si>
  <si>
    <t>WEG - FSW 250 - 11884179</t>
  </si>
  <si>
    <t>WEG -  FSW 630-3 - 11884181</t>
  </si>
  <si>
    <t>WEG - FSW 100 - 11884179</t>
  </si>
  <si>
    <t>DPS</t>
  </si>
  <si>
    <t>Características do DPS</t>
  </si>
  <si>
    <t>Classe</t>
  </si>
  <si>
    <t>I/II</t>
  </si>
  <si>
    <t>Corrente Nominal (A)</t>
  </si>
  <si>
    <t>Tensão Nominal (V)</t>
  </si>
  <si>
    <t>Fotovoltaico</t>
  </si>
  <si>
    <t xml:space="preserve">≤ 5 </t>
  </si>
  <si>
    <t>Corrente de Impulso (kA)</t>
  </si>
  <si>
    <t>Corrente Máxima  (kA)</t>
  </si>
  <si>
    <t>Corrente Nominal de Descarga (kA)</t>
  </si>
  <si>
    <t>Classe de Isolação (kV)</t>
  </si>
  <si>
    <t>SIEMENS - 5SD7 483-6</t>
  </si>
  <si>
    <t>SIEMENS - 5SD7 414-1</t>
  </si>
  <si>
    <t>1000 VDC</t>
  </si>
  <si>
    <t>240 - 415 VAC</t>
  </si>
  <si>
    <t>I</t>
  </si>
  <si>
    <t>SIEMENS - 5SD7 412-2</t>
  </si>
  <si>
    <t>240 VAC</t>
  </si>
  <si>
    <t>BASES E FUSÍVEIS</t>
  </si>
  <si>
    <t>Porta Fusível</t>
  </si>
  <si>
    <t>Tensão de operação (V)</t>
  </si>
  <si>
    <t>Corrente de Operação (A)</t>
  </si>
  <si>
    <t>Fusível</t>
  </si>
  <si>
    <t>Corrente de Interrupção (kA)</t>
  </si>
  <si>
    <t>BRASILTEC - C2S-901103101 &amp; 
C2S-901330801</t>
  </si>
  <si>
    <t>Ar</t>
  </si>
  <si>
    <t>Tag</t>
  </si>
  <si>
    <t>TRANSFORMADOR DE CORRENTE</t>
  </si>
  <si>
    <r>
      <t>Corrente Nominal no Primário (I</t>
    </r>
    <r>
      <rPr>
        <b/>
        <vertAlign val="subscript"/>
        <sz val="12"/>
        <color theme="1"/>
        <rFont val="Calibri"/>
        <family val="2"/>
        <scheme val="minor"/>
      </rPr>
      <t>pn</t>
    </r>
    <r>
      <rPr>
        <b/>
        <sz val="12"/>
        <color theme="1"/>
        <rFont val="Calibri"/>
        <family val="2"/>
        <scheme val="minor"/>
      </rPr>
      <t>) A</t>
    </r>
  </si>
  <si>
    <r>
      <t>Corrente Nominal no Secundário (I</t>
    </r>
    <r>
      <rPr>
        <b/>
        <vertAlign val="subscript"/>
        <sz val="12"/>
        <color theme="1"/>
        <rFont val="Calibri"/>
        <family val="2"/>
        <scheme val="minor"/>
      </rPr>
      <t>sn</t>
    </r>
    <r>
      <rPr>
        <b/>
        <sz val="12"/>
        <color theme="1"/>
        <rFont val="Calibri"/>
        <family val="2"/>
        <scheme val="minor"/>
      </rPr>
      <t>) A</t>
    </r>
  </si>
  <si>
    <t>0,2S</t>
  </si>
  <si>
    <t>Pprecisão</t>
  </si>
  <si>
    <r>
      <rPr>
        <sz val="14"/>
        <color theme="1"/>
        <rFont val="Aptos Narrow"/>
        <family val="2"/>
      </rPr>
      <t>±</t>
    </r>
    <r>
      <rPr>
        <sz val="12"/>
        <color theme="1"/>
        <rFont val="Aptos Narrow"/>
        <family val="2"/>
      </rPr>
      <t xml:space="preserve"> </t>
    </r>
    <r>
      <rPr>
        <sz val="12"/>
        <color theme="1"/>
        <rFont val="Calibri"/>
        <family val="2"/>
      </rPr>
      <t>0,2%</t>
    </r>
  </si>
  <si>
    <t>Apoio multimedidor</t>
  </si>
  <si>
    <t>TRANSFORMADOR DE POTENCIAL</t>
  </si>
  <si>
    <t>Tensão Nominal no Primário V</t>
  </si>
  <si>
    <t>Tensão Nominal no Secundário V</t>
  </si>
  <si>
    <t>Potência
nominal VA</t>
  </si>
  <si>
    <r>
      <t>Potência
nominal (P</t>
    </r>
    <r>
      <rPr>
        <b/>
        <vertAlign val="subscript"/>
        <sz val="12"/>
        <color theme="1"/>
        <rFont val="Calibri"/>
        <family val="2"/>
        <scheme val="minor"/>
      </rPr>
      <t>n)</t>
    </r>
    <r>
      <rPr>
        <b/>
        <sz val="12"/>
        <color theme="1"/>
        <rFont val="Calibri"/>
        <family val="2"/>
        <scheme val="minor"/>
      </rPr>
      <t xml:space="preserve"> VA</t>
    </r>
  </si>
  <si>
    <t xml:space="preserve"> 4NC5126-2FE21 </t>
  </si>
  <si>
    <t>4AM4380-0AK20-0N</t>
  </si>
  <si>
    <t>Cubículo de Entrada</t>
  </si>
  <si>
    <t>FUS-01 ao 15</t>
  </si>
  <si>
    <t>TC-01</t>
  </si>
  <si>
    <t>TC-02</t>
  </si>
  <si>
    <t>TP-01</t>
  </si>
  <si>
    <t>DPS-01 ao 15</t>
  </si>
  <si>
    <t>SEC-01 ao 15</t>
  </si>
  <si>
    <t>SEC-19</t>
  </si>
  <si>
    <t>Apoio ao Rele de Proteção</t>
  </si>
  <si>
    <t>TP-04</t>
  </si>
  <si>
    <t>Apoio ao Medidor da CPFL</t>
  </si>
  <si>
    <t>RELE DE PROTEÇÃO</t>
  </si>
  <si>
    <t>RELE DE SINCRONISMO</t>
  </si>
  <si>
    <t xml:space="preserve">URPS 2406 72 ... 250 Vca/Vcc – RS 485 – NA </t>
  </si>
  <si>
    <t>Medir a Sincronicidade das Partes do Sistema</t>
  </si>
  <si>
    <t>RLS-01</t>
  </si>
  <si>
    <t>Marca</t>
  </si>
  <si>
    <t>Pextron</t>
  </si>
  <si>
    <t>RLP-01</t>
  </si>
  <si>
    <t xml:space="preserve">Rele de Proteção da Entrada de Energia </t>
  </si>
  <si>
    <t>URP 6000</t>
  </si>
  <si>
    <t>Apoio ao Rele de Sincronismo</t>
  </si>
  <si>
    <t>TP-02A/B</t>
  </si>
  <si>
    <t>DJT-04</t>
  </si>
  <si>
    <t>DJT-05</t>
  </si>
  <si>
    <t>DJT-06</t>
  </si>
  <si>
    <t>DJT-07</t>
  </si>
  <si>
    <t>DJT-01A/B/C</t>
  </si>
  <si>
    <t>DJT-02</t>
  </si>
  <si>
    <t>DJT-03</t>
  </si>
  <si>
    <t>SEC-16A/B/C</t>
  </si>
  <si>
    <t>SEC-17</t>
  </si>
  <si>
    <t>SEC-18</t>
  </si>
  <si>
    <t>DPS-16A/B/C</t>
  </si>
  <si>
    <t>MULTIMEDIDOR</t>
  </si>
  <si>
    <t>Multimedidor de Grandezas Elétricas</t>
  </si>
  <si>
    <t>WEG</t>
  </si>
  <si>
    <t>MMW03-M22CHB</t>
  </si>
  <si>
    <t>WEG - VBWC630</t>
  </si>
  <si>
    <t>A Vácuo</t>
  </si>
  <si>
    <t>Proteger o Rele de Medição e a Entrada do Circuito</t>
  </si>
  <si>
    <t>MTD-01</t>
  </si>
  <si>
    <t>TRANSFORMADOR PRINCIPAL</t>
  </si>
  <si>
    <t>Tensão no Primário (Kv)</t>
  </si>
  <si>
    <t>Tensão no Secundário (Kv)</t>
  </si>
  <si>
    <t>Ligação AT/BT</t>
  </si>
  <si>
    <t xml:space="preserve">Grupo </t>
  </si>
  <si>
    <t>Dyn1</t>
  </si>
  <si>
    <t>Triângulo/Estrela</t>
  </si>
  <si>
    <t>0.38</t>
  </si>
  <si>
    <t>13.8</t>
  </si>
  <si>
    <t>Potência (MVA)</t>
  </si>
  <si>
    <t>TRF-01</t>
  </si>
  <si>
    <t>Transformação Principal de Tensão de MT para BT</t>
  </si>
  <si>
    <t>TRANSFORMADOR AUXILIAR</t>
  </si>
  <si>
    <t>Transformação Auxiliar de Tensão de MT para BT</t>
  </si>
  <si>
    <t>0.38/0.22</t>
  </si>
  <si>
    <t>https://multitrafo.com.br/produto/transformador-a-seco-15kva/</t>
  </si>
  <si>
    <t>MULTITRAFO</t>
  </si>
  <si>
    <t>TRF-02</t>
  </si>
  <si>
    <t>+, -</t>
  </si>
  <si>
    <t>Ponto de Lampâda</t>
  </si>
  <si>
    <t>F + F + N</t>
  </si>
  <si>
    <t>SKID de Transformação</t>
  </si>
  <si>
    <t>QDPCA (SKID de Transformação)</t>
  </si>
  <si>
    <t>Quadro de Cargas Auxiliares</t>
  </si>
  <si>
    <t>Seccionar o circuito geral  antes do trafo principal</t>
  </si>
  <si>
    <t>SEC-20</t>
  </si>
  <si>
    <t>Seccionar o circuito geral  depois do trafo principal</t>
  </si>
  <si>
    <t>HH</t>
  </si>
  <si>
    <t>A analisar com o frabricante escolhido</t>
  </si>
  <si>
    <t>Trava Kirk?</t>
  </si>
  <si>
    <t>Seccionar o circuito geral antes da cabine primária</t>
  </si>
  <si>
    <t>RESERVAS</t>
  </si>
  <si>
    <t>Reserva</t>
  </si>
  <si>
    <t>2.5</t>
  </si>
  <si>
    <t>Proteger contra sobrecarga e curto-circuito o circuito de cargas auxiliares</t>
  </si>
  <si>
    <t>ILUMINAÇÃO
INTERNA</t>
  </si>
  <si>
    <t>ILUMINAÇÃO
EXTERNA</t>
  </si>
  <si>
    <t>iluminação Interna</t>
  </si>
  <si>
    <t>iluminação Externa</t>
  </si>
  <si>
    <t>0,6/2</t>
  </si>
  <si>
    <t>Reserva 1</t>
  </si>
  <si>
    <t>Reserva 2</t>
  </si>
  <si>
    <t>Proteger contra sobrecarga e curto-circuito o circuito de iluminação interna</t>
  </si>
  <si>
    <t>Proteger contra sobrecarga e curto-circuito o circuito de iluminação externa</t>
  </si>
  <si>
    <t>DJT-08</t>
  </si>
  <si>
    <t>VALORES DE IRRADIAÇÃO SOLAR - 2024</t>
  </si>
  <si>
    <t>MDC1A-040-1000-4V-9121
MERZ Schaltgeräte</t>
  </si>
  <si>
    <t>DPS-17A/B/C</t>
  </si>
  <si>
    <t>WEG - ACW250H-ATU250-3</t>
  </si>
  <si>
    <t>ATU</t>
  </si>
  <si>
    <t>Cabine Primária</t>
  </si>
  <si>
    <t>160 - 200</t>
  </si>
  <si>
    <t>ETS</t>
  </si>
  <si>
    <t>TP-03A/B</t>
  </si>
  <si>
    <t>TC-03</t>
  </si>
  <si>
    <t>Potência Necessária do Sistema</t>
  </si>
  <si>
    <t>Media Diária</t>
  </si>
  <si>
    <t>Fator de segurança</t>
  </si>
  <si>
    <t>HSp</t>
  </si>
  <si>
    <t>14/12/2023 - 31/01/2024</t>
  </si>
  <si>
    <t>01 de janeiro</t>
  </si>
  <si>
    <t>Geração Total Do Sistema (KWh)</t>
  </si>
  <si>
    <t>Custo da Manutenção (R$)</t>
  </si>
  <si>
    <t>TIR:</t>
  </si>
  <si>
    <t>ROI:</t>
  </si>
  <si>
    <t>VPL:</t>
  </si>
  <si>
    <t>Eficiência do Sistema (%)</t>
  </si>
  <si>
    <t>inflação:</t>
  </si>
  <si>
    <t>Queda de eficiência:</t>
  </si>
  <si>
    <t>0,3%/ano</t>
  </si>
  <si>
    <t>Investiment:</t>
  </si>
  <si>
    <t>Reajuste de tarifa:</t>
  </si>
  <si>
    <t>TMA:</t>
  </si>
  <si>
    <t>SOMA PONTA (R$)</t>
  </si>
  <si>
    <t>SOMA FPONTA (R$)</t>
  </si>
  <si>
    <t>VP Acumulado:</t>
  </si>
  <si>
    <t>PAYBACK:</t>
  </si>
  <si>
    <t>Manutenção Anual:</t>
  </si>
  <si>
    <t>Geração no 1 ano:</t>
  </si>
  <si>
    <t>523810 KWh</t>
  </si>
  <si>
    <t>Encargos Anuais:</t>
  </si>
  <si>
    <t>Tarifa:</t>
  </si>
  <si>
    <t>0,5264 (TUSD + TE)</t>
  </si>
  <si>
    <t>Tempo de Análise:</t>
  </si>
  <si>
    <t>20 anos</t>
  </si>
  <si>
    <t>Tarifa Total (R$)</t>
  </si>
  <si>
    <t>Geração Bruta (R$)</t>
  </si>
  <si>
    <t>Geração Liquída (R$)</t>
  </si>
  <si>
    <t>Valor Presente (R$)</t>
  </si>
  <si>
    <t>Valor Presente 
Acumulado (R$)</t>
  </si>
  <si>
    <t>Item</t>
  </si>
  <si>
    <t>Quantidade (unidades)</t>
  </si>
  <si>
    <t>Custo Unitário (BRL)</t>
  </si>
  <si>
    <t>Total (BRL)</t>
  </si>
  <si>
    <t>Módulos FV</t>
  </si>
  <si>
    <t>RSM132-8-700BHDG</t>
  </si>
  <si>
    <t>Suportes dos módulos</t>
  </si>
  <si>
    <t>Inversores</t>
  </si>
  <si>
    <t>100 kWac inverter solis</t>
  </si>
  <si>
    <t>Acessórios, caixas de passagem, caixarias, condutores, barramentos, bornes, dispositivos de proteção</t>
  </si>
  <si>
    <t>Skid e Cabine primária</t>
  </si>
  <si>
    <t>Pára-raios</t>
  </si>
  <si>
    <t>Estudos e análises</t>
  </si>
  <si>
    <t>Engenharia</t>
  </si>
  <si>
    <t>Autorizações e despesas admin.</t>
  </si>
  <si>
    <t>Instalação</t>
  </si>
  <si>
    <t>Instalação completa (por módulo)</t>
  </si>
  <si>
    <t>Instalação por inversor</t>
  </si>
  <si>
    <t>Transporte</t>
  </si>
  <si>
    <t>Ligação à rede</t>
  </si>
  <si>
    <t>Custo do terreno</t>
  </si>
  <si>
    <t>Compra de terreno</t>
  </si>
  <si>
    <t>Preparação do terreno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</si>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</sst>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R$&quot;\ #,##0.00;[Red]\-&quot;R$&quot;\ #,##0.00"/>
    <numFmt numFmtId="164" formatCode="&quot;R$&quot;\ #,##0.00;[Red]&quot;R$&quot;\ #,##0.00"/>
    <numFmt numFmtId="165" formatCode="[$-416]mmmm\-yy;@"/>
    <numFmt numFmtId="166" formatCode="0.0000"/>
    <numFmt numFmtId="167" formatCode="[$-F800]dddd\,\ mmmm\ dd\,\ yyyy"/>
    <numFmt numFmtId="168" formatCode="&quot;R$&quot;\ #,##0.00"/>
    <numFmt numFmtId="169" formatCode="0.0"/>
    <numFmt numFmtId="170" formatCode="&quot;R$&quot;\ #,##0.0000"/>
  </numFmts>
  <fonts count="25" x14ac:knownFonts="1"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2"/>
      <color theme="1"/>
      <name val="Aptos Narrow"/>
      <family val="2"/>
    </font>
    <font>
      <sz val="12"/>
      <color theme="1"/>
      <name val="Calibri"/>
      <family val="2"/>
    </font>
    <font>
      <sz val="14"/>
      <color theme="1"/>
      <name val="Aptos Narrow"/>
      <family val="2"/>
    </font>
    <font>
      <u/>
      <sz val="16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thin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theme="2" tint="-9.9948118533890809E-2"/>
      </right>
      <top style="medium">
        <color indexed="64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indexed="64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indexed="64"/>
      </right>
      <top style="medium">
        <color indexed="64"/>
      </top>
      <bottom style="medium">
        <color theme="2" tint="-9.9948118533890809E-2"/>
      </bottom>
      <diagonal/>
    </border>
    <border>
      <left style="medium">
        <color indexed="64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indexed="64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indexed="64"/>
      </left>
      <right style="medium">
        <color theme="2" tint="-9.9948118533890809E-2"/>
      </right>
      <top style="medium">
        <color theme="2" tint="-9.9948118533890809E-2"/>
      </top>
      <bottom style="medium">
        <color indexed="64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indexed="64"/>
      </bottom>
      <diagonal/>
    </border>
    <border>
      <left style="medium">
        <color theme="2" tint="-9.9948118533890809E-2"/>
      </left>
      <right style="medium">
        <color indexed="64"/>
      </right>
      <top style="medium">
        <color theme="2" tint="-9.9948118533890809E-2"/>
      </top>
      <bottom style="medium">
        <color indexed="64"/>
      </bottom>
      <diagonal/>
    </border>
    <border>
      <left style="medium">
        <color indexed="64"/>
      </left>
      <right style="thin">
        <color theme="2" tint="-9.9948118533890809E-2"/>
      </right>
      <top style="medium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medium">
        <color indexed="64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medium">
        <color indexed="64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indexed="64"/>
      </top>
      <bottom style="medium">
        <color indexed="64"/>
      </bottom>
      <diagonal/>
    </border>
    <border>
      <left style="thin">
        <color theme="2" tint="-9.9948118533890809E-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23" fillId="0" borderId="0" applyNumberFormat="0" applyFill="0" applyBorder="0" applyAlignment="0" applyProtection="0"/>
    <xf numFmtId="0" fontId="1" fillId="0" borderId="0"/>
  </cellStyleXfs>
  <cellXfs count="613">
    <xf numFmtId="0" fontId="0" fillId="0" borderId="0" xfId="0"/>
    <xf numFmtId="165" fontId="0" fillId="0" borderId="0" xfId="0" applyNumberFormat="1"/>
    <xf numFmtId="165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1"/>
    <xf numFmtId="0" fontId="6" fillId="0" borderId="0" xfId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Border="1"/>
    <xf numFmtId="10" fontId="9" fillId="0" borderId="10" xfId="1" applyNumberFormat="1" applyFont="1" applyBorder="1" applyAlignment="1">
      <alignment horizontal="center" vertical="center"/>
    </xf>
    <xf numFmtId="0" fontId="9" fillId="0" borderId="11" xfId="1" applyFont="1" applyBorder="1" applyAlignment="1">
      <alignment horizontal="left" vertical="center" wrapText="1"/>
    </xf>
    <xf numFmtId="0" fontId="8" fillId="0" borderId="0" xfId="1" applyFont="1"/>
    <xf numFmtId="0" fontId="8" fillId="0" borderId="10" xfId="1" applyFont="1" applyBorder="1" applyAlignment="1">
      <alignment horizontal="center" vertical="center" wrapText="1"/>
    </xf>
    <xf numFmtId="10" fontId="9" fillId="0" borderId="1" xfId="1" applyNumberFormat="1" applyFont="1" applyBorder="1" applyAlignment="1">
      <alignment horizontal="center" vertical="center"/>
    </xf>
    <xf numFmtId="0" fontId="9" fillId="0" borderId="3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0" fontId="11" fillId="0" borderId="15" xfId="1" applyFont="1" applyBorder="1" applyAlignment="1">
      <alignment horizontal="center" vertical="center" wrapText="1"/>
    </xf>
    <xf numFmtId="0" fontId="10" fillId="0" borderId="14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10" fontId="9" fillId="0" borderId="4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left" vertical="center" wrapText="1"/>
    </xf>
    <xf numFmtId="10" fontId="10" fillId="0" borderId="2" xfId="1" applyNumberFormat="1" applyFont="1" applyBorder="1" applyAlignment="1">
      <alignment horizontal="center" vertical="center"/>
    </xf>
    <xf numFmtId="0" fontId="8" fillId="0" borderId="16" xfId="1" applyFont="1" applyBorder="1" applyAlignment="1">
      <alignment wrapText="1"/>
    </xf>
    <xf numFmtId="0" fontId="6" fillId="0" borderId="0" xfId="1" applyAlignment="1"/>
    <xf numFmtId="0" fontId="9" fillId="0" borderId="0" xfId="0" applyFont="1"/>
    <xf numFmtId="165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/>
    </xf>
    <xf numFmtId="165" fontId="11" fillId="0" borderId="29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2" fontId="9" fillId="0" borderId="18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167" fontId="11" fillId="0" borderId="29" xfId="0" applyNumberFormat="1" applyFont="1" applyBorder="1" applyAlignment="1">
      <alignment horizontal="right" vertical="center"/>
    </xf>
    <xf numFmtId="2" fontId="12" fillId="0" borderId="8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167" fontId="11" fillId="0" borderId="34" xfId="0" applyNumberFormat="1" applyFont="1" applyBorder="1" applyAlignment="1">
      <alignment horizontal="right" vertical="center"/>
    </xf>
    <xf numFmtId="164" fontId="12" fillId="0" borderId="17" xfId="0" applyNumberFormat="1" applyFont="1" applyBorder="1" applyAlignment="1">
      <alignment horizontal="center" vertical="center"/>
    </xf>
    <xf numFmtId="2" fontId="12" fillId="0" borderId="17" xfId="0" applyNumberFormat="1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165" fontId="11" fillId="0" borderId="8" xfId="0" applyNumberFormat="1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6" fontId="9" fillId="0" borderId="7" xfId="0" applyNumberFormat="1" applyFon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6" fontId="12" fillId="0" borderId="25" xfId="0" applyNumberFormat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10" fillId="0" borderId="2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0" fontId="8" fillId="0" borderId="0" xfId="1" applyFont="1" applyAlignment="1">
      <alignment wrapText="1"/>
    </xf>
    <xf numFmtId="2" fontId="9" fillId="0" borderId="10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9" fillId="0" borderId="4" xfId="0" applyNumberFormat="1" applyFont="1" applyBorder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0" fontId="8" fillId="0" borderId="48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 wrapText="1"/>
    </xf>
    <xf numFmtId="0" fontId="8" fillId="0" borderId="23" xfId="1" applyFont="1" applyBorder="1" applyAlignment="1">
      <alignment horizontal="left" vertical="center" wrapText="1"/>
    </xf>
    <xf numFmtId="0" fontId="9" fillId="0" borderId="46" xfId="0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2" fontId="15" fillId="0" borderId="43" xfId="0" applyNumberFormat="1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9" fillId="0" borderId="52" xfId="0" applyNumberFormat="1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167" fontId="11" fillId="0" borderId="8" xfId="0" applyNumberFormat="1" applyFont="1" applyBorder="1" applyAlignment="1">
      <alignment horizontal="left" vertical="center"/>
    </xf>
    <xf numFmtId="167" fontId="11" fillId="0" borderId="53" xfId="0" applyNumberFormat="1" applyFont="1" applyBorder="1" applyAlignment="1">
      <alignment horizontal="left" vertical="center"/>
    </xf>
    <xf numFmtId="167" fontId="11" fillId="0" borderId="48" xfId="0" applyNumberFormat="1" applyFont="1" applyBorder="1" applyAlignment="1">
      <alignment horizontal="left" vertical="center"/>
    </xf>
    <xf numFmtId="0" fontId="9" fillId="0" borderId="49" xfId="1" applyFont="1" applyBorder="1" applyAlignment="1">
      <alignment horizontal="center" vertical="center"/>
    </xf>
    <xf numFmtId="0" fontId="9" fillId="0" borderId="54" xfId="1" applyFont="1" applyBorder="1" applyAlignment="1">
      <alignment horizontal="center" vertical="center"/>
    </xf>
    <xf numFmtId="0" fontId="9" fillId="0" borderId="55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11" fillId="0" borderId="22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1" fillId="0" borderId="23" xfId="1" applyFont="1" applyBorder="1" applyAlignment="1">
      <alignment horizontal="center" vertical="center"/>
    </xf>
    <xf numFmtId="0" fontId="10" fillId="0" borderId="22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23" xfId="1" applyFont="1" applyBorder="1" applyAlignment="1">
      <alignment horizontal="center" vertical="center" wrapText="1"/>
    </xf>
    <xf numFmtId="10" fontId="15" fillId="0" borderId="1" xfId="0" applyNumberFormat="1" applyFont="1" applyBorder="1" applyAlignment="1">
      <alignment horizontal="center" vertical="center"/>
    </xf>
    <xf numFmtId="10" fontId="15" fillId="0" borderId="10" xfId="0" applyNumberFormat="1" applyFont="1" applyBorder="1" applyAlignment="1">
      <alignment horizontal="center" vertical="center"/>
    </xf>
    <xf numFmtId="10" fontId="15" fillId="0" borderId="4" xfId="0" applyNumberFormat="1" applyFont="1" applyBorder="1" applyAlignment="1">
      <alignment horizontal="center" vertical="center"/>
    </xf>
    <xf numFmtId="2" fontId="11" fillId="0" borderId="15" xfId="0" applyNumberFormat="1" applyFont="1" applyBorder="1" applyAlignment="1">
      <alignment horizontal="center" vertical="center"/>
    </xf>
    <xf numFmtId="10" fontId="9" fillId="0" borderId="44" xfId="0" applyNumberFormat="1" applyFont="1" applyBorder="1" applyAlignment="1">
      <alignment horizontal="center" vertical="center"/>
    </xf>
    <xf numFmtId="10" fontId="9" fillId="0" borderId="3" xfId="0" applyNumberFormat="1" applyFont="1" applyBorder="1" applyAlignment="1">
      <alignment horizontal="center" vertical="center"/>
    </xf>
    <xf numFmtId="10" fontId="9" fillId="0" borderId="5" xfId="0" applyNumberFormat="1" applyFont="1" applyBorder="1" applyAlignment="1">
      <alignment horizontal="center" vertical="center"/>
    </xf>
    <xf numFmtId="10" fontId="11" fillId="0" borderId="16" xfId="0" applyNumberFormat="1" applyFont="1" applyBorder="1" applyAlignment="1">
      <alignment horizontal="center" vertical="center"/>
    </xf>
    <xf numFmtId="10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39" xfId="0" applyFont="1" applyBorder="1" applyAlignment="1">
      <alignment horizontal="left" vertical="center"/>
    </xf>
    <xf numFmtId="2" fontId="9" fillId="0" borderId="3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left" vertical="center"/>
    </xf>
    <xf numFmtId="0" fontId="9" fillId="0" borderId="58" xfId="0" applyFont="1" applyBorder="1" applyAlignment="1">
      <alignment horizontal="center" vertical="center"/>
    </xf>
    <xf numFmtId="2" fontId="9" fillId="0" borderId="46" xfId="0" applyNumberFormat="1" applyFon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62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52" xfId="0" applyFont="1" applyBorder="1" applyAlignment="1">
      <alignment horizontal="left" vertical="center"/>
    </xf>
    <xf numFmtId="0" fontId="9" fillId="0" borderId="43" xfId="0" applyFont="1" applyBorder="1" applyAlignment="1">
      <alignment horizontal="center" vertical="center"/>
    </xf>
    <xf numFmtId="0" fontId="9" fillId="0" borderId="42" xfId="0" applyFont="1" applyBorder="1" applyAlignment="1">
      <alignment horizontal="left" vertical="center"/>
    </xf>
    <xf numFmtId="2" fontId="9" fillId="0" borderId="59" xfId="0" applyNumberFormat="1" applyFont="1" applyBorder="1" applyAlignment="1">
      <alignment horizontal="center" vertical="center"/>
    </xf>
    <xf numFmtId="2" fontId="9" fillId="0" borderId="63" xfId="0" applyNumberFormat="1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8" xfId="0" applyFont="1" applyBorder="1"/>
    <xf numFmtId="0" fontId="9" fillId="0" borderId="23" xfId="0" applyFont="1" applyBorder="1"/>
    <xf numFmtId="1" fontId="9" fillId="2" borderId="3" xfId="0" applyNumberFormat="1" applyFont="1" applyFill="1" applyBorder="1" applyAlignment="1">
      <alignment horizontal="center" vertical="center" wrapText="1"/>
    </xf>
    <xf numFmtId="1" fontId="9" fillId="3" borderId="3" xfId="0" applyNumberFormat="1" applyFont="1" applyFill="1" applyBorder="1" applyAlignment="1">
      <alignment horizontal="center" vertical="center" wrapText="1"/>
    </xf>
    <xf numFmtId="1" fontId="9" fillId="2" borderId="11" xfId="0" applyNumberFormat="1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64" xfId="0" applyFont="1" applyFill="1" applyBorder="1" applyAlignment="1">
      <alignment horizontal="center" vertical="center" wrapText="1"/>
    </xf>
    <xf numFmtId="1" fontId="9" fillId="2" borderId="9" xfId="0" applyNumberFormat="1" applyFont="1" applyFill="1" applyBorder="1" applyAlignment="1">
      <alignment horizontal="center" vertical="center" wrapText="1"/>
    </xf>
    <xf numFmtId="1" fontId="9" fillId="3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1" fontId="9" fillId="3" borderId="6" xfId="0" applyNumberFormat="1" applyFont="1" applyFill="1" applyBorder="1" applyAlignment="1">
      <alignment horizontal="center" vertical="center" wrapText="1"/>
    </xf>
    <xf numFmtId="1" fontId="9" fillId="3" borderId="5" xfId="0" applyNumberFormat="1" applyFont="1" applyFill="1" applyBorder="1" applyAlignment="1">
      <alignment horizontal="center" vertical="center" wrapText="1"/>
    </xf>
    <xf numFmtId="0" fontId="11" fillId="3" borderId="3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1" fontId="11" fillId="0" borderId="2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2" fontId="17" fillId="0" borderId="1" xfId="0" applyNumberFormat="1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quotePrefix="1" applyFont="1" applyBorder="1" applyAlignment="1">
      <alignment horizontal="center" vertical="center"/>
    </xf>
    <xf numFmtId="2" fontId="17" fillId="0" borderId="10" xfId="0" applyNumberFormat="1" applyFont="1" applyBorder="1" applyAlignment="1">
      <alignment horizontal="center" vertical="center"/>
    </xf>
    <xf numFmtId="169" fontId="9" fillId="0" borderId="10" xfId="0" applyNumberFormat="1" applyFont="1" applyBorder="1" applyAlignment="1">
      <alignment horizontal="center" vertical="center"/>
    </xf>
    <xf numFmtId="0" fontId="11" fillId="4" borderId="64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1" fontId="9" fillId="4" borderId="10" xfId="0" applyNumberFormat="1" applyFont="1" applyFill="1" applyBorder="1" applyAlignment="1">
      <alignment horizontal="center" vertical="center"/>
    </xf>
    <xf numFmtId="2" fontId="9" fillId="4" borderId="11" xfId="0" applyNumberFormat="1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1" fontId="9" fillId="4" borderId="4" xfId="0" applyNumberFormat="1" applyFont="1" applyFill="1" applyBorder="1" applyAlignment="1">
      <alignment horizontal="center" vertical="center"/>
    </xf>
    <xf numFmtId="2" fontId="9" fillId="4" borderId="5" xfId="0" applyNumberFormat="1" applyFont="1" applyFill="1" applyBorder="1" applyAlignment="1">
      <alignment horizontal="center" vertical="center"/>
    </xf>
    <xf numFmtId="0" fontId="11" fillId="6" borderId="64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62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 wrapText="1"/>
    </xf>
    <xf numFmtId="0" fontId="9" fillId="7" borderId="38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" fontId="9" fillId="7" borderId="10" xfId="0" applyNumberFormat="1" applyFont="1" applyFill="1" applyBorder="1" applyAlignment="1">
      <alignment horizontal="center" vertical="center"/>
    </xf>
    <xf numFmtId="2" fontId="9" fillId="7" borderId="10" xfId="0" applyNumberFormat="1" applyFont="1" applyFill="1" applyBorder="1" applyAlignment="1">
      <alignment horizontal="center" vertical="center"/>
    </xf>
    <xf numFmtId="2" fontId="9" fillId="7" borderId="11" xfId="0" applyNumberFormat="1" applyFont="1" applyFill="1" applyBorder="1" applyAlignment="1">
      <alignment horizontal="center" vertical="center"/>
    </xf>
    <xf numFmtId="0" fontId="9" fillId="7" borderId="39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/>
    </xf>
    <xf numFmtId="2" fontId="9" fillId="7" borderId="3" xfId="0" applyNumberFormat="1" applyFont="1" applyFill="1" applyBorder="1" applyAlignment="1">
      <alignment horizontal="center" vertical="center"/>
    </xf>
    <xf numFmtId="0" fontId="9" fillId="7" borderId="40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1" fontId="9" fillId="7" borderId="4" xfId="0" applyNumberFormat="1" applyFont="1" applyFill="1" applyBorder="1" applyAlignment="1">
      <alignment horizontal="center" vertical="center"/>
    </xf>
    <xf numFmtId="2" fontId="9" fillId="7" borderId="5" xfId="0" applyNumberFormat="1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58" xfId="0" applyFont="1" applyFill="1" applyBorder="1" applyAlignment="1">
      <alignment horizontal="center" vertical="center"/>
    </xf>
    <xf numFmtId="0" fontId="9" fillId="6" borderId="46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9" fillId="0" borderId="8" xfId="0" applyFont="1" applyBorder="1" applyAlignment="1">
      <alignment vertical="center" wrapText="1"/>
    </xf>
    <xf numFmtId="0" fontId="11" fillId="0" borderId="0" xfId="0" applyFont="1" applyFill="1" applyBorder="1" applyAlignment="1">
      <alignment horizontal="center" vertical="center" textRotation="90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1" fontId="11" fillId="7" borderId="16" xfId="0" applyNumberFormat="1" applyFont="1" applyFill="1" applyBorder="1" applyAlignment="1">
      <alignment horizontal="center" vertical="center"/>
    </xf>
    <xf numFmtId="2" fontId="9" fillId="4" borderId="10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2" fontId="11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vertical="center"/>
    </xf>
    <xf numFmtId="2" fontId="9" fillId="6" borderId="10" xfId="0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1" fontId="11" fillId="4" borderId="15" xfId="0" applyNumberFormat="1" applyFont="1" applyFill="1" applyBorder="1" applyAlignment="1">
      <alignment horizontal="center" vertical="center"/>
    </xf>
    <xf numFmtId="2" fontId="11" fillId="6" borderId="15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2" fontId="9" fillId="0" borderId="58" xfId="0" applyNumberFormat="1" applyFont="1" applyBorder="1" applyAlignment="1">
      <alignment horizontal="center" vertical="center"/>
    </xf>
    <xf numFmtId="1" fontId="9" fillId="0" borderId="58" xfId="0" applyNumberFormat="1" applyFont="1" applyBorder="1" applyAlignment="1">
      <alignment horizontal="center" vertical="center"/>
    </xf>
    <xf numFmtId="2" fontId="17" fillId="0" borderId="58" xfId="0" applyNumberFormat="1" applyFont="1" applyBorder="1" applyAlignment="1">
      <alignment horizontal="center" vertical="center"/>
    </xf>
    <xf numFmtId="0" fontId="11" fillId="0" borderId="38" xfId="0" applyFont="1" applyBorder="1" applyAlignment="1">
      <alignment horizontal="left" vertical="center"/>
    </xf>
    <xf numFmtId="2" fontId="9" fillId="0" borderId="11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left" vertical="center"/>
    </xf>
    <xf numFmtId="2" fontId="9" fillId="0" borderId="3" xfId="0" applyNumberFormat="1" applyFont="1" applyBorder="1" applyAlignment="1">
      <alignment horizontal="center" vertical="center" wrapText="1"/>
    </xf>
    <xf numFmtId="0" fontId="11" fillId="0" borderId="40" xfId="0" applyFont="1" applyBorder="1" applyAlignment="1">
      <alignment horizontal="left" vertical="center"/>
    </xf>
    <xf numFmtId="2" fontId="9" fillId="0" borderId="5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0" borderId="0" xfId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10" fontId="9" fillId="0" borderId="9" xfId="0" applyNumberFormat="1" applyFont="1" applyBorder="1" applyAlignment="1">
      <alignment horizontal="center" vertical="center" wrapText="1"/>
    </xf>
    <xf numFmtId="10" fontId="9" fillId="0" borderId="7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 wrapText="1"/>
    </xf>
    <xf numFmtId="10" fontId="9" fillId="0" borderId="6" xfId="0" applyNumberFormat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9" fillId="0" borderId="61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0" fillId="0" borderId="24" xfId="1" applyFont="1" applyBorder="1" applyAlignment="1">
      <alignment horizontal="center" vertical="center"/>
    </xf>
    <xf numFmtId="10" fontId="8" fillId="0" borderId="16" xfId="1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" fontId="11" fillId="5" borderId="16" xfId="0" applyNumberFormat="1" applyFont="1" applyFill="1" applyBorder="1" applyAlignment="1">
      <alignment horizontal="center" vertical="center"/>
    </xf>
    <xf numFmtId="0" fontId="9" fillId="5" borderId="70" xfId="0" applyFont="1" applyFill="1" applyBorder="1" applyAlignment="1">
      <alignment horizontal="center" vertical="center"/>
    </xf>
    <xf numFmtId="0" fontId="9" fillId="5" borderId="71" xfId="0" applyFont="1" applyFill="1" applyBorder="1" applyAlignment="1">
      <alignment horizontal="center" vertical="center"/>
    </xf>
    <xf numFmtId="2" fontId="9" fillId="5" borderId="71" xfId="0" applyNumberFormat="1" applyFont="1" applyFill="1" applyBorder="1" applyAlignment="1">
      <alignment horizontal="center" vertical="center"/>
    </xf>
    <xf numFmtId="0" fontId="9" fillId="5" borderId="72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/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11" fillId="0" borderId="6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169" fontId="9" fillId="0" borderId="1" xfId="0" applyNumberFormat="1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169" fontId="17" fillId="0" borderId="1" xfId="0" applyNumberFormat="1" applyFont="1" applyBorder="1" applyAlignment="1">
      <alignment horizontal="center" vertical="center"/>
    </xf>
    <xf numFmtId="169" fontId="17" fillId="0" borderId="10" xfId="0" applyNumberFormat="1" applyFont="1" applyBorder="1" applyAlignment="1">
      <alignment horizontal="center" vertical="center"/>
    </xf>
    <xf numFmtId="1" fontId="17" fillId="0" borderId="10" xfId="0" applyNumberFormat="1" applyFont="1" applyBorder="1" applyAlignment="1">
      <alignment horizontal="center" vertical="center"/>
    </xf>
    <xf numFmtId="169" fontId="17" fillId="0" borderId="58" xfId="0" applyNumberFormat="1" applyFont="1" applyBorder="1" applyAlignment="1">
      <alignment horizontal="center" vertical="center"/>
    </xf>
    <xf numFmtId="1" fontId="17" fillId="0" borderId="58" xfId="0" applyNumberFormat="1" applyFont="1" applyBorder="1" applyAlignment="1">
      <alignment horizontal="center" vertical="center"/>
    </xf>
    <xf numFmtId="169" fontId="9" fillId="0" borderId="58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9" fillId="0" borderId="0" xfId="0" applyFont="1" applyBorder="1" applyAlignment="1">
      <alignment horizontal="justify" vertical="center" wrapText="1"/>
    </xf>
    <xf numFmtId="0" fontId="11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 wrapText="1"/>
    </xf>
    <xf numFmtId="2" fontId="9" fillId="0" borderId="0" xfId="0" applyNumberFormat="1" applyFont="1" applyFill="1" applyBorder="1" applyAlignment="1">
      <alignment horizontal="center" vertic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17" fontId="9" fillId="0" borderId="0" xfId="0" quotePrefix="1" applyNumberFormat="1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 wrapText="1"/>
    </xf>
    <xf numFmtId="0" fontId="11" fillId="0" borderId="1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Fill="1"/>
    <xf numFmtId="0" fontId="9" fillId="0" borderId="1" xfId="0" applyFont="1" applyFill="1" applyBorder="1" applyAlignment="1">
      <alignment horizontal="left" vertical="center" wrapText="1"/>
    </xf>
    <xf numFmtId="0" fontId="9" fillId="0" borderId="0" xfId="0" applyFont="1" applyBorder="1"/>
    <xf numFmtId="0" fontId="24" fillId="0" borderId="10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168" fontId="0" fillId="0" borderId="0" xfId="0" applyNumberFormat="1" applyAlignment="1">
      <alignment horizontal="left"/>
    </xf>
    <xf numFmtId="0" fontId="11" fillId="7" borderId="15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justify" vertical="center" wrapText="1"/>
    </xf>
    <xf numFmtId="0" fontId="9" fillId="0" borderId="0" xfId="0" quotePrefix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2" fontId="17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169" fontId="9" fillId="0" borderId="0" xfId="0" applyNumberFormat="1" applyFon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 vertical="center"/>
    </xf>
    <xf numFmtId="2" fontId="9" fillId="8" borderId="10" xfId="0" applyNumberFormat="1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/>
    </xf>
    <xf numFmtId="0" fontId="9" fillId="8" borderId="62" xfId="0" applyFont="1" applyFill="1" applyBorder="1" applyAlignment="1">
      <alignment horizontal="center" vertical="center"/>
    </xf>
    <xf numFmtId="2" fontId="9" fillId="8" borderId="58" xfId="0" applyNumberFormat="1" applyFont="1" applyFill="1" applyBorder="1" applyAlignment="1">
      <alignment horizontal="center" vertical="center" wrapText="1"/>
    </xf>
    <xf numFmtId="0" fontId="9" fillId="8" borderId="46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  <xf numFmtId="2" fontId="11" fillId="8" borderId="15" xfId="0" applyNumberFormat="1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2" fontId="4" fillId="0" borderId="32" xfId="0" applyNumberFormat="1" applyFont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58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65" fontId="12" fillId="0" borderId="0" xfId="0" applyNumberFormat="1" applyFont="1" applyBorder="1" applyAlignment="1">
      <alignment vertical="center"/>
    </xf>
    <xf numFmtId="165" fontId="11" fillId="0" borderId="0" xfId="0" applyNumberFormat="1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12" fillId="0" borderId="32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2" fontId="12" fillId="0" borderId="53" xfId="0" applyNumberFormat="1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2" fontId="12" fillId="0" borderId="0" xfId="0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2" fontId="12" fillId="0" borderId="0" xfId="0" applyNumberFormat="1" applyFont="1" applyBorder="1" applyAlignment="1">
      <alignment horizontal="center"/>
    </xf>
    <xf numFmtId="0" fontId="11" fillId="0" borderId="67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 wrapText="1"/>
    </xf>
    <xf numFmtId="0" fontId="11" fillId="0" borderId="74" xfId="1" applyFont="1" applyBorder="1" applyAlignment="1">
      <alignment horizontal="center" vertical="center" wrapText="1"/>
    </xf>
    <xf numFmtId="0" fontId="10" fillId="0" borderId="69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10" fillId="0" borderId="74" xfId="1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 vertical="center"/>
    </xf>
    <xf numFmtId="10" fontId="9" fillId="0" borderId="0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6" fillId="0" borderId="1" xfId="1" applyNumberFormat="1" applyBorder="1" applyAlignment="1">
      <alignment horizontal="center" vertical="center"/>
    </xf>
    <xf numFmtId="168" fontId="6" fillId="0" borderId="0" xfId="1" applyNumberFormat="1"/>
    <xf numFmtId="0" fontId="2" fillId="0" borderId="0" xfId="1" applyFont="1" applyAlignment="1">
      <alignment horizontal="center" vertical="center" wrapText="1"/>
    </xf>
    <xf numFmtId="0" fontId="6" fillId="0" borderId="0" xfId="1" applyAlignment="1">
      <alignment horizontal="center" vertical="center" wrapText="1"/>
    </xf>
    <xf numFmtId="1" fontId="2" fillId="0" borderId="42" xfId="1" applyNumberFormat="1" applyFont="1" applyBorder="1" applyAlignment="1">
      <alignment horizontal="center" vertical="center"/>
    </xf>
    <xf numFmtId="168" fontId="2" fillId="0" borderId="43" xfId="1" applyNumberFormat="1" applyFont="1" applyBorder="1" applyAlignment="1">
      <alignment horizontal="center" vertical="center" wrapText="1"/>
    </xf>
    <xf numFmtId="168" fontId="2" fillId="0" borderId="44" xfId="1" applyNumberFormat="1" applyFont="1" applyBorder="1" applyAlignment="1">
      <alignment horizontal="center" vertical="center" wrapText="1"/>
    </xf>
    <xf numFmtId="1" fontId="2" fillId="0" borderId="39" xfId="1" applyNumberFormat="1" applyFont="1" applyBorder="1" applyAlignment="1">
      <alignment horizontal="center" vertical="center"/>
    </xf>
    <xf numFmtId="2" fontId="6" fillId="0" borderId="3" xfId="1" applyNumberFormat="1" applyBorder="1" applyAlignment="1">
      <alignment horizontal="center" vertical="center"/>
    </xf>
    <xf numFmtId="1" fontId="2" fillId="0" borderId="45" xfId="1" applyNumberFormat="1" applyFont="1" applyBorder="1" applyAlignment="1">
      <alignment horizontal="center" vertical="center"/>
    </xf>
    <xf numFmtId="2" fontId="6" fillId="0" borderId="58" xfId="1" applyNumberFormat="1" applyBorder="1" applyAlignment="1">
      <alignment horizontal="center" vertical="center"/>
    </xf>
    <xf numFmtId="2" fontId="6" fillId="0" borderId="46" xfId="1" applyNumberFormat="1" applyBorder="1" applyAlignment="1">
      <alignment horizontal="center" vertical="center"/>
    </xf>
    <xf numFmtId="168" fontId="6" fillId="0" borderId="75" xfId="1" applyNumberFormat="1" applyBorder="1" applyAlignment="1">
      <alignment horizontal="center" vertical="center"/>
    </xf>
    <xf numFmtId="8" fontId="6" fillId="0" borderId="29" xfId="1" applyNumberFormat="1" applyBorder="1" applyAlignment="1">
      <alignment horizontal="center" vertical="center"/>
    </xf>
    <xf numFmtId="10" fontId="6" fillId="0" borderId="29" xfId="1" applyNumberFormat="1" applyBorder="1" applyAlignment="1">
      <alignment horizontal="center" vertical="center"/>
    </xf>
    <xf numFmtId="2" fontId="6" fillId="0" borderId="76" xfId="1" applyNumberFormat="1" applyBorder="1" applyAlignment="1">
      <alignment horizontal="center" vertical="center"/>
    </xf>
    <xf numFmtId="0" fontId="6" fillId="0" borderId="22" xfId="1" applyBorder="1" applyAlignment="1">
      <alignment horizontal="right" vertical="center"/>
    </xf>
    <xf numFmtId="0" fontId="6" fillId="0" borderId="8" xfId="1" applyBorder="1" applyAlignment="1">
      <alignment horizontal="right" vertical="center"/>
    </xf>
    <xf numFmtId="0" fontId="6" fillId="0" borderId="23" xfId="1" applyBorder="1" applyAlignment="1">
      <alignment horizontal="right" vertical="center"/>
    </xf>
    <xf numFmtId="10" fontId="6" fillId="0" borderId="75" xfId="1" applyNumberFormat="1" applyBorder="1" applyAlignment="1">
      <alignment horizontal="center" vertical="center"/>
    </xf>
    <xf numFmtId="9" fontId="6" fillId="0" borderId="29" xfId="1" applyNumberFormat="1" applyBorder="1" applyAlignment="1">
      <alignment horizontal="center" vertical="center" wrapText="1"/>
    </xf>
    <xf numFmtId="0" fontId="6" fillId="0" borderId="29" xfId="1" applyBorder="1" applyAlignment="1">
      <alignment horizontal="center" vertical="center"/>
    </xf>
    <xf numFmtId="168" fontId="6" fillId="0" borderId="29" xfId="1" applyNumberFormat="1" applyBorder="1" applyAlignment="1">
      <alignment horizontal="center" vertical="center"/>
    </xf>
    <xf numFmtId="170" fontId="6" fillId="0" borderId="29" xfId="1" applyNumberFormat="1" applyBorder="1" applyAlignment="1">
      <alignment horizontal="center" vertical="center"/>
    </xf>
    <xf numFmtId="170" fontId="6" fillId="0" borderId="76" xfId="1" applyNumberFormat="1" applyBorder="1" applyAlignment="1">
      <alignment horizontal="center" vertical="center"/>
    </xf>
    <xf numFmtId="0" fontId="2" fillId="0" borderId="22" xfId="1" applyFont="1" applyBorder="1" applyAlignment="1">
      <alignment horizontal="left" vertical="center"/>
    </xf>
    <xf numFmtId="0" fontId="2" fillId="0" borderId="8" xfId="1" applyFont="1" applyBorder="1" applyAlignment="1">
      <alignment horizontal="left" vertical="center" wrapText="1"/>
    </xf>
    <xf numFmtId="0" fontId="2" fillId="0" borderId="23" xfId="1" applyFont="1" applyBorder="1" applyAlignment="1">
      <alignment horizontal="left" vertical="center" wrapText="1"/>
    </xf>
    <xf numFmtId="0" fontId="11" fillId="0" borderId="24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165" fontId="12" fillId="0" borderId="33" xfId="0" applyNumberFormat="1" applyFont="1" applyBorder="1" applyAlignment="1">
      <alignment horizontal="center" vertical="center"/>
    </xf>
    <xf numFmtId="165" fontId="12" fillId="0" borderId="30" xfId="0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10" fillId="0" borderId="35" xfId="1" applyFont="1" applyBorder="1" applyAlignment="1">
      <alignment horizontal="center"/>
    </xf>
    <xf numFmtId="0" fontId="10" fillId="0" borderId="36" xfId="1" applyFont="1" applyBorder="1" applyAlignment="1">
      <alignment horizontal="center"/>
    </xf>
    <xf numFmtId="0" fontId="10" fillId="0" borderId="37" xfId="1" applyFont="1" applyBorder="1" applyAlignment="1">
      <alignment horizontal="center"/>
    </xf>
    <xf numFmtId="0" fontId="10" fillId="0" borderId="21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10" fillId="0" borderId="41" xfId="1" applyFont="1" applyBorder="1" applyAlignment="1">
      <alignment horizontal="center" vertical="center"/>
    </xf>
    <xf numFmtId="0" fontId="10" fillId="0" borderId="67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1" fontId="11" fillId="0" borderId="65" xfId="0" applyNumberFormat="1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9" fillId="0" borderId="14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38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textRotation="90"/>
    </xf>
    <xf numFmtId="0" fontId="9" fillId="0" borderId="57" xfId="0" applyFont="1" applyBorder="1" applyAlignment="1">
      <alignment horizontal="center" vertical="center"/>
    </xf>
    <xf numFmtId="0" fontId="9" fillId="0" borderId="39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61" xfId="0" applyFont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/>
    </xf>
    <xf numFmtId="0" fontId="9" fillId="0" borderId="45" xfId="0" applyFont="1" applyBorder="1" applyAlignment="1">
      <alignment horizontal="left" vertical="center"/>
    </xf>
    <xf numFmtId="0" fontId="9" fillId="0" borderId="58" xfId="0" applyFont="1" applyBorder="1" applyAlignment="1">
      <alignment horizontal="left" vertical="center"/>
    </xf>
    <xf numFmtId="0" fontId="11" fillId="0" borderId="22" xfId="0" applyFont="1" applyBorder="1" applyAlignment="1">
      <alignment horizontal="center" vertical="center" textRotation="90"/>
    </xf>
    <xf numFmtId="0" fontId="11" fillId="0" borderId="8" xfId="0" applyFont="1" applyBorder="1" applyAlignment="1">
      <alignment horizontal="center" vertical="center" textRotation="90"/>
    </xf>
    <xf numFmtId="0" fontId="11" fillId="0" borderId="53" xfId="0" applyFont="1" applyBorder="1" applyAlignment="1">
      <alignment horizontal="center" vertical="center" textRotation="90"/>
    </xf>
    <xf numFmtId="0" fontId="11" fillId="0" borderId="23" xfId="0" applyFont="1" applyBorder="1" applyAlignment="1">
      <alignment horizontal="center" vertical="center" textRotation="90"/>
    </xf>
    <xf numFmtId="0" fontId="11" fillId="0" borderId="0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justify" vertical="center" wrapText="1"/>
    </xf>
    <xf numFmtId="0" fontId="9" fillId="0" borderId="31" xfId="0" applyFont="1" applyBorder="1" applyAlignment="1">
      <alignment horizontal="justify" vertical="center" wrapText="1"/>
    </xf>
    <xf numFmtId="0" fontId="9" fillId="0" borderId="32" xfId="0" applyFont="1" applyBorder="1" applyAlignment="1">
      <alignment horizontal="justify" vertical="center" wrapText="1"/>
    </xf>
    <xf numFmtId="0" fontId="11" fillId="0" borderId="14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9" fillId="0" borderId="54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11" fillId="0" borderId="24" xfId="0" applyFont="1" applyBorder="1" applyAlignment="1">
      <alignment horizontal="center" vertical="center" textRotation="90" wrapText="1"/>
    </xf>
    <xf numFmtId="0" fontId="11" fillId="0" borderId="32" xfId="0" applyFont="1" applyBorder="1" applyAlignment="1">
      <alignment horizontal="center" vertical="center" textRotation="90" wrapText="1"/>
    </xf>
    <xf numFmtId="0" fontId="11" fillId="0" borderId="31" xfId="0" applyFont="1" applyBorder="1" applyAlignment="1">
      <alignment horizontal="center" vertical="center" textRotation="90" wrapText="1"/>
    </xf>
    <xf numFmtId="0" fontId="9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48" xfId="0" applyFont="1" applyBorder="1" applyAlignment="1">
      <alignment horizontal="justify" vertical="center" wrapText="1"/>
    </xf>
    <xf numFmtId="0" fontId="11" fillId="5" borderId="69" xfId="0" applyFont="1" applyFill="1" applyBorder="1" applyAlignment="1">
      <alignment horizontal="center" vertical="center" textRotation="90"/>
    </xf>
    <xf numFmtId="0" fontId="11" fillId="5" borderId="67" xfId="0" applyFont="1" applyFill="1" applyBorder="1" applyAlignment="1">
      <alignment horizontal="center" vertical="center" textRotation="90"/>
    </xf>
    <xf numFmtId="0" fontId="11" fillId="5" borderId="68" xfId="0" applyFont="1" applyFill="1" applyBorder="1" applyAlignment="1">
      <alignment horizontal="center" vertical="center" textRotation="90"/>
    </xf>
    <xf numFmtId="0" fontId="11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 textRotation="90"/>
    </xf>
    <xf numFmtId="0" fontId="11" fillId="7" borderId="31" xfId="0" applyFont="1" applyFill="1" applyBorder="1" applyAlignment="1">
      <alignment horizontal="center" vertical="center" textRotation="90"/>
    </xf>
    <xf numFmtId="0" fontId="11" fillId="7" borderId="32" xfId="0" applyFont="1" applyFill="1" applyBorder="1" applyAlignment="1">
      <alignment horizontal="center" vertical="center" textRotation="90"/>
    </xf>
    <xf numFmtId="0" fontId="11" fillId="7" borderId="14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2" fontId="11" fillId="7" borderId="15" xfId="0" applyNumberFormat="1" applyFont="1" applyFill="1" applyBorder="1" applyAlignment="1">
      <alignment horizontal="center" vertical="center" wrapText="1"/>
    </xf>
    <xf numFmtId="2" fontId="11" fillId="7" borderId="16" xfId="0" applyNumberFormat="1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2" fontId="11" fillId="4" borderId="64" xfId="0" applyNumberFormat="1" applyFont="1" applyFill="1" applyBorder="1" applyAlignment="1">
      <alignment horizontal="center" vertical="center" wrapText="1"/>
    </xf>
    <xf numFmtId="2" fontId="11" fillId="4" borderId="13" xfId="0" applyNumberFormat="1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textRotation="90" wrapText="1"/>
    </xf>
    <xf numFmtId="0" fontId="11" fillId="4" borderId="31" xfId="0" applyFont="1" applyFill="1" applyBorder="1" applyAlignment="1">
      <alignment horizontal="center" vertical="center" textRotation="90"/>
    </xf>
    <xf numFmtId="0" fontId="11" fillId="4" borderId="32" xfId="0" applyFont="1" applyFill="1" applyBorder="1" applyAlignment="1">
      <alignment horizontal="center" vertical="center" textRotation="90"/>
    </xf>
    <xf numFmtId="0" fontId="11" fillId="4" borderId="31" xfId="0" applyFont="1" applyFill="1" applyBorder="1" applyAlignment="1">
      <alignment horizontal="center" vertical="center" textRotation="90" wrapText="1"/>
    </xf>
    <xf numFmtId="0" fontId="11" fillId="4" borderId="32" xfId="0" applyFont="1" applyFill="1" applyBorder="1" applyAlignment="1">
      <alignment horizontal="center" vertical="center" textRotation="90" wrapText="1"/>
    </xf>
    <xf numFmtId="0" fontId="11" fillId="6" borderId="24" xfId="0" applyFont="1" applyFill="1" applyBorder="1" applyAlignment="1">
      <alignment horizontal="center" vertical="center" textRotation="90"/>
    </xf>
    <xf numFmtId="0" fontId="11" fillId="6" borderId="31" xfId="0" applyFont="1" applyFill="1" applyBorder="1" applyAlignment="1">
      <alignment horizontal="center" vertical="center" textRotation="90"/>
    </xf>
    <xf numFmtId="0" fontId="11" fillId="6" borderId="32" xfId="0" applyFont="1" applyFill="1" applyBorder="1" applyAlignment="1">
      <alignment horizontal="center" vertical="center" textRotation="90"/>
    </xf>
    <xf numFmtId="0" fontId="11" fillId="6" borderId="14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11" fillId="0" borderId="68" xfId="0" applyFont="1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8" borderId="21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11" fillId="8" borderId="64" xfId="0" applyFont="1" applyFill="1" applyBorder="1" applyAlignment="1">
      <alignment horizontal="center" vertical="center"/>
    </xf>
    <xf numFmtId="0" fontId="11" fillId="8" borderId="41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58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  <xf numFmtId="0" fontId="11" fillId="8" borderId="73" xfId="0" applyFont="1" applyFill="1" applyBorder="1" applyAlignment="1">
      <alignment horizontal="center" vertical="center" textRotation="90" wrapText="1"/>
    </xf>
    <xf numFmtId="0" fontId="11" fillId="8" borderId="74" xfId="0" applyFont="1" applyFill="1" applyBorder="1" applyAlignment="1">
      <alignment horizontal="center" vertical="center" textRotation="90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9" fillId="0" borderId="68" xfId="0" applyFont="1" applyBorder="1" applyAlignment="1">
      <alignment horizontal="center" vertical="center" wrapText="1"/>
    </xf>
    <xf numFmtId="0" fontId="9" fillId="0" borderId="66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 wrapText="1"/>
    </xf>
    <xf numFmtId="0" fontId="11" fillId="0" borderId="64" xfId="0" applyFont="1" applyBorder="1" applyAlignment="1">
      <alignment horizontal="center" vertical="center"/>
    </xf>
    <xf numFmtId="0" fontId="18" fillId="0" borderId="69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73" xfId="0" applyFont="1" applyBorder="1" applyAlignment="1">
      <alignment horizontal="center" vertical="center" wrapText="1"/>
    </xf>
    <xf numFmtId="0" fontId="11" fillId="0" borderId="67" xfId="0" applyFont="1" applyBorder="1" applyAlignment="1">
      <alignment horizontal="center" vertical="center" wrapText="1"/>
    </xf>
    <xf numFmtId="0" fontId="11" fillId="0" borderId="74" xfId="0" applyFont="1" applyBorder="1" applyAlignment="1">
      <alignment horizontal="center" vertical="center" wrapText="1"/>
    </xf>
    <xf numFmtId="0" fontId="9" fillId="0" borderId="67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74" xfId="0" applyFont="1" applyBorder="1" applyAlignment="1">
      <alignment horizontal="center" vertical="center" wrapText="1"/>
    </xf>
    <xf numFmtId="0" fontId="1" fillId="0" borderId="0" xfId="3"/>
    <xf numFmtId="0" fontId="1" fillId="0" borderId="0" xfId="3" applyAlignment="1">
      <alignment horizontal="center" vertical="center"/>
    </xf>
    <xf numFmtId="0" fontId="18" fillId="0" borderId="12" xfId="3" applyFont="1" applyBorder="1" applyAlignment="1">
      <alignment horizontal="center" vertical="center" wrapText="1"/>
    </xf>
    <xf numFmtId="0" fontId="18" fillId="0" borderId="13" xfId="3" applyFont="1" applyBorder="1" applyAlignment="1">
      <alignment horizontal="center" vertical="center" wrapText="1"/>
    </xf>
    <xf numFmtId="0" fontId="18" fillId="0" borderId="64" xfId="3" applyFont="1" applyBorder="1" applyAlignment="1">
      <alignment horizontal="center" vertical="center" wrapText="1"/>
    </xf>
    <xf numFmtId="0" fontId="1" fillId="0" borderId="2" xfId="3" applyBorder="1" applyAlignment="1">
      <alignment horizontal="center" vertical="center"/>
    </xf>
    <xf numFmtId="0" fontId="1" fillId="0" borderId="32" xfId="3" applyBorder="1" applyAlignment="1">
      <alignment horizontal="center" vertical="center"/>
    </xf>
    <xf numFmtId="0" fontId="1" fillId="0" borderId="0" xfId="3" applyBorder="1" applyAlignment="1">
      <alignment horizontal="center" vertical="center"/>
    </xf>
    <xf numFmtId="0" fontId="18" fillId="0" borderId="0" xfId="3" applyFont="1" applyBorder="1" applyAlignment="1">
      <alignment vertical="center" wrapText="1"/>
    </xf>
    <xf numFmtId="0" fontId="1" fillId="0" borderId="0" xfId="3" applyBorder="1" applyAlignment="1">
      <alignment horizontal="center" vertical="center" wrapText="1"/>
    </xf>
    <xf numFmtId="4" fontId="18" fillId="0" borderId="0" xfId="3" applyNumberFormat="1" applyFont="1" applyBorder="1" applyAlignment="1">
      <alignment horizontal="center" vertical="center" wrapText="1"/>
    </xf>
    <xf numFmtId="0" fontId="1" fillId="0" borderId="0" xfId="3" applyBorder="1"/>
    <xf numFmtId="0" fontId="18" fillId="0" borderId="31" xfId="3" applyFont="1" applyBorder="1" applyAlignment="1">
      <alignment horizontal="center" vertical="center"/>
    </xf>
    <xf numFmtId="0" fontId="18" fillId="0" borderId="31" xfId="3" applyFont="1" applyBorder="1" applyAlignment="1">
      <alignment horizontal="center" vertical="center" wrapText="1"/>
    </xf>
    <xf numFmtId="0" fontId="18" fillId="0" borderId="22" xfId="3" applyFont="1" applyBorder="1" applyAlignment="1">
      <alignment horizontal="center" vertical="center"/>
    </xf>
    <xf numFmtId="0" fontId="18" fillId="0" borderId="23" xfId="3" applyFont="1" applyBorder="1" applyAlignment="1">
      <alignment horizontal="center" vertical="center"/>
    </xf>
    <xf numFmtId="0" fontId="18" fillId="0" borderId="2" xfId="3" applyFont="1" applyBorder="1" applyAlignment="1">
      <alignment horizontal="center" vertical="center"/>
    </xf>
    <xf numFmtId="0" fontId="18" fillId="0" borderId="24" xfId="3" applyFont="1" applyBorder="1" applyAlignment="1">
      <alignment horizontal="center" vertical="center"/>
    </xf>
    <xf numFmtId="0" fontId="18" fillId="0" borderId="32" xfId="3" applyFont="1" applyBorder="1" applyAlignment="1">
      <alignment horizontal="center" vertical="center"/>
    </xf>
    <xf numFmtId="0" fontId="18" fillId="0" borderId="24" xfId="3" applyFont="1" applyBorder="1" applyAlignment="1">
      <alignment horizontal="center" vertical="center" wrapText="1"/>
    </xf>
    <xf numFmtId="0" fontId="18" fillId="0" borderId="32" xfId="3" applyFont="1" applyBorder="1" applyAlignment="1">
      <alignment horizontal="center" vertical="center" wrapText="1"/>
    </xf>
    <xf numFmtId="0" fontId="18" fillId="0" borderId="65" xfId="3" applyFont="1" applyBorder="1" applyAlignment="1">
      <alignment vertical="center" wrapText="1"/>
    </xf>
    <xf numFmtId="0" fontId="1" fillId="0" borderId="27" xfId="3" applyBorder="1" applyAlignment="1">
      <alignment horizontal="center" vertical="center" wrapText="1"/>
    </xf>
    <xf numFmtId="4" fontId="18" fillId="0" borderId="28" xfId="3" applyNumberFormat="1" applyFont="1" applyBorder="1" applyAlignment="1">
      <alignment horizontal="center" vertical="center" wrapText="1"/>
    </xf>
    <xf numFmtId="0" fontId="1" fillId="0" borderId="77" xfId="3" applyBorder="1" applyAlignment="1">
      <alignment vertical="center" wrapText="1"/>
    </xf>
    <xf numFmtId="0" fontId="1" fillId="0" borderId="78" xfId="3" applyBorder="1" applyAlignment="1">
      <alignment horizontal="center" vertical="center" wrapText="1"/>
    </xf>
    <xf numFmtId="4" fontId="1" fillId="0" borderId="78" xfId="3" applyNumberFormat="1" applyBorder="1" applyAlignment="1">
      <alignment horizontal="center" vertical="center" wrapText="1"/>
    </xf>
    <xf numFmtId="4" fontId="1" fillId="0" borderId="79" xfId="3" applyNumberFormat="1" applyBorder="1" applyAlignment="1">
      <alignment horizontal="center" vertical="center" wrapText="1"/>
    </xf>
    <xf numFmtId="0" fontId="1" fillId="0" borderId="80" xfId="3" applyBorder="1" applyAlignment="1">
      <alignment vertical="center" wrapText="1"/>
    </xf>
    <xf numFmtId="0" fontId="1" fillId="0" borderId="81" xfId="3" applyBorder="1" applyAlignment="1">
      <alignment horizontal="center" vertical="center" wrapText="1"/>
    </xf>
    <xf numFmtId="4" fontId="1" fillId="0" borderId="82" xfId="3" applyNumberFormat="1" applyBorder="1" applyAlignment="1">
      <alignment horizontal="center" vertical="center" wrapText="1"/>
    </xf>
    <xf numFmtId="0" fontId="1" fillId="0" borderId="83" xfId="3" applyBorder="1" applyAlignment="1">
      <alignment vertical="center" wrapText="1"/>
    </xf>
    <xf numFmtId="0" fontId="1" fillId="0" borderId="84" xfId="3" applyBorder="1" applyAlignment="1">
      <alignment horizontal="center" vertical="center" wrapText="1"/>
    </xf>
    <xf numFmtId="4" fontId="1" fillId="0" borderId="84" xfId="3" applyNumberFormat="1" applyBorder="1" applyAlignment="1">
      <alignment horizontal="center" vertical="center" wrapText="1"/>
    </xf>
    <xf numFmtId="4" fontId="1" fillId="0" borderId="85" xfId="3" applyNumberFormat="1" applyBorder="1" applyAlignment="1">
      <alignment horizontal="center" vertical="center" wrapText="1"/>
    </xf>
    <xf numFmtId="0" fontId="1" fillId="0" borderId="86" xfId="3" applyBorder="1" applyAlignment="1">
      <alignment vertical="center" wrapText="1"/>
    </xf>
    <xf numFmtId="0" fontId="1" fillId="0" borderId="87" xfId="3" applyBorder="1" applyAlignment="1">
      <alignment horizontal="center" vertical="center" wrapText="1"/>
    </xf>
    <xf numFmtId="4" fontId="1" fillId="0" borderId="87" xfId="3" applyNumberFormat="1" applyBorder="1" applyAlignment="1">
      <alignment horizontal="center" vertical="center" wrapText="1"/>
    </xf>
    <xf numFmtId="4" fontId="1" fillId="0" borderId="88" xfId="3" applyNumberFormat="1" applyBorder="1" applyAlignment="1">
      <alignment horizontal="center" vertical="center" wrapText="1"/>
    </xf>
    <xf numFmtId="0" fontId="1" fillId="0" borderId="89" xfId="3" applyBorder="1" applyAlignment="1">
      <alignment vertical="center" wrapText="1"/>
    </xf>
    <xf numFmtId="0" fontId="1" fillId="0" borderId="90" xfId="3" applyBorder="1" applyAlignment="1">
      <alignment horizontal="center" vertical="center" wrapText="1"/>
    </xf>
    <xf numFmtId="4" fontId="1" fillId="0" borderId="90" xfId="3" applyNumberFormat="1" applyBorder="1" applyAlignment="1">
      <alignment horizontal="center" vertical="center" wrapText="1"/>
    </xf>
    <xf numFmtId="4" fontId="1" fillId="0" borderId="91" xfId="3" applyNumberFormat="1" applyBorder="1" applyAlignment="1">
      <alignment horizontal="center" vertical="center" wrapText="1"/>
    </xf>
    <xf numFmtId="0" fontId="1" fillId="0" borderId="92" xfId="3" applyBorder="1" applyAlignment="1">
      <alignment vertical="center" wrapText="1"/>
    </xf>
    <xf numFmtId="0" fontId="1" fillId="0" borderId="93" xfId="3" applyBorder="1" applyAlignment="1">
      <alignment horizontal="center" vertical="center" wrapText="1"/>
    </xf>
    <xf numFmtId="4" fontId="1" fillId="0" borderId="93" xfId="3" applyNumberFormat="1" applyBorder="1" applyAlignment="1">
      <alignment horizontal="center" vertical="center" wrapText="1"/>
    </xf>
    <xf numFmtId="4" fontId="1" fillId="0" borderId="94" xfId="3" applyNumberFormat="1" applyBorder="1" applyAlignment="1">
      <alignment horizontal="center" vertical="center" wrapText="1"/>
    </xf>
    <xf numFmtId="0" fontId="1" fillId="0" borderId="95" xfId="3" applyBorder="1" applyAlignment="1">
      <alignment vertical="center" wrapText="1"/>
    </xf>
    <xf numFmtId="0" fontId="1" fillId="0" borderId="96" xfId="3" applyBorder="1" applyAlignment="1">
      <alignment horizontal="center" vertical="center" wrapText="1"/>
    </xf>
    <xf numFmtId="4" fontId="1" fillId="0" borderId="96" xfId="3" applyNumberFormat="1" applyBorder="1" applyAlignment="1">
      <alignment horizontal="center" vertical="center" wrapText="1"/>
    </xf>
    <xf numFmtId="4" fontId="1" fillId="0" borderId="97" xfId="3" applyNumberFormat="1" applyBorder="1" applyAlignment="1">
      <alignment horizontal="center" vertical="center" wrapText="1"/>
    </xf>
    <xf numFmtId="0" fontId="1" fillId="0" borderId="98" xfId="3" applyBorder="1" applyAlignment="1">
      <alignment vertical="center" wrapText="1"/>
    </xf>
    <xf numFmtId="0" fontId="1" fillId="0" borderId="99" xfId="3" applyBorder="1" applyAlignment="1">
      <alignment horizontal="center" vertical="center" wrapText="1"/>
    </xf>
    <xf numFmtId="4" fontId="1" fillId="0" borderId="99" xfId="3" applyNumberFormat="1" applyBorder="1" applyAlignment="1">
      <alignment horizontal="center" vertical="center" wrapText="1"/>
    </xf>
    <xf numFmtId="4" fontId="1" fillId="0" borderId="100" xfId="3" applyNumberFormat="1" applyBorder="1" applyAlignment="1">
      <alignment horizontal="center" vertical="center" wrapText="1"/>
    </xf>
    <xf numFmtId="0" fontId="1" fillId="0" borderId="101" xfId="3" applyBorder="1" applyAlignment="1">
      <alignment vertical="center" wrapText="1"/>
    </xf>
    <xf numFmtId="0" fontId="1" fillId="0" borderId="102" xfId="3" applyBorder="1" applyAlignment="1">
      <alignment horizontal="center" vertical="center" wrapText="1"/>
    </xf>
    <xf numFmtId="4" fontId="1" fillId="0" borderId="102" xfId="3" applyNumberFormat="1" applyBorder="1" applyAlignment="1">
      <alignment horizontal="center" vertical="center" wrapText="1"/>
    </xf>
    <xf numFmtId="4" fontId="1" fillId="0" borderId="103" xfId="3" applyNumberFormat="1" applyBorder="1" applyAlignment="1">
      <alignment horizontal="center" vertical="center" wrapText="1"/>
    </xf>
  </cellXfs>
  <cellStyles count="4">
    <cellStyle name="Hiperlink" xfId="2" builtinId="8"/>
    <cellStyle name="Normal" xfId="0" builtinId="0"/>
    <cellStyle name="Normal 2" xfId="1" xr:uid="{5C2E4568-E9A4-44B0-B099-11AADA10FCFD}"/>
    <cellStyle name="Normal 3" xfId="3" xr:uid="{B116F312-C55F-4EBE-B8EC-14B4EBAB94F8}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/>
              <a:t>CONSUMO EM </a:t>
            </a:r>
            <a:r>
              <a:rPr lang="pt-BR" sz="1600" baseline="0"/>
              <a:t>KWh - 2024</a:t>
            </a:r>
            <a:endParaRPr lang="pt-BR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716229917255693E-17"/>
                  <c:y val="-0.3731289816935943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ADA-4CAE-98B8-CA36321DC16A}"/>
                </c:ext>
              </c:extLst>
            </c:dLbl>
            <c:dLbl>
              <c:idx val="1"/>
              <c:layout>
                <c:manualLayout>
                  <c:x val="0"/>
                  <c:y val="-0.289469925452258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ADA-4CAE-98B8-CA36321DC16A}"/>
                </c:ext>
              </c:extLst>
            </c:dLbl>
            <c:dLbl>
              <c:idx val="2"/>
              <c:layout>
                <c:manualLayout>
                  <c:x val="1.4963332765433616E-3"/>
                  <c:y val="-0.3497167606982693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ADA-4CAE-98B8-CA36321DC16A}"/>
                </c:ext>
              </c:extLst>
            </c:dLbl>
            <c:dLbl>
              <c:idx val="3"/>
              <c:layout>
                <c:manualLayout>
                  <c:x val="1.4727689729757498E-5"/>
                  <c:y val="-0.3054768143887579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ADA-4CAE-98B8-CA36321DC16A}"/>
                </c:ext>
              </c:extLst>
            </c:dLbl>
            <c:dLbl>
              <c:idx val="4"/>
              <c:layout>
                <c:manualLayout>
                  <c:x val="1.4727689729757498E-5"/>
                  <c:y val="-0.2858180749432788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ADA-4CAE-98B8-CA36321DC16A}"/>
                </c:ext>
              </c:extLst>
            </c:dLbl>
            <c:dLbl>
              <c:idx val="5"/>
              <c:layout>
                <c:manualLayout>
                  <c:x val="-5.4864919669022771E-17"/>
                  <c:y val="-0.2610825903280211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DA-4CAE-98B8-CA36321DC16A}"/>
                </c:ext>
              </c:extLst>
            </c:dLbl>
            <c:dLbl>
              <c:idx val="6"/>
              <c:layout>
                <c:manualLayout>
                  <c:x val="1.5110609662731193E-3"/>
                  <c:y val="-0.250150844270115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ADA-4CAE-98B8-CA36321DC16A}"/>
                </c:ext>
              </c:extLst>
            </c:dLbl>
            <c:dLbl>
              <c:idx val="7"/>
              <c:layout>
                <c:manualLayout>
                  <c:x val="1.4727689729647768E-5"/>
                  <c:y val="-0.3285555299188965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ADA-4CAE-98B8-CA36321DC16A}"/>
                </c:ext>
              </c:extLst>
            </c:dLbl>
            <c:dLbl>
              <c:idx val="8"/>
              <c:layout>
                <c:manualLayout>
                  <c:x val="1.4727689729757498E-5"/>
                  <c:y val="-0.3163927664335561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ADA-4CAE-98B8-CA36321DC16A}"/>
                </c:ext>
              </c:extLst>
            </c:dLbl>
            <c:dLbl>
              <c:idx val="9"/>
              <c:layout>
                <c:manualLayout>
                  <c:x val="1.5110609662730096E-3"/>
                  <c:y val="-0.3832371500824950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DA-4CAE-98B8-CA36321DC16A}"/>
                </c:ext>
              </c:extLst>
            </c:dLbl>
            <c:dLbl>
              <c:idx val="10"/>
              <c:layout>
                <c:manualLayout>
                  <c:x val="1.4727689729647768E-5"/>
                  <c:y val="-0.3551192287760509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DA-4CAE-98B8-CA36321DC16A}"/>
                </c:ext>
              </c:extLst>
            </c:dLbl>
            <c:dLbl>
              <c:idx val="11"/>
              <c:layout>
                <c:manualLayout>
                  <c:x val="1.511060966273229E-3"/>
                  <c:y val="-0.3569499609040950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DA-4CAE-98B8-CA36321DC16A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6000" tIns="19050" rIns="36000" bIns="46800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'CONTAS DE ENERGIA'!$J$3:$J$14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'CONTAS DE ENERGIA'!$I$3:$I$14</c:f>
              <c:numCache>
                <c:formatCode>0.00</c:formatCode>
                <c:ptCount val="12"/>
                <c:pt idx="0">
                  <c:v>39754.799999999996</c:v>
                </c:pt>
                <c:pt idx="1">
                  <c:v>29329.1</c:v>
                </c:pt>
                <c:pt idx="2">
                  <c:v>36319.133999999998</c:v>
                </c:pt>
                <c:pt idx="3">
                  <c:v>30607.500000000004</c:v>
                </c:pt>
                <c:pt idx="4">
                  <c:v>28397.300000000003</c:v>
                </c:pt>
                <c:pt idx="5">
                  <c:v>25975.3</c:v>
                </c:pt>
                <c:pt idx="6">
                  <c:v>24341.1</c:v>
                </c:pt>
                <c:pt idx="7">
                  <c:v>32567.999999999996</c:v>
                </c:pt>
                <c:pt idx="8">
                  <c:v>30805.599999999999</c:v>
                </c:pt>
                <c:pt idx="9">
                  <c:v>39047.144</c:v>
                </c:pt>
                <c:pt idx="10">
                  <c:v>34860.5</c:v>
                </c:pt>
                <c:pt idx="11">
                  <c:v>34471.800000000003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A-4CAE-98B8-CA36321DC1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9316608"/>
        <c:axId val="459331968"/>
      </c:barChart>
      <c:catAx>
        <c:axId val="45931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Mês </a:t>
                </a:r>
              </a:p>
            </c:rich>
          </c:tx>
          <c:layout>
            <c:manualLayout>
              <c:xMode val="edge"/>
              <c:yMode val="edge"/>
              <c:x val="0.52296058611020979"/>
              <c:y val="0.923821583503176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331968"/>
        <c:crosses val="autoZero"/>
        <c:auto val="1"/>
        <c:lblAlgn val="ctr"/>
        <c:lblOffset val="100"/>
        <c:noMultiLvlLbl val="0"/>
      </c:catAx>
      <c:valAx>
        <c:axId val="4593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316608"/>
        <c:crosses val="autoZero"/>
        <c:crossBetween val="between"/>
      </c:valAx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VALORES</a:t>
            </a:r>
            <a:r>
              <a:rPr lang="pt-BR" baseline="0"/>
              <a:t> CONTAS DE ENERGIA - 2024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'CONTAS DE ENERGIA'!$B$3:$B$14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'CONTAS DE ENERGIA'!$D$3:$D$14</c:f>
              <c:numCache>
                <c:formatCode>"R$"\ #,##0.00;[Red]"R$"\ #,##0.00</c:formatCode>
                <c:ptCount val="12"/>
                <c:pt idx="0">
                  <c:v>19790.18</c:v>
                </c:pt>
                <c:pt idx="1">
                  <c:v>16142.82</c:v>
                </c:pt>
                <c:pt idx="2">
                  <c:v>18764.39</c:v>
                </c:pt>
                <c:pt idx="3">
                  <c:v>18004.060000000001</c:v>
                </c:pt>
                <c:pt idx="4">
                  <c:v>16746.830000000002</c:v>
                </c:pt>
                <c:pt idx="5">
                  <c:v>15771.15</c:v>
                </c:pt>
                <c:pt idx="6">
                  <c:v>15884.62</c:v>
                </c:pt>
                <c:pt idx="7">
                  <c:v>18864.73</c:v>
                </c:pt>
                <c:pt idx="8">
                  <c:v>18978.96</c:v>
                </c:pt>
                <c:pt idx="9">
                  <c:v>23397.65</c:v>
                </c:pt>
                <c:pt idx="10">
                  <c:v>19309.689999999999</c:v>
                </c:pt>
                <c:pt idx="11">
                  <c:v>19349.41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2-46CF-96B7-AEE4D8255D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48931456"/>
        <c:axId val="1048927136"/>
      </c:barChart>
      <c:catAx>
        <c:axId val="10489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927136"/>
        <c:crosses val="autoZero"/>
        <c:auto val="1"/>
        <c:lblAlgn val="ctr"/>
        <c:lblOffset val="100"/>
        <c:noMultiLvlLbl val="0"/>
      </c:catAx>
      <c:valAx>
        <c:axId val="10489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;[Red]&quot;R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93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IRRADIAÇÕES</a:t>
            </a:r>
            <a:r>
              <a:rPr lang="pt-BR" baseline="0"/>
              <a:t> EM SANTA BÁRBARA D'OESTE - 2024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HORIZONTAL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IRADIAÇÕES!$A$4:$A$15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IRADIAÇÕES!$B$4:$B$15</c:f>
              <c:numCache>
                <c:formatCode>0.00</c:formatCode>
                <c:ptCount val="12"/>
                <c:pt idx="0">
                  <c:v>193.2</c:v>
                </c:pt>
                <c:pt idx="1">
                  <c:v>158.5</c:v>
                </c:pt>
                <c:pt idx="2">
                  <c:v>170.3</c:v>
                </c:pt>
                <c:pt idx="3">
                  <c:v>149.80000000000001</c:v>
                </c:pt>
                <c:pt idx="4">
                  <c:v>132.4</c:v>
                </c:pt>
                <c:pt idx="5">
                  <c:v>113</c:v>
                </c:pt>
                <c:pt idx="6">
                  <c:v>130.9</c:v>
                </c:pt>
                <c:pt idx="7">
                  <c:v>147.30000000000001</c:v>
                </c:pt>
                <c:pt idx="8">
                  <c:v>159.30000000000001</c:v>
                </c:pt>
                <c:pt idx="9">
                  <c:v>180</c:v>
                </c:pt>
                <c:pt idx="10">
                  <c:v>191.2</c:v>
                </c:pt>
                <c:pt idx="11">
                  <c:v>197.8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7-47F3-B8F7-38BAA59741E1}"/>
            </c:ext>
          </c:extLst>
        </c:ser>
        <c:ser>
          <c:idx val="1"/>
          <c:order val="1"/>
          <c:tx>
            <c:v>DIFUSA"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IRADIAÇÕES!$A$4:$A$15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IRADIAÇÕES!$C$4:$C$15</c:f>
              <c:numCache>
                <c:formatCode>0.00</c:formatCode>
                <c:ptCount val="12"/>
                <c:pt idx="0">
                  <c:v>75.099999999999994</c:v>
                </c:pt>
                <c:pt idx="1">
                  <c:v>70.400000000000006</c:v>
                </c:pt>
                <c:pt idx="2">
                  <c:v>62.7</c:v>
                </c:pt>
                <c:pt idx="3">
                  <c:v>51</c:v>
                </c:pt>
                <c:pt idx="4">
                  <c:v>44.7</c:v>
                </c:pt>
                <c:pt idx="5">
                  <c:v>35.299999999999997</c:v>
                </c:pt>
                <c:pt idx="6">
                  <c:v>38</c:v>
                </c:pt>
                <c:pt idx="7">
                  <c:v>49.1</c:v>
                </c:pt>
                <c:pt idx="8">
                  <c:v>55.8</c:v>
                </c:pt>
                <c:pt idx="9">
                  <c:v>79.7</c:v>
                </c:pt>
                <c:pt idx="10">
                  <c:v>84.5</c:v>
                </c:pt>
                <c:pt idx="11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7-47F3-B8F7-38BAA59741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4446480"/>
        <c:axId val="364448880"/>
      </c:barChart>
      <c:catAx>
        <c:axId val="36444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448880"/>
        <c:crosses val="autoZero"/>
        <c:auto val="1"/>
        <c:lblAlgn val="ctr"/>
        <c:lblOffset val="100"/>
        <c:noMultiLvlLbl val="0"/>
      </c:catAx>
      <c:valAx>
        <c:axId val="364448880"/>
        <c:scaling>
          <c:orientation val="minMax"/>
          <c:max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(KWh/m2)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446480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3.937007874015748E-2" l="3.937007874015748E-2" r="3.937007874015748E-2" t="3.937007874015748E-2" header="3.937007874015748E-2" footer="3.937007874015748E-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EM SANTA BÁRBARA DÓESTE - 2024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TEMP. MÍN.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TEMPERATURA!$A$2:$A$13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TEMPERATURA!$B$2:$B$13</c:f>
              <c:numCache>
                <c:formatCode>0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15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18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3-45C0-9687-5765A255CF26}"/>
            </c:ext>
          </c:extLst>
        </c:ser>
        <c:ser>
          <c:idx val="1"/>
          <c:order val="1"/>
          <c:tx>
            <c:v>TEMP. MÁX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TEMPERATURA!$A$2:$A$13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TEMPERATURA!$C$2:$C$13</c:f>
              <c:numCache>
                <c:formatCode>0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29</c:v>
                </c:pt>
                <c:pt idx="10">
                  <c:v>28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3-45C0-9687-5765A255CF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8669951"/>
        <c:axId val="408668991"/>
      </c:barChart>
      <c:catAx>
        <c:axId val="40866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668991"/>
        <c:crosses val="autoZero"/>
        <c:auto val="1"/>
        <c:lblAlgn val="ctr"/>
        <c:lblOffset val="100"/>
        <c:noMultiLvlLbl val="0"/>
      </c:catAx>
      <c:valAx>
        <c:axId val="40866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66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475121</xdr:colOff>
      <xdr:row>0</xdr:row>
      <xdr:rowOff>257513</xdr:rowOff>
    </xdr:from>
    <xdr:to>
      <xdr:col>20</xdr:col>
      <xdr:colOff>795883</xdr:colOff>
      <xdr:row>16</xdr:row>
      <xdr:rowOff>4561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EC2A534-3093-9C3D-0B28-6C91D1E69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1442357</xdr:colOff>
      <xdr:row>18</xdr:row>
      <xdr:rowOff>77559</xdr:rowOff>
    </xdr:from>
    <xdr:to>
      <xdr:col>12</xdr:col>
      <xdr:colOff>1864178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85E954-730F-3908-3BF5-C40398CEE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386311</xdr:colOff>
      <xdr:row>0</xdr:row>
      <xdr:rowOff>183905</xdr:rowOff>
    </xdr:from>
    <xdr:to>
      <xdr:col>25</xdr:col>
      <xdr:colOff>364877</xdr:colOff>
      <xdr:row>9</xdr:row>
      <xdr:rowOff>512055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E68C9C3-85AE-23C8-C5B7-0E11E2785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75436" y="183905"/>
          <a:ext cx="9198766" cy="4547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657783</xdr:colOff>
      <xdr:row>2</xdr:row>
      <xdr:rowOff>154640</xdr:rowOff>
    </xdr:from>
    <xdr:to>
      <xdr:col>13</xdr:col>
      <xdr:colOff>635374</xdr:colOff>
      <xdr:row>16</xdr:row>
      <xdr:rowOff>39780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812B8E-A8EB-0004-9E67-2532588AF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0</xdr:row>
      <xdr:rowOff>95250</xdr:rowOff>
    </xdr:from>
    <xdr:to>
      <xdr:col>13</xdr:col>
      <xdr:colOff>800100</xdr:colOff>
      <xdr:row>14</xdr:row>
      <xdr:rowOff>247650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886B3F-6A04-CEEC-1C37-B9762FA78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581025</xdr:colOff>
      <xdr:row>15</xdr:row>
      <xdr:rowOff>238125</xdr:rowOff>
    </xdr:from>
    <xdr:to>
      <xdr:col>10</xdr:col>
      <xdr:colOff>115128</xdr:colOff>
      <xdr:row>24</xdr:row>
      <xdr:rowOff>76570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281C25E-93C6-9AC6-3AB3-49E1DC7F1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24225" y="4410075"/>
          <a:ext cx="5934903" cy="26483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19</xdr:row>
      <xdr:rowOff>114703</xdr:rowOff>
    </xdr:from>
    <xdr:to>
      <xdr:col>7</xdr:col>
      <xdr:colOff>248491</xdr:colOff>
      <xdr:row>22</xdr:row>
      <xdr:rowOff>266193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B8A2A42-6DB8-4B17-AC13-AA9683376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5077228"/>
          <a:ext cx="7744666" cy="951591"/>
        </a:xfrm>
        <a:prstGeom prst="rect">
          <a:avLst/>
        </a:prstGeom>
      </xdr:spPr>
    </xdr:pic>
    <xdr:clientData/>
  </xdr:twoCellAnchor>
  <xdr:twoCellAnchor editAs="oneCell">
    <xdr:from>
      <xdr:col>0</xdr:col>
      <xdr:colOff>251522</xdr:colOff>
      <xdr:row>14</xdr:row>
      <xdr:rowOff>163115</xdr:rowOff>
    </xdr:from>
    <xdr:to>
      <xdr:col>7</xdr:col>
      <xdr:colOff>129981</xdr:colOff>
      <xdr:row>18</xdr:row>
      <xdr:rowOff>97008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8564A-BCA9-4C4D-9B60-10B14B7938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484" r="1584"/>
        <a:stretch/>
      </xdr:blipFill>
      <xdr:spPr>
        <a:xfrm>
          <a:off x="251522" y="4062412"/>
          <a:ext cx="7557990" cy="10054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multitrafo.com.br/produto/transformador-a-seco-15kv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DF3B1-F0AB-4CEF-8D4A-EB94B0AAE996}">
  <dimension ref="A1:P53"/>
  <sheetViews>
    <sheetView zoomScale="75" zoomScaleNormal="75" zoomScaleSheetLayoutView="145" workbookViewId="0">
      <selection activeCell="D9" sqref="D9"/>
    </sheetView>
  </sheetViews>
  <sheetFormatPr defaultRowHeight="21" x14ac:dyDescent="0.35"/>
  <cols>
    <col min="2" max="2" width="18.453125" style="1" customWidth="1"/>
    <col min="3" max="3" width="20.7265625" style="1" customWidth="1"/>
    <col min="4" max="4" width="16.08984375" customWidth="1"/>
    <col min="5" max="8" width="17.90625" customWidth="1"/>
    <col min="9" max="9" width="19.7265625" customWidth="1"/>
    <col min="10" max="10" width="15.26953125" customWidth="1"/>
    <col min="11" max="11" width="12" customWidth="1"/>
    <col min="12" max="12" width="14.7265625" customWidth="1"/>
    <col min="13" max="13" width="18.90625" customWidth="1"/>
    <col min="14" max="14" width="18.08984375" customWidth="1"/>
    <col min="15" max="15" width="11.54296875" customWidth="1"/>
    <col min="16" max="16" width="13.54296875" customWidth="1"/>
  </cols>
  <sheetData>
    <row r="1" spans="1:13" ht="21.75" thickBot="1" x14ac:dyDescent="0.4">
      <c r="A1" s="427" t="s">
        <v>85</v>
      </c>
      <c r="B1" s="428"/>
      <c r="C1" s="428"/>
      <c r="D1" s="428"/>
      <c r="E1" s="428"/>
      <c r="F1" s="428"/>
      <c r="G1" s="428"/>
      <c r="H1" s="428"/>
      <c r="I1" s="428"/>
      <c r="J1" s="429"/>
    </row>
    <row r="2" spans="1:13" ht="32.25" thickBot="1" x14ac:dyDescent="0.4">
      <c r="A2" s="42" t="s">
        <v>30</v>
      </c>
      <c r="B2" s="41" t="s">
        <v>6</v>
      </c>
      <c r="C2" s="42" t="s">
        <v>4</v>
      </c>
      <c r="D2" s="43" t="s">
        <v>5</v>
      </c>
      <c r="E2" s="44" t="s">
        <v>0</v>
      </c>
      <c r="F2" s="44" t="s">
        <v>1</v>
      </c>
      <c r="G2" s="45" t="s">
        <v>2</v>
      </c>
      <c r="H2" s="46" t="s">
        <v>3</v>
      </c>
      <c r="I2" s="47" t="s">
        <v>16</v>
      </c>
      <c r="J2" s="41" t="s">
        <v>6</v>
      </c>
      <c r="L2" t="s">
        <v>432</v>
      </c>
    </row>
    <row r="3" spans="1:13" ht="21" customHeight="1" x14ac:dyDescent="0.35">
      <c r="A3" s="424">
        <v>2024</v>
      </c>
      <c r="B3" s="48" t="s">
        <v>18</v>
      </c>
      <c r="C3" s="49" t="s">
        <v>7</v>
      </c>
      <c r="D3" s="50">
        <v>19790.18</v>
      </c>
      <c r="E3" s="51">
        <v>2029.3</v>
      </c>
      <c r="F3" s="51">
        <f t="shared" ref="F3:F14" si="0">E3</f>
        <v>2029.3</v>
      </c>
      <c r="G3" s="51">
        <v>17848.099999999999</v>
      </c>
      <c r="H3" s="52">
        <f t="shared" ref="H3:H14" si="1">G3</f>
        <v>17848.099999999999</v>
      </c>
      <c r="I3" s="53">
        <f t="shared" ref="I3:I14" si="2">SUM(E3:H3)</f>
        <v>39754.799999999996</v>
      </c>
      <c r="J3" s="54" t="s">
        <v>18</v>
      </c>
      <c r="K3" s="8"/>
      <c r="L3" t="s">
        <v>8</v>
      </c>
      <c r="M3" s="12">
        <f>I15</f>
        <v>32206.439833333334</v>
      </c>
    </row>
    <row r="4" spans="1:13" x14ac:dyDescent="0.35">
      <c r="A4" s="425"/>
      <c r="B4" s="48" t="s">
        <v>19</v>
      </c>
      <c r="C4" s="49" t="s">
        <v>7</v>
      </c>
      <c r="D4" s="50">
        <v>16142.82</v>
      </c>
      <c r="E4" s="51">
        <v>1678.45</v>
      </c>
      <c r="F4" s="51">
        <f t="shared" si="0"/>
        <v>1678.45</v>
      </c>
      <c r="G4" s="51">
        <v>12986.1</v>
      </c>
      <c r="H4" s="52">
        <f t="shared" si="1"/>
        <v>12986.1</v>
      </c>
      <c r="I4" s="55">
        <f t="shared" si="2"/>
        <v>29329.1</v>
      </c>
      <c r="J4" s="54" t="s">
        <v>19</v>
      </c>
      <c r="K4" s="9"/>
      <c r="L4" t="s">
        <v>433</v>
      </c>
      <c r="M4" s="12">
        <f>M3/30</f>
        <v>1073.5479944444444</v>
      </c>
    </row>
    <row r="5" spans="1:13" x14ac:dyDescent="0.35">
      <c r="A5" s="425"/>
      <c r="B5" s="48" t="s">
        <v>20</v>
      </c>
      <c r="C5" s="49" t="s">
        <v>7</v>
      </c>
      <c r="D5" s="50">
        <v>18764.39</v>
      </c>
      <c r="E5" s="51">
        <v>1929.7</v>
      </c>
      <c r="F5" s="51">
        <f t="shared" si="0"/>
        <v>1929.7</v>
      </c>
      <c r="G5" s="51">
        <v>16229.867</v>
      </c>
      <c r="H5" s="52">
        <f t="shared" si="1"/>
        <v>16229.867</v>
      </c>
      <c r="I5" s="55">
        <f t="shared" si="2"/>
        <v>36319.133999999998</v>
      </c>
      <c r="J5" s="54" t="s">
        <v>20</v>
      </c>
      <c r="K5" s="9"/>
      <c r="L5" t="s">
        <v>435</v>
      </c>
      <c r="M5" s="12">
        <v>5</v>
      </c>
    </row>
    <row r="6" spans="1:13" x14ac:dyDescent="0.35">
      <c r="A6" s="425"/>
      <c r="B6" s="48" t="s">
        <v>21</v>
      </c>
      <c r="C6" s="49" t="s">
        <v>7</v>
      </c>
      <c r="D6" s="50">
        <v>18004.060000000001</v>
      </c>
      <c r="E6" s="51">
        <v>2138.8000000000002</v>
      </c>
      <c r="F6" s="51">
        <f t="shared" si="0"/>
        <v>2138.8000000000002</v>
      </c>
      <c r="G6" s="51">
        <v>13164.95</v>
      </c>
      <c r="H6" s="52">
        <f t="shared" si="1"/>
        <v>13164.95</v>
      </c>
      <c r="I6" s="55">
        <f t="shared" si="2"/>
        <v>30607.500000000004</v>
      </c>
      <c r="J6" s="54" t="s">
        <v>21</v>
      </c>
      <c r="K6" s="9"/>
      <c r="L6" t="s">
        <v>434</v>
      </c>
      <c r="M6" s="12">
        <f>(M4/M5)*1</f>
        <v>214.70959888888888</v>
      </c>
    </row>
    <row r="7" spans="1:13" x14ac:dyDescent="0.35">
      <c r="A7" s="425"/>
      <c r="B7" s="48" t="s">
        <v>22</v>
      </c>
      <c r="C7" s="49" t="s">
        <v>7</v>
      </c>
      <c r="D7" s="50">
        <v>16746.830000000002</v>
      </c>
      <c r="E7" s="51">
        <v>1752.2</v>
      </c>
      <c r="F7" s="51">
        <f t="shared" si="0"/>
        <v>1752.2</v>
      </c>
      <c r="G7" s="51">
        <v>12446.45</v>
      </c>
      <c r="H7" s="52">
        <f t="shared" si="1"/>
        <v>12446.45</v>
      </c>
      <c r="I7" s="55">
        <f t="shared" si="2"/>
        <v>28397.300000000003</v>
      </c>
      <c r="J7" s="54" t="s">
        <v>22</v>
      </c>
      <c r="K7" s="9"/>
    </row>
    <row r="8" spans="1:13" x14ac:dyDescent="0.35">
      <c r="A8" s="425"/>
      <c r="B8" s="48" t="s">
        <v>23</v>
      </c>
      <c r="C8" s="49" t="s">
        <v>7</v>
      </c>
      <c r="D8" s="50">
        <v>15771.15</v>
      </c>
      <c r="E8" s="51">
        <v>1586.6</v>
      </c>
      <c r="F8" s="51">
        <f t="shared" si="0"/>
        <v>1586.6</v>
      </c>
      <c r="G8" s="51">
        <v>11401.05</v>
      </c>
      <c r="H8" s="52">
        <f t="shared" si="1"/>
        <v>11401.05</v>
      </c>
      <c r="I8" s="55">
        <f t="shared" si="2"/>
        <v>25975.3</v>
      </c>
      <c r="J8" s="54" t="s">
        <v>23</v>
      </c>
      <c r="K8" s="9"/>
    </row>
    <row r="9" spans="1:13" x14ac:dyDescent="0.35">
      <c r="A9" s="425"/>
      <c r="B9" s="48" t="s">
        <v>24</v>
      </c>
      <c r="C9" s="49" t="s">
        <v>7</v>
      </c>
      <c r="D9" s="50">
        <v>15884.62</v>
      </c>
      <c r="E9" s="51">
        <v>1670.75</v>
      </c>
      <c r="F9" s="51">
        <f t="shared" si="0"/>
        <v>1670.75</v>
      </c>
      <c r="G9" s="51">
        <v>10499.8</v>
      </c>
      <c r="H9" s="52">
        <f t="shared" si="1"/>
        <v>10499.8</v>
      </c>
      <c r="I9" s="55">
        <f t="shared" si="2"/>
        <v>24341.1</v>
      </c>
      <c r="J9" s="54" t="s">
        <v>24</v>
      </c>
      <c r="K9" s="9"/>
    </row>
    <row r="10" spans="1:13" x14ac:dyDescent="0.35">
      <c r="A10" s="425"/>
      <c r="B10" s="48" t="s">
        <v>25</v>
      </c>
      <c r="C10" s="49" t="s">
        <v>7</v>
      </c>
      <c r="D10" s="50">
        <v>18864.73</v>
      </c>
      <c r="E10" s="51">
        <v>2325.1999999999998</v>
      </c>
      <c r="F10" s="51">
        <f t="shared" si="0"/>
        <v>2325.1999999999998</v>
      </c>
      <c r="G10" s="51">
        <v>13958.8</v>
      </c>
      <c r="H10" s="52">
        <f t="shared" si="1"/>
        <v>13958.8</v>
      </c>
      <c r="I10" s="55">
        <f t="shared" si="2"/>
        <v>32567.999999999996</v>
      </c>
      <c r="J10" s="54" t="s">
        <v>25</v>
      </c>
      <c r="K10" s="9"/>
    </row>
    <row r="11" spans="1:13" x14ac:dyDescent="0.35">
      <c r="A11" s="425"/>
      <c r="B11" s="48" t="s">
        <v>26</v>
      </c>
      <c r="C11" s="49" t="s">
        <v>7</v>
      </c>
      <c r="D11" s="50">
        <v>18978.96</v>
      </c>
      <c r="E11" s="51">
        <v>2246.4499999999998</v>
      </c>
      <c r="F11" s="51">
        <f t="shared" si="0"/>
        <v>2246.4499999999998</v>
      </c>
      <c r="G11" s="51">
        <v>13156.35</v>
      </c>
      <c r="H11" s="52">
        <f t="shared" si="1"/>
        <v>13156.35</v>
      </c>
      <c r="I11" s="55">
        <f t="shared" si="2"/>
        <v>30805.599999999999</v>
      </c>
      <c r="J11" s="54" t="s">
        <v>26</v>
      </c>
      <c r="K11" s="9"/>
    </row>
    <row r="12" spans="1:13" x14ac:dyDescent="0.35">
      <c r="A12" s="425"/>
      <c r="B12" s="48" t="s">
        <v>27</v>
      </c>
      <c r="C12" s="49" t="s">
        <v>7</v>
      </c>
      <c r="D12" s="50">
        <v>23397.65</v>
      </c>
      <c r="E12" s="51">
        <v>2884.8</v>
      </c>
      <c r="F12" s="51">
        <f t="shared" si="0"/>
        <v>2884.8</v>
      </c>
      <c r="G12" s="51">
        <v>16638.772000000001</v>
      </c>
      <c r="H12" s="52">
        <f t="shared" si="1"/>
        <v>16638.772000000001</v>
      </c>
      <c r="I12" s="55">
        <f t="shared" si="2"/>
        <v>39047.144</v>
      </c>
      <c r="J12" s="54" t="s">
        <v>27</v>
      </c>
      <c r="K12" s="9"/>
    </row>
    <row r="13" spans="1:13" x14ac:dyDescent="0.35">
      <c r="A13" s="425"/>
      <c r="B13" s="48" t="s">
        <v>28</v>
      </c>
      <c r="C13" s="49" t="s">
        <v>7</v>
      </c>
      <c r="D13" s="50">
        <v>19309.689999999999</v>
      </c>
      <c r="E13" s="51">
        <v>2102.9</v>
      </c>
      <c r="F13" s="51">
        <f t="shared" si="0"/>
        <v>2102.9</v>
      </c>
      <c r="G13" s="51">
        <v>15327.35</v>
      </c>
      <c r="H13" s="52">
        <f t="shared" si="1"/>
        <v>15327.35</v>
      </c>
      <c r="I13" s="55">
        <f t="shared" si="2"/>
        <v>34860.5</v>
      </c>
      <c r="J13" s="54" t="s">
        <v>28</v>
      </c>
      <c r="K13" s="9"/>
    </row>
    <row r="14" spans="1:13" ht="21.75" thickBot="1" x14ac:dyDescent="0.4">
      <c r="A14" s="425"/>
      <c r="B14" s="48" t="s">
        <v>29</v>
      </c>
      <c r="C14" s="56" t="s">
        <v>7</v>
      </c>
      <c r="D14" s="57">
        <v>19349.41</v>
      </c>
      <c r="E14" s="58">
        <v>2114.1</v>
      </c>
      <c r="F14" s="58">
        <f t="shared" si="0"/>
        <v>2114.1</v>
      </c>
      <c r="G14" s="58">
        <v>15121.8</v>
      </c>
      <c r="H14" s="59">
        <f t="shared" si="1"/>
        <v>15121.8</v>
      </c>
      <c r="I14" s="376">
        <f t="shared" si="2"/>
        <v>34471.800000000003</v>
      </c>
      <c r="J14" s="60" t="s">
        <v>29</v>
      </c>
      <c r="K14" s="9"/>
    </row>
    <row r="15" spans="1:13" ht="21.75" thickBot="1" x14ac:dyDescent="0.4">
      <c r="A15" s="425"/>
      <c r="B15" s="438" t="s">
        <v>9</v>
      </c>
      <c r="C15" s="439"/>
      <c r="D15" s="61">
        <f t="shared" ref="D15:H15" si="3">SUM(D3:D14)</f>
        <v>221004.49</v>
      </c>
      <c r="E15" s="62">
        <f t="shared" si="3"/>
        <v>24459.25</v>
      </c>
      <c r="F15" s="62">
        <f t="shared" si="3"/>
        <v>24459.25</v>
      </c>
      <c r="G15" s="62">
        <f t="shared" si="3"/>
        <v>168779.389</v>
      </c>
      <c r="H15" s="63">
        <f t="shared" si="3"/>
        <v>168779.389</v>
      </c>
      <c r="I15" s="377">
        <f>AVERAGE(I3:I14)</f>
        <v>32206.439833333334</v>
      </c>
      <c r="J15" s="440"/>
      <c r="K15" s="9"/>
    </row>
    <row r="16" spans="1:13" ht="21.75" thickBot="1" x14ac:dyDescent="0.4">
      <c r="A16" s="426"/>
      <c r="B16" s="438" t="s">
        <v>8</v>
      </c>
      <c r="C16" s="439"/>
      <c r="D16" s="61">
        <f>D15/12</f>
        <v>18417.040833333333</v>
      </c>
      <c r="E16" s="62">
        <f>E15/13</f>
        <v>1881.4807692307693</v>
      </c>
      <c r="F16" s="62">
        <f>F15/13</f>
        <v>1881.4807692307693</v>
      </c>
      <c r="G16" s="62">
        <f>G15/13</f>
        <v>12983.029923076923</v>
      </c>
      <c r="H16" s="63">
        <f>H15/13</f>
        <v>12983.029923076923</v>
      </c>
      <c r="I16" s="374">
        <f>SUM(I3:I14)</f>
        <v>386477.27799999999</v>
      </c>
      <c r="J16" s="441"/>
    </row>
    <row r="17" spans="1:16" x14ac:dyDescent="0.35">
      <c r="B17" s="5"/>
      <c r="C17" s="5"/>
      <c r="D17" s="6"/>
      <c r="E17" s="7"/>
      <c r="F17" s="7"/>
      <c r="G17" s="7"/>
      <c r="H17" s="7"/>
      <c r="I17" s="4"/>
    </row>
    <row r="18" spans="1:16" ht="21.75" thickBot="1" x14ac:dyDescent="0.4">
      <c r="A18" s="40"/>
      <c r="B18" s="64"/>
      <c r="C18" s="64"/>
      <c r="D18" s="65"/>
      <c r="E18" s="66"/>
      <c r="F18" s="66"/>
      <c r="G18" s="7"/>
      <c r="H18" s="7"/>
      <c r="I18" s="4"/>
    </row>
    <row r="19" spans="1:16" ht="24" thickBot="1" x14ac:dyDescent="0.4">
      <c r="A19" s="427" t="s">
        <v>14</v>
      </c>
      <c r="B19" s="428"/>
      <c r="C19" s="428"/>
      <c r="D19" s="428"/>
      <c r="E19" s="428"/>
      <c r="F19" s="429"/>
      <c r="G19" s="7"/>
      <c r="H19" s="437"/>
      <c r="I19" s="437"/>
      <c r="J19" s="437"/>
      <c r="L19" s="430"/>
      <c r="M19" s="430"/>
      <c r="N19" s="430"/>
      <c r="O19" s="430"/>
      <c r="P19" s="430"/>
    </row>
    <row r="20" spans="1:16" ht="32.25" thickBot="1" x14ac:dyDescent="0.4">
      <c r="A20" s="42" t="s">
        <v>30</v>
      </c>
      <c r="B20" s="42" t="s">
        <v>10</v>
      </c>
      <c r="C20" s="44" t="s">
        <v>13</v>
      </c>
      <c r="D20" s="44" t="s">
        <v>15</v>
      </c>
      <c r="E20" s="44" t="s">
        <v>12</v>
      </c>
      <c r="F20" s="44" t="s">
        <v>11</v>
      </c>
      <c r="G20" s="7"/>
      <c r="H20" s="13"/>
      <c r="I20" s="14"/>
      <c r="J20" s="13"/>
      <c r="L20" s="10"/>
      <c r="M20" s="11"/>
      <c r="N20" s="11"/>
      <c r="O20" s="10"/>
      <c r="P20" s="10"/>
    </row>
    <row r="21" spans="1:16" x14ac:dyDescent="0.35">
      <c r="A21" s="424">
        <v>2024</v>
      </c>
      <c r="B21" s="67" t="s">
        <v>18</v>
      </c>
      <c r="C21" s="68">
        <v>1.6327</v>
      </c>
      <c r="D21" s="69">
        <v>0.1416</v>
      </c>
      <c r="E21" s="69">
        <v>0.62050000000000005</v>
      </c>
      <c r="F21" s="70">
        <v>0.38779999999999998</v>
      </c>
      <c r="G21" s="7"/>
      <c r="H21" s="15"/>
      <c r="I21" s="15"/>
      <c r="J21" s="15"/>
      <c r="L21" s="2"/>
      <c r="M21" s="4"/>
      <c r="N21" s="4"/>
      <c r="O21" s="9"/>
      <c r="P21" s="9"/>
    </row>
    <row r="22" spans="1:16" x14ac:dyDescent="0.35">
      <c r="A22" s="425"/>
      <c r="B22" s="67" t="s">
        <v>19</v>
      </c>
      <c r="C22" s="71">
        <v>1.6291</v>
      </c>
      <c r="D22" s="49">
        <v>0.14130000000000001</v>
      </c>
      <c r="E22" s="49">
        <v>0.61919999999999997</v>
      </c>
      <c r="F22" s="72">
        <v>0.38700000000000001</v>
      </c>
      <c r="G22" s="7"/>
      <c r="H22" s="15"/>
      <c r="I22" s="15"/>
      <c r="J22" s="15"/>
      <c r="L22" s="2"/>
      <c r="M22" s="4"/>
      <c r="N22" s="4"/>
      <c r="O22" s="9"/>
      <c r="P22" s="9"/>
    </row>
    <row r="23" spans="1:16" x14ac:dyDescent="0.35">
      <c r="A23" s="425"/>
      <c r="B23" s="67" t="s">
        <v>20</v>
      </c>
      <c r="C23" s="71">
        <v>1.6315</v>
      </c>
      <c r="D23" s="49">
        <v>0.14149999999999999</v>
      </c>
      <c r="E23" s="49">
        <v>0.62009999999999998</v>
      </c>
      <c r="F23" s="73">
        <v>0.38750000000000001</v>
      </c>
      <c r="G23" s="7"/>
      <c r="H23" s="15"/>
      <c r="I23" s="15"/>
      <c r="J23" s="15"/>
      <c r="L23" s="2"/>
      <c r="M23" s="4"/>
      <c r="N23" s="4"/>
      <c r="O23" s="9"/>
      <c r="P23" s="9"/>
    </row>
    <row r="24" spans="1:16" x14ac:dyDescent="0.35">
      <c r="A24" s="425"/>
      <c r="B24" s="67" t="s">
        <v>21</v>
      </c>
      <c r="C24" s="71">
        <v>1.6877</v>
      </c>
      <c r="D24" s="49">
        <v>0.1326</v>
      </c>
      <c r="E24" s="49">
        <v>0.62719999999999998</v>
      </c>
      <c r="F24" s="73">
        <v>0.39610000000000001</v>
      </c>
      <c r="G24" s="7"/>
      <c r="H24" s="15"/>
      <c r="I24" s="15"/>
      <c r="J24" s="15"/>
      <c r="L24" s="2"/>
      <c r="M24" s="4"/>
      <c r="N24" s="4"/>
      <c r="O24" s="9"/>
      <c r="P24" s="9"/>
    </row>
    <row r="25" spans="1:16" x14ac:dyDescent="0.35">
      <c r="A25" s="425"/>
      <c r="B25" s="67" t="s">
        <v>22</v>
      </c>
      <c r="C25" s="71">
        <v>1.6960999999999999</v>
      </c>
      <c r="D25" s="49">
        <v>0.12920000000000001</v>
      </c>
      <c r="E25" s="49">
        <v>0.62619999999999998</v>
      </c>
      <c r="F25" s="73">
        <v>0.3967</v>
      </c>
      <c r="G25" s="7"/>
      <c r="H25" s="15"/>
      <c r="I25" s="15"/>
      <c r="J25" s="15"/>
      <c r="L25" s="2"/>
      <c r="M25" s="4"/>
      <c r="N25" s="4"/>
      <c r="O25" s="9"/>
      <c r="P25" s="9"/>
    </row>
    <row r="26" spans="1:16" x14ac:dyDescent="0.35">
      <c r="A26" s="425"/>
      <c r="B26" s="67" t="s">
        <v>23</v>
      </c>
      <c r="C26" s="71">
        <v>1.6891</v>
      </c>
      <c r="D26" s="49">
        <v>0.12870000000000001</v>
      </c>
      <c r="E26" s="49">
        <v>0.62360000000000004</v>
      </c>
      <c r="F26" s="73">
        <v>0.39510000000000001</v>
      </c>
      <c r="G26" s="7"/>
      <c r="H26" s="15"/>
      <c r="I26" s="15"/>
      <c r="J26" s="15"/>
      <c r="L26" s="2"/>
      <c r="M26" s="4"/>
      <c r="N26" s="4"/>
      <c r="O26" s="9"/>
      <c r="P26" s="9"/>
    </row>
    <row r="27" spans="1:16" x14ac:dyDescent="0.35">
      <c r="A27" s="425"/>
      <c r="B27" s="67" t="s">
        <v>24</v>
      </c>
      <c r="C27" s="74">
        <v>1.702</v>
      </c>
      <c r="D27" s="49">
        <v>0.12970000000000001</v>
      </c>
      <c r="E27" s="49">
        <v>0.62829999999999997</v>
      </c>
      <c r="F27" s="73">
        <v>0.39810000000000001</v>
      </c>
      <c r="G27" s="7"/>
      <c r="H27" s="15"/>
      <c r="I27" s="15"/>
      <c r="J27" s="15"/>
      <c r="L27" s="2"/>
      <c r="M27" s="4"/>
      <c r="N27" s="4"/>
      <c r="O27" s="9"/>
      <c r="P27" s="9"/>
    </row>
    <row r="28" spans="1:16" x14ac:dyDescent="0.35">
      <c r="A28" s="425"/>
      <c r="B28" s="67" t="s">
        <v>25</v>
      </c>
      <c r="C28" s="74">
        <v>1.6977</v>
      </c>
      <c r="D28" s="49">
        <v>0.1293</v>
      </c>
      <c r="E28" s="49">
        <v>0.62670000000000003</v>
      </c>
      <c r="F28" s="73">
        <v>0.39710000000000001</v>
      </c>
      <c r="G28" s="7"/>
      <c r="H28" s="15"/>
      <c r="I28" s="15"/>
      <c r="J28" s="15"/>
      <c r="L28" s="2"/>
      <c r="M28" s="4"/>
      <c r="N28" s="4"/>
      <c r="O28" s="9"/>
      <c r="P28" s="9"/>
    </row>
    <row r="29" spans="1:16" x14ac:dyDescent="0.35">
      <c r="A29" s="425"/>
      <c r="B29" s="67" t="s">
        <v>26</v>
      </c>
      <c r="C29" s="74">
        <v>1.6894</v>
      </c>
      <c r="D29" s="49">
        <v>0.12870000000000001</v>
      </c>
      <c r="E29" s="49">
        <v>0.62370000000000003</v>
      </c>
      <c r="F29" s="73">
        <v>0.39510000000000001</v>
      </c>
      <c r="G29" s="7"/>
      <c r="H29" s="15"/>
      <c r="I29" s="15"/>
      <c r="J29" s="15"/>
      <c r="L29" s="2"/>
      <c r="M29" s="4"/>
      <c r="N29" s="4"/>
      <c r="O29" s="9"/>
      <c r="P29" s="9"/>
    </row>
    <row r="30" spans="1:16" x14ac:dyDescent="0.35">
      <c r="A30" s="425"/>
      <c r="B30" s="67" t="s">
        <v>27</v>
      </c>
      <c r="C30" s="74">
        <v>1.6949000000000001</v>
      </c>
      <c r="D30" s="49">
        <v>0.12909999999999999</v>
      </c>
      <c r="E30" s="49">
        <v>0.62570000000000003</v>
      </c>
      <c r="F30" s="73">
        <v>0.39639999999999997</v>
      </c>
      <c r="G30" s="7"/>
      <c r="H30" s="15"/>
      <c r="I30" s="15"/>
      <c r="J30" s="15"/>
      <c r="L30" s="2"/>
      <c r="M30" s="4"/>
      <c r="N30" s="4"/>
      <c r="O30" s="9"/>
      <c r="P30" s="9"/>
    </row>
    <row r="31" spans="1:16" ht="23.25" x14ac:dyDescent="0.35">
      <c r="A31" s="425"/>
      <c r="B31" s="67" t="s">
        <v>28</v>
      </c>
      <c r="C31" s="74">
        <v>1.6814</v>
      </c>
      <c r="D31" s="49">
        <v>0.12809999999999999</v>
      </c>
      <c r="E31" s="49">
        <v>0.62070000000000003</v>
      </c>
      <c r="F31" s="73">
        <v>0.39329999999999998</v>
      </c>
      <c r="G31" s="7"/>
      <c r="H31" s="16"/>
      <c r="I31" s="16"/>
      <c r="J31" s="16"/>
      <c r="L31" s="2"/>
      <c r="M31" s="4"/>
      <c r="N31" s="4"/>
      <c r="O31" s="9"/>
      <c r="P31" s="9"/>
    </row>
    <row r="32" spans="1:16" ht="21.75" thickBot="1" x14ac:dyDescent="0.4">
      <c r="A32" s="425"/>
      <c r="B32" s="67" t="s">
        <v>29</v>
      </c>
      <c r="C32" s="75">
        <v>1.7024999999999999</v>
      </c>
      <c r="D32" s="56">
        <v>0.12970000000000001</v>
      </c>
      <c r="E32" s="56">
        <v>0.62649999999999995</v>
      </c>
      <c r="F32" s="76">
        <v>0.3962</v>
      </c>
      <c r="G32" s="7"/>
      <c r="H32" s="2"/>
      <c r="I32" s="4"/>
      <c r="J32" s="9"/>
      <c r="L32" s="2"/>
      <c r="M32" s="4"/>
      <c r="N32" s="4"/>
      <c r="O32" s="9"/>
      <c r="P32" s="9"/>
    </row>
    <row r="33" spans="1:14" ht="21.75" thickBot="1" x14ac:dyDescent="0.4">
      <c r="A33" s="425"/>
      <c r="B33" s="77" t="s">
        <v>17</v>
      </c>
      <c r="C33" s="78">
        <f>AVERAGE(C21:C32)</f>
        <v>1.6778416666666667</v>
      </c>
      <c r="D33" s="78">
        <f>AVERAGE(D21:D32)</f>
        <v>0.13245833333333332</v>
      </c>
      <c r="E33" s="78">
        <f>AVERAGE(E21:E32)</f>
        <v>0.62403333333333333</v>
      </c>
      <c r="F33" s="78">
        <f>AVERAGE(F21:F32)</f>
        <v>0.39386666666666664</v>
      </c>
      <c r="G33" s="7"/>
      <c r="H33" s="11"/>
      <c r="I33" s="4"/>
      <c r="L33" s="11"/>
      <c r="M33" s="4"/>
      <c r="N33" s="4"/>
    </row>
    <row r="34" spans="1:14" ht="21.75" thickBot="1" x14ac:dyDescent="0.4">
      <c r="A34" s="425"/>
      <c r="B34" s="77" t="s">
        <v>450</v>
      </c>
      <c r="C34" s="431">
        <f>C33+E33</f>
        <v>2.3018749999999999</v>
      </c>
      <c r="D34" s="432"/>
      <c r="E34" s="432"/>
      <c r="F34" s="433"/>
      <c r="G34" s="7"/>
      <c r="H34" s="7"/>
      <c r="I34" s="4"/>
    </row>
    <row r="35" spans="1:14" ht="21.75" thickBot="1" x14ac:dyDescent="0.4">
      <c r="A35" s="426"/>
      <c r="B35" s="77" t="s">
        <v>451</v>
      </c>
      <c r="C35" s="434">
        <f>D33+F33</f>
        <v>0.52632499999999993</v>
      </c>
      <c r="D35" s="435"/>
      <c r="E35" s="435"/>
      <c r="F35" s="436"/>
      <c r="G35" s="7"/>
      <c r="H35" s="7"/>
      <c r="I35" s="4"/>
    </row>
    <row r="36" spans="1:14" x14ac:dyDescent="0.35">
      <c r="B36" s="2"/>
      <c r="C36" s="2"/>
      <c r="D36" s="3"/>
      <c r="E36" s="4"/>
      <c r="F36" s="4"/>
      <c r="G36" s="4"/>
      <c r="H36" s="4"/>
    </row>
    <row r="37" spans="1:14" x14ac:dyDescent="0.35">
      <c r="B37" s="2"/>
      <c r="C37" s="2"/>
      <c r="D37" s="3"/>
      <c r="E37" s="4"/>
      <c r="F37" s="4"/>
      <c r="G37" s="4"/>
      <c r="H37" s="4"/>
    </row>
    <row r="39" spans="1:14" x14ac:dyDescent="0.35">
      <c r="G39" s="369"/>
      <c r="H39" s="369"/>
      <c r="I39" s="90"/>
      <c r="J39" s="375"/>
      <c r="K39" s="375"/>
      <c r="L39" s="375"/>
      <c r="M39" s="375"/>
      <c r="N39" s="90"/>
    </row>
    <row r="40" spans="1:14" x14ac:dyDescent="0.35">
      <c r="G40" s="370"/>
      <c r="H40" s="370"/>
      <c r="I40" s="378"/>
      <c r="J40" s="341"/>
      <c r="K40" s="341"/>
      <c r="L40" s="341"/>
      <c r="M40" s="341"/>
      <c r="N40" s="379"/>
    </row>
    <row r="41" spans="1:14" x14ac:dyDescent="0.35">
      <c r="G41" s="370"/>
      <c r="H41" s="370"/>
      <c r="I41" s="378"/>
      <c r="J41" s="341"/>
      <c r="K41" s="341"/>
      <c r="L41" s="341"/>
      <c r="M41" s="341"/>
      <c r="N41" s="379"/>
    </row>
    <row r="42" spans="1:14" x14ac:dyDescent="0.35">
      <c r="G42" s="370"/>
      <c r="H42" s="370"/>
      <c r="I42" s="378"/>
      <c r="J42" s="341"/>
      <c r="K42" s="341"/>
      <c r="L42" s="341"/>
      <c r="M42" s="341"/>
      <c r="N42" s="379"/>
    </row>
    <row r="43" spans="1:14" x14ac:dyDescent="0.35">
      <c r="G43" s="370"/>
      <c r="H43" s="370"/>
      <c r="I43" s="378"/>
      <c r="J43" s="341"/>
      <c r="K43" s="341"/>
      <c r="L43" s="341"/>
      <c r="M43" s="341"/>
      <c r="N43" s="379"/>
    </row>
    <row r="44" spans="1:14" x14ac:dyDescent="0.35">
      <c r="G44" s="370"/>
      <c r="H44" s="370"/>
      <c r="I44" s="378"/>
      <c r="J44" s="341"/>
      <c r="K44" s="341"/>
      <c r="L44" s="341"/>
      <c r="M44" s="341"/>
      <c r="N44" s="379"/>
    </row>
    <row r="45" spans="1:14" x14ac:dyDescent="0.35">
      <c r="G45" s="370"/>
      <c r="H45" s="370"/>
      <c r="I45" s="378"/>
      <c r="J45" s="341"/>
      <c r="K45" s="341"/>
      <c r="L45" s="341"/>
      <c r="M45" s="341"/>
      <c r="N45" s="379"/>
    </row>
    <row r="46" spans="1:14" x14ac:dyDescent="0.35">
      <c r="G46" s="370"/>
      <c r="H46" s="370"/>
      <c r="I46" s="378"/>
      <c r="J46" s="341"/>
      <c r="K46" s="341"/>
      <c r="L46" s="341"/>
      <c r="M46" s="341"/>
      <c r="N46" s="379"/>
    </row>
    <row r="47" spans="1:14" x14ac:dyDescent="0.35">
      <c r="G47" s="370"/>
      <c r="H47" s="370"/>
      <c r="I47" s="378"/>
      <c r="J47" s="341"/>
      <c r="K47" s="341"/>
      <c r="L47" s="341"/>
      <c r="M47" s="341"/>
      <c r="N47" s="379"/>
    </row>
    <row r="48" spans="1:14" x14ac:dyDescent="0.35">
      <c r="G48" s="370"/>
      <c r="H48" s="370"/>
      <c r="I48" s="378"/>
      <c r="J48" s="341"/>
      <c r="K48" s="341"/>
      <c r="L48" s="341"/>
      <c r="M48" s="341"/>
      <c r="N48" s="379"/>
    </row>
    <row r="49" spans="7:14" x14ac:dyDescent="0.35">
      <c r="G49" s="370"/>
      <c r="H49" s="370"/>
      <c r="I49" s="378"/>
      <c r="J49" s="341"/>
      <c r="K49" s="341"/>
      <c r="L49" s="341"/>
      <c r="M49" s="341"/>
      <c r="N49" s="379"/>
    </row>
    <row r="50" spans="7:14" x14ac:dyDescent="0.35">
      <c r="G50" s="370"/>
      <c r="H50" s="370"/>
      <c r="I50" s="378"/>
      <c r="J50" s="341"/>
      <c r="K50" s="341"/>
      <c r="L50" s="341"/>
      <c r="M50" s="341"/>
      <c r="N50" s="379"/>
    </row>
    <row r="51" spans="7:14" x14ac:dyDescent="0.35">
      <c r="G51" s="370"/>
      <c r="H51" s="370"/>
      <c r="I51" s="378"/>
      <c r="J51" s="341"/>
      <c r="K51" s="341"/>
      <c r="L51" s="341"/>
      <c r="M51" s="341"/>
      <c r="N51" s="379"/>
    </row>
    <row r="52" spans="7:14" x14ac:dyDescent="0.35">
      <c r="G52" s="368"/>
      <c r="H52" s="368"/>
      <c r="I52" s="380"/>
      <c r="J52" s="379"/>
      <c r="K52" s="379"/>
      <c r="L52" s="379"/>
      <c r="M52" s="379"/>
      <c r="N52" s="381"/>
    </row>
    <row r="53" spans="7:14" x14ac:dyDescent="0.35">
      <c r="G53" s="368"/>
      <c r="H53" s="368"/>
      <c r="I53" s="380"/>
      <c r="J53" s="379"/>
      <c r="K53" s="379"/>
      <c r="L53" s="379"/>
      <c r="M53" s="379"/>
      <c r="N53" s="381"/>
    </row>
  </sheetData>
  <mergeCells count="11">
    <mergeCell ref="A1:J1"/>
    <mergeCell ref="B15:C15"/>
    <mergeCell ref="B16:C16"/>
    <mergeCell ref="J15:J16"/>
    <mergeCell ref="A3:A16"/>
    <mergeCell ref="A21:A35"/>
    <mergeCell ref="A19:F19"/>
    <mergeCell ref="L19:P19"/>
    <mergeCell ref="C34:F34"/>
    <mergeCell ref="C35:F35"/>
    <mergeCell ref="H19:J19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45DAC-14E2-4342-98C2-E6DFEBCAF0F3}">
  <dimension ref="A1:S108"/>
  <sheetViews>
    <sheetView zoomScale="75" zoomScaleNormal="75" workbookViewId="0">
      <selection activeCell="A8" sqref="A8"/>
    </sheetView>
  </sheetViews>
  <sheetFormatPr defaultRowHeight="21" x14ac:dyDescent="0.35"/>
  <cols>
    <col min="1" max="2" width="11.90625" style="293" customWidth="1"/>
    <col min="3" max="3" width="20.90625" style="40" customWidth="1"/>
    <col min="4" max="4" width="8.7265625" style="40"/>
    <col min="5" max="5" width="16.1796875" style="40" customWidth="1"/>
    <col min="6" max="6" width="15.453125" style="293" customWidth="1"/>
    <col min="7" max="7" width="13.26953125" style="40" customWidth="1"/>
    <col min="8" max="8" width="14.453125" style="40" customWidth="1"/>
    <col min="9" max="9" width="11.26953125" style="293" customWidth="1"/>
    <col min="10" max="10" width="13.1796875" customWidth="1"/>
    <col min="11" max="11" width="11.26953125" customWidth="1"/>
    <col min="12" max="12" width="14.90625" customWidth="1"/>
    <col min="13" max="13" width="14.1796875" customWidth="1"/>
    <col min="14" max="14" width="14.7265625" customWidth="1"/>
    <col min="15" max="15" width="20.453125" customWidth="1"/>
    <col min="17" max="17" width="19.453125" customWidth="1"/>
  </cols>
  <sheetData>
    <row r="1" spans="1:19" ht="21.75" thickBot="1" x14ac:dyDescent="0.4">
      <c r="A1" s="451" t="s">
        <v>239</v>
      </c>
      <c r="B1" s="545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452"/>
      <c r="O1" s="235"/>
      <c r="P1" s="128"/>
      <c r="Q1" s="128"/>
    </row>
    <row r="2" spans="1:19" ht="21.75" thickBot="1" x14ac:dyDescent="0.4">
      <c r="A2" s="427"/>
      <c r="B2" s="428"/>
      <c r="C2" s="428"/>
      <c r="D2" s="429"/>
      <c r="E2" s="427" t="s">
        <v>271</v>
      </c>
      <c r="F2" s="429"/>
      <c r="G2" s="427" t="s">
        <v>270</v>
      </c>
      <c r="H2" s="428"/>
      <c r="I2" s="428"/>
      <c r="J2" s="428"/>
      <c r="K2" s="428"/>
      <c r="L2" s="428"/>
      <c r="M2" s="428"/>
      <c r="N2" s="429"/>
      <c r="O2" s="235"/>
      <c r="P2" s="128"/>
      <c r="Q2" s="128"/>
    </row>
    <row r="3" spans="1:19" ht="32.25" thickBot="1" x14ac:dyDescent="0.4">
      <c r="A3" s="44" t="s">
        <v>115</v>
      </c>
      <c r="B3" s="44" t="s">
        <v>320</v>
      </c>
      <c r="C3" s="44" t="s">
        <v>273</v>
      </c>
      <c r="D3" s="44" t="s">
        <v>240</v>
      </c>
      <c r="E3" s="44" t="s">
        <v>257</v>
      </c>
      <c r="F3" s="44" t="s">
        <v>244</v>
      </c>
      <c r="G3" s="44" t="s">
        <v>236</v>
      </c>
      <c r="H3" s="44" t="s">
        <v>406</v>
      </c>
      <c r="I3" s="44" t="s">
        <v>241</v>
      </c>
      <c r="J3" s="44" t="s">
        <v>243</v>
      </c>
      <c r="K3" s="283" t="s">
        <v>245</v>
      </c>
      <c r="L3" s="279" t="s">
        <v>238</v>
      </c>
      <c r="M3" s="279" t="s">
        <v>297</v>
      </c>
      <c r="N3" s="279" t="s">
        <v>298</v>
      </c>
      <c r="O3" s="280" t="s">
        <v>132</v>
      </c>
      <c r="P3" s="281"/>
      <c r="Q3" s="128"/>
    </row>
    <row r="4" spans="1:19" ht="31.5" x14ac:dyDescent="0.35">
      <c r="A4" s="168" t="s">
        <v>134</v>
      </c>
      <c r="B4" s="168" t="s">
        <v>341</v>
      </c>
      <c r="C4" s="284" t="s">
        <v>275</v>
      </c>
      <c r="D4" s="311">
        <v>15</v>
      </c>
      <c r="E4" s="311">
        <v>797.28</v>
      </c>
      <c r="F4" s="311">
        <v>35.64</v>
      </c>
      <c r="G4" s="311" t="s">
        <v>237</v>
      </c>
      <c r="H4" s="168" t="s">
        <v>152</v>
      </c>
      <c r="I4" s="168" t="s">
        <v>242</v>
      </c>
      <c r="J4" s="327" t="s">
        <v>152</v>
      </c>
      <c r="K4" s="327" t="s">
        <v>246</v>
      </c>
      <c r="L4" s="168">
        <v>3</v>
      </c>
      <c r="M4" s="327">
        <v>40</v>
      </c>
      <c r="N4" s="327">
        <v>1000</v>
      </c>
      <c r="O4" s="168" t="s">
        <v>423</v>
      </c>
      <c r="P4" s="235"/>
      <c r="Q4" s="128"/>
    </row>
    <row r="5" spans="1:19" ht="31.5" x14ac:dyDescent="0.35">
      <c r="A5" s="251" t="s">
        <v>399</v>
      </c>
      <c r="B5" s="168" t="s">
        <v>365</v>
      </c>
      <c r="C5" s="284" t="s">
        <v>276</v>
      </c>
      <c r="D5" s="312">
        <v>3</v>
      </c>
      <c r="E5" s="312">
        <v>380</v>
      </c>
      <c r="F5" s="312">
        <v>167</v>
      </c>
      <c r="G5" s="312" t="s">
        <v>237</v>
      </c>
      <c r="H5" s="168" t="s">
        <v>152</v>
      </c>
      <c r="I5" s="168" t="s">
        <v>242</v>
      </c>
      <c r="J5" s="326" t="s">
        <v>202</v>
      </c>
      <c r="K5" s="326" t="s">
        <v>248</v>
      </c>
      <c r="L5" s="251">
        <v>3</v>
      </c>
      <c r="M5" s="326">
        <v>250</v>
      </c>
      <c r="N5" s="326">
        <v>690</v>
      </c>
      <c r="O5" s="326" t="s">
        <v>290</v>
      </c>
      <c r="P5" s="235"/>
      <c r="Q5" s="128"/>
    </row>
    <row r="6" spans="1:19" ht="31.5" x14ac:dyDescent="0.35">
      <c r="A6" s="251" t="s">
        <v>398</v>
      </c>
      <c r="B6" s="168" t="s">
        <v>366</v>
      </c>
      <c r="C6" s="284" t="s">
        <v>401</v>
      </c>
      <c r="D6" s="312">
        <v>1</v>
      </c>
      <c r="E6" s="312">
        <v>380</v>
      </c>
      <c r="F6" s="312">
        <v>501</v>
      </c>
      <c r="G6" s="312" t="s">
        <v>237</v>
      </c>
      <c r="H6" s="168" t="s">
        <v>152</v>
      </c>
      <c r="I6" s="168" t="s">
        <v>242</v>
      </c>
      <c r="J6" s="326" t="s">
        <v>202</v>
      </c>
      <c r="K6" s="326" t="s">
        <v>247</v>
      </c>
      <c r="L6" s="251">
        <v>3</v>
      </c>
      <c r="M6" s="326">
        <v>630</v>
      </c>
      <c r="N6" s="326">
        <v>690</v>
      </c>
      <c r="O6" s="326" t="s">
        <v>291</v>
      </c>
      <c r="P6" s="235"/>
      <c r="Q6" s="128"/>
    </row>
    <row r="7" spans="1:19" ht="31.5" x14ac:dyDescent="0.35">
      <c r="A7" s="251" t="s">
        <v>398</v>
      </c>
      <c r="B7" s="168" t="s">
        <v>367</v>
      </c>
      <c r="C7" s="284" t="s">
        <v>277</v>
      </c>
      <c r="D7" s="326">
        <v>1</v>
      </c>
      <c r="E7" s="326">
        <v>220</v>
      </c>
      <c r="F7" s="51">
        <v>33.181818181818201</v>
      </c>
      <c r="G7" s="326" t="s">
        <v>237</v>
      </c>
      <c r="H7" s="168" t="s">
        <v>152</v>
      </c>
      <c r="I7" s="168" t="s">
        <v>242</v>
      </c>
      <c r="J7" s="326" t="s">
        <v>152</v>
      </c>
      <c r="K7" s="326" t="s">
        <v>246</v>
      </c>
      <c r="L7" s="251">
        <v>3</v>
      </c>
      <c r="M7" s="326">
        <v>100</v>
      </c>
      <c r="N7" s="326">
        <v>690</v>
      </c>
      <c r="O7" s="326" t="s">
        <v>292</v>
      </c>
      <c r="P7" s="235"/>
      <c r="Q7" s="128"/>
    </row>
    <row r="8" spans="1:19" ht="31.5" x14ac:dyDescent="0.35">
      <c r="A8" s="251" t="s">
        <v>398</v>
      </c>
      <c r="B8" s="168" t="s">
        <v>342</v>
      </c>
      <c r="C8" s="284" t="s">
        <v>403</v>
      </c>
      <c r="D8" s="326">
        <v>1</v>
      </c>
      <c r="E8" s="326">
        <v>13800</v>
      </c>
      <c r="F8" s="326">
        <v>501</v>
      </c>
      <c r="G8" s="326" t="s">
        <v>237</v>
      </c>
      <c r="H8" s="168" t="s">
        <v>202</v>
      </c>
      <c r="I8" s="168" t="s">
        <v>242</v>
      </c>
      <c r="J8" s="326" t="s">
        <v>202</v>
      </c>
      <c r="K8" s="326" t="s">
        <v>404</v>
      </c>
      <c r="L8" s="251">
        <v>3</v>
      </c>
      <c r="M8" s="326" t="s">
        <v>246</v>
      </c>
      <c r="N8" s="326">
        <v>15000</v>
      </c>
      <c r="O8" s="251" t="s">
        <v>405</v>
      </c>
      <c r="P8" s="235"/>
      <c r="Q8" s="128"/>
    </row>
    <row r="9" spans="1:19" ht="31.5" x14ac:dyDescent="0.35">
      <c r="A9" s="251" t="s">
        <v>335</v>
      </c>
      <c r="B9" s="251" t="s">
        <v>402</v>
      </c>
      <c r="C9" s="342" t="s">
        <v>407</v>
      </c>
      <c r="D9" s="326">
        <v>1</v>
      </c>
      <c r="E9" s="326">
        <v>13800</v>
      </c>
      <c r="F9" s="326">
        <v>501</v>
      </c>
      <c r="G9" s="321" t="s">
        <v>237</v>
      </c>
      <c r="H9" s="319" t="s">
        <v>202</v>
      </c>
      <c r="I9" s="319" t="s">
        <v>242</v>
      </c>
      <c r="J9" s="321" t="s">
        <v>202</v>
      </c>
      <c r="K9" s="321" t="s">
        <v>404</v>
      </c>
      <c r="L9" s="319">
        <v>3</v>
      </c>
      <c r="M9" s="321" t="s">
        <v>246</v>
      </c>
      <c r="N9" s="321">
        <v>15000</v>
      </c>
      <c r="O9" s="251" t="s">
        <v>405</v>
      </c>
      <c r="P9" s="235"/>
      <c r="Q9" s="128"/>
    </row>
    <row r="10" spans="1:19" x14ac:dyDescent="0.35">
      <c r="A10" s="328"/>
      <c r="B10" s="328"/>
      <c r="C10" s="294"/>
      <c r="D10" s="235"/>
      <c r="E10" s="235"/>
      <c r="F10" s="341"/>
      <c r="G10" s="235"/>
      <c r="H10" s="328"/>
      <c r="I10" s="235"/>
      <c r="J10" s="235"/>
      <c r="K10" s="328"/>
      <c r="L10" s="235"/>
      <c r="M10" s="235"/>
      <c r="N10" s="235"/>
      <c r="O10" s="235"/>
      <c r="P10" s="235"/>
      <c r="Q10" s="128"/>
    </row>
    <row r="11" spans="1:19" x14ac:dyDescent="0.35">
      <c r="A11" s="249"/>
      <c r="B11" s="249"/>
      <c r="C11" s="128"/>
      <c r="D11" s="128"/>
      <c r="E11" s="128"/>
      <c r="F11" s="249"/>
      <c r="G11" s="128"/>
      <c r="H11" s="128"/>
      <c r="I11" s="249"/>
      <c r="J11" s="128"/>
      <c r="K11" s="128"/>
      <c r="L11" s="128"/>
      <c r="M11" s="128"/>
      <c r="N11" s="128"/>
      <c r="O11" s="128"/>
      <c r="P11" s="128"/>
      <c r="Q11" s="128"/>
    </row>
    <row r="12" spans="1:19" x14ac:dyDescent="0.35">
      <c r="A12" s="249"/>
      <c r="B12" s="249"/>
      <c r="C12" s="128"/>
      <c r="D12" s="128"/>
      <c r="E12" s="128"/>
      <c r="F12" s="249"/>
      <c r="G12" s="128"/>
      <c r="H12" s="128"/>
      <c r="I12" s="249"/>
      <c r="J12" s="128"/>
      <c r="K12" s="128"/>
      <c r="L12" s="128"/>
      <c r="M12" s="128"/>
      <c r="N12" s="128"/>
      <c r="O12" s="128"/>
      <c r="P12" s="128"/>
      <c r="Q12" s="128"/>
    </row>
    <row r="13" spans="1:19" ht="21.75" thickBot="1" x14ac:dyDescent="0.4">
      <c r="A13" s="249"/>
      <c r="B13" s="249"/>
      <c r="C13" s="128"/>
      <c r="D13" s="128"/>
      <c r="E13" s="128"/>
      <c r="F13" s="249"/>
      <c r="G13" s="128"/>
      <c r="H13" s="128"/>
      <c r="I13" s="249"/>
      <c r="J13" s="128"/>
      <c r="K13" s="128"/>
      <c r="L13" s="128"/>
      <c r="M13" s="128"/>
      <c r="N13" s="128"/>
      <c r="O13" s="128"/>
      <c r="P13" s="128"/>
      <c r="Q13" s="128"/>
    </row>
    <row r="14" spans="1:19" s="278" customFormat="1" ht="21.75" thickBot="1" x14ac:dyDescent="0.4">
      <c r="A14" s="451" t="s">
        <v>249</v>
      </c>
      <c r="B14" s="545"/>
      <c r="C14" s="503"/>
      <c r="D14" s="503"/>
      <c r="E14" s="503"/>
      <c r="F14" s="503"/>
      <c r="G14" s="503"/>
      <c r="H14" s="503"/>
      <c r="I14" s="503"/>
      <c r="J14" s="503"/>
      <c r="K14" s="503"/>
      <c r="L14" s="503"/>
      <c r="M14" s="503"/>
      <c r="N14" s="503"/>
      <c r="O14" s="503"/>
      <c r="P14" s="503"/>
      <c r="Q14" s="452"/>
    </row>
    <row r="15" spans="1:19" s="278" customFormat="1" ht="21.75" thickBot="1" x14ac:dyDescent="0.4">
      <c r="A15" s="427"/>
      <c r="B15" s="428"/>
      <c r="C15" s="428"/>
      <c r="D15" s="428"/>
      <c r="E15" s="427" t="s">
        <v>271</v>
      </c>
      <c r="F15" s="429"/>
      <c r="G15" s="427" t="s">
        <v>272</v>
      </c>
      <c r="H15" s="428"/>
      <c r="I15" s="428"/>
      <c r="J15" s="428"/>
      <c r="K15" s="428"/>
      <c r="L15" s="428"/>
      <c r="M15" s="428"/>
      <c r="N15" s="428"/>
      <c r="O15" s="428"/>
      <c r="P15" s="428"/>
      <c r="Q15" s="429"/>
    </row>
    <row r="16" spans="1:19" s="282" customFormat="1" ht="32.25" thickBot="1" x14ac:dyDescent="0.4">
      <c r="A16" s="313" t="s">
        <v>115</v>
      </c>
      <c r="B16" s="313" t="s">
        <v>320</v>
      </c>
      <c r="C16" s="44" t="s">
        <v>273</v>
      </c>
      <c r="D16" s="44" t="s">
        <v>240</v>
      </c>
      <c r="E16" s="44" t="s">
        <v>256</v>
      </c>
      <c r="F16" s="44" t="s">
        <v>244</v>
      </c>
      <c r="G16" s="44" t="s">
        <v>163</v>
      </c>
      <c r="H16" s="44" t="s">
        <v>262</v>
      </c>
      <c r="I16" s="44" t="s">
        <v>251</v>
      </c>
      <c r="J16" s="44" t="s">
        <v>252</v>
      </c>
      <c r="K16" s="44" t="s">
        <v>259</v>
      </c>
      <c r="L16" s="44" t="s">
        <v>260</v>
      </c>
      <c r="M16" s="44" t="s">
        <v>258</v>
      </c>
      <c r="N16" s="44" t="s">
        <v>255</v>
      </c>
      <c r="O16" s="44" t="s">
        <v>253</v>
      </c>
      <c r="P16" s="44" t="s">
        <v>254</v>
      </c>
      <c r="Q16" s="44" t="s">
        <v>132</v>
      </c>
      <c r="R16" s="281"/>
      <c r="S16" s="281"/>
    </row>
    <row r="17" spans="1:19" ht="47.25" x14ac:dyDescent="0.35">
      <c r="A17" s="168" t="s">
        <v>265</v>
      </c>
      <c r="B17" s="168" t="s">
        <v>362</v>
      </c>
      <c r="C17" s="284" t="s">
        <v>282</v>
      </c>
      <c r="D17" s="311">
        <v>3</v>
      </c>
      <c r="E17" s="311">
        <v>380</v>
      </c>
      <c r="F17" s="311">
        <v>167</v>
      </c>
      <c r="G17" s="311" t="s">
        <v>250</v>
      </c>
      <c r="H17" s="168">
        <v>3</v>
      </c>
      <c r="I17" s="311" t="s">
        <v>426</v>
      </c>
      <c r="J17" s="276" t="s">
        <v>202</v>
      </c>
      <c r="K17" s="168" t="s">
        <v>261</v>
      </c>
      <c r="L17" s="276" t="s">
        <v>428</v>
      </c>
      <c r="M17" s="276">
        <v>200</v>
      </c>
      <c r="N17" s="276">
        <v>690</v>
      </c>
      <c r="O17" s="276">
        <v>85</v>
      </c>
      <c r="P17" s="276" t="s">
        <v>263</v>
      </c>
      <c r="Q17" s="276" t="s">
        <v>425</v>
      </c>
      <c r="R17" s="235"/>
      <c r="S17" s="235"/>
    </row>
    <row r="18" spans="1:19" ht="47.25" x14ac:dyDescent="0.35">
      <c r="A18" s="251" t="s">
        <v>398</v>
      </c>
      <c r="B18" s="168" t="s">
        <v>363</v>
      </c>
      <c r="C18" s="284" t="s">
        <v>274</v>
      </c>
      <c r="D18" s="312">
        <v>1</v>
      </c>
      <c r="E18" s="312">
        <v>380</v>
      </c>
      <c r="F18" s="312">
        <v>501</v>
      </c>
      <c r="G18" s="312" t="s">
        <v>250</v>
      </c>
      <c r="H18" s="251">
        <v>3</v>
      </c>
      <c r="I18" s="371" t="s">
        <v>429</v>
      </c>
      <c r="J18" s="277" t="s">
        <v>202</v>
      </c>
      <c r="K18" s="251" t="s">
        <v>261</v>
      </c>
      <c r="L18" s="277" t="s">
        <v>264</v>
      </c>
      <c r="M18" s="277">
        <v>630</v>
      </c>
      <c r="N18" s="277">
        <v>690</v>
      </c>
      <c r="O18" s="277">
        <v>85</v>
      </c>
      <c r="P18" s="277" t="s">
        <v>263</v>
      </c>
      <c r="Q18" s="277" t="s">
        <v>286</v>
      </c>
      <c r="R18" s="235"/>
      <c r="S18" s="235"/>
    </row>
    <row r="19" spans="1:19" s="322" customFormat="1" ht="31.5" x14ac:dyDescent="0.35">
      <c r="A19" s="319" t="s">
        <v>427</v>
      </c>
      <c r="B19" s="320" t="s">
        <v>364</v>
      </c>
      <c r="C19" s="323" t="s">
        <v>375</v>
      </c>
      <c r="D19" s="321">
        <v>1</v>
      </c>
      <c r="E19" s="321">
        <v>13800</v>
      </c>
      <c r="F19" s="321" t="s">
        <v>246</v>
      </c>
      <c r="G19" s="321" t="s">
        <v>374</v>
      </c>
      <c r="H19" s="319">
        <v>3</v>
      </c>
      <c r="I19" s="321" t="s">
        <v>246</v>
      </c>
      <c r="J19" s="321" t="s">
        <v>246</v>
      </c>
      <c r="K19" s="319" t="s">
        <v>246</v>
      </c>
      <c r="L19" s="321" t="s">
        <v>246</v>
      </c>
      <c r="M19" s="321">
        <v>630</v>
      </c>
      <c r="N19" s="321">
        <v>17500</v>
      </c>
      <c r="O19" s="321">
        <v>25</v>
      </c>
      <c r="P19" s="321" t="s">
        <v>246</v>
      </c>
      <c r="Q19" s="321" t="s">
        <v>373</v>
      </c>
      <c r="R19" s="229"/>
      <c r="S19" s="229"/>
    </row>
    <row r="20" spans="1:19" ht="47.25" x14ac:dyDescent="0.35">
      <c r="A20" s="251" t="s">
        <v>400</v>
      </c>
      <c r="B20" s="168" t="s">
        <v>358</v>
      </c>
      <c r="C20" s="284" t="s">
        <v>411</v>
      </c>
      <c r="D20" s="312">
        <v>1</v>
      </c>
      <c r="E20" s="312">
        <v>220</v>
      </c>
      <c r="F20" s="51">
        <v>44.73</v>
      </c>
      <c r="G20" s="312" t="s">
        <v>250</v>
      </c>
      <c r="H20" s="251">
        <v>3</v>
      </c>
      <c r="I20" s="312" t="s">
        <v>266</v>
      </c>
      <c r="J20" s="277" t="s">
        <v>267</v>
      </c>
      <c r="K20" s="251" t="s">
        <v>268</v>
      </c>
      <c r="L20" s="277" t="s">
        <v>269</v>
      </c>
      <c r="M20" s="277">
        <v>50</v>
      </c>
      <c r="N20" s="277">
        <v>690</v>
      </c>
      <c r="O20" s="277">
        <v>30</v>
      </c>
      <c r="P20" s="277" t="s">
        <v>263</v>
      </c>
      <c r="Q20" s="277" t="s">
        <v>287</v>
      </c>
      <c r="R20" s="235"/>
      <c r="S20" s="235"/>
    </row>
    <row r="21" spans="1:19" ht="47.25" x14ac:dyDescent="0.35">
      <c r="A21" s="251" t="s">
        <v>400</v>
      </c>
      <c r="B21" s="168" t="s">
        <v>359</v>
      </c>
      <c r="C21" s="284" t="s">
        <v>278</v>
      </c>
      <c r="D21" s="312">
        <v>1</v>
      </c>
      <c r="E21" s="312">
        <v>220</v>
      </c>
      <c r="F21" s="87">
        <v>3.18</v>
      </c>
      <c r="G21" s="312" t="s">
        <v>280</v>
      </c>
      <c r="H21" s="312">
        <v>2</v>
      </c>
      <c r="I21" s="251" t="s">
        <v>281</v>
      </c>
      <c r="J21" s="277" t="s">
        <v>152</v>
      </c>
      <c r="K21" s="277" t="s">
        <v>284</v>
      </c>
      <c r="L21" s="277" t="s">
        <v>246</v>
      </c>
      <c r="M21" s="277">
        <v>10</v>
      </c>
      <c r="N21" s="277">
        <v>230</v>
      </c>
      <c r="O21" s="277">
        <v>6</v>
      </c>
      <c r="P21" s="277" t="s">
        <v>246</v>
      </c>
      <c r="Q21" s="277" t="s">
        <v>288</v>
      </c>
    </row>
    <row r="22" spans="1:19" ht="47.25" x14ac:dyDescent="0.35">
      <c r="A22" s="251" t="s">
        <v>400</v>
      </c>
      <c r="B22" s="168" t="s">
        <v>360</v>
      </c>
      <c r="C22" s="284" t="s">
        <v>279</v>
      </c>
      <c r="D22" s="312">
        <v>1</v>
      </c>
      <c r="E22" s="312">
        <v>220</v>
      </c>
      <c r="F22" s="87">
        <v>24.55</v>
      </c>
      <c r="G22" s="312" t="s">
        <v>280</v>
      </c>
      <c r="H22" s="312">
        <v>2</v>
      </c>
      <c r="I22" s="251" t="s">
        <v>281</v>
      </c>
      <c r="J22" s="277" t="s">
        <v>152</v>
      </c>
      <c r="K22" s="277" t="s">
        <v>284</v>
      </c>
      <c r="L22" s="277" t="s">
        <v>246</v>
      </c>
      <c r="M22" s="277">
        <v>32</v>
      </c>
      <c r="N22" s="277">
        <v>230</v>
      </c>
      <c r="O22" s="277">
        <v>6</v>
      </c>
      <c r="P22" s="277" t="s">
        <v>246</v>
      </c>
      <c r="Q22" s="277" t="s">
        <v>289</v>
      </c>
    </row>
    <row r="23" spans="1:19" ht="47.25" x14ac:dyDescent="0.35">
      <c r="A23" s="251" t="s">
        <v>400</v>
      </c>
      <c r="B23" s="168" t="s">
        <v>361</v>
      </c>
      <c r="C23" s="284" t="s">
        <v>419</v>
      </c>
      <c r="D23" s="312">
        <v>1</v>
      </c>
      <c r="E23" s="312">
        <v>220</v>
      </c>
      <c r="F23" s="87">
        <v>1.82</v>
      </c>
      <c r="G23" s="312" t="s">
        <v>280</v>
      </c>
      <c r="H23" s="312">
        <v>2</v>
      </c>
      <c r="I23" s="251" t="s">
        <v>281</v>
      </c>
      <c r="J23" s="277" t="s">
        <v>152</v>
      </c>
      <c r="K23" s="277" t="s">
        <v>285</v>
      </c>
      <c r="L23" s="277" t="s">
        <v>246</v>
      </c>
      <c r="M23" s="373">
        <v>10</v>
      </c>
      <c r="N23" s="277">
        <v>230</v>
      </c>
      <c r="O23" s="277">
        <v>6</v>
      </c>
      <c r="P23" s="277" t="s">
        <v>246</v>
      </c>
      <c r="Q23" s="277" t="s">
        <v>288</v>
      </c>
    </row>
    <row r="24" spans="1:19" ht="47.25" x14ac:dyDescent="0.35">
      <c r="A24" s="251" t="s">
        <v>400</v>
      </c>
      <c r="B24" s="168" t="s">
        <v>421</v>
      </c>
      <c r="C24" s="284" t="s">
        <v>420</v>
      </c>
      <c r="D24" s="335">
        <v>1</v>
      </c>
      <c r="E24" s="335">
        <v>220</v>
      </c>
      <c r="F24" s="87">
        <v>4.55</v>
      </c>
      <c r="G24" s="335" t="s">
        <v>280</v>
      </c>
      <c r="H24" s="335">
        <v>2</v>
      </c>
      <c r="I24" s="251" t="s">
        <v>281</v>
      </c>
      <c r="J24" s="335" t="s">
        <v>152</v>
      </c>
      <c r="K24" s="335" t="s">
        <v>285</v>
      </c>
      <c r="L24" s="335" t="s">
        <v>246</v>
      </c>
      <c r="M24" s="335">
        <v>10</v>
      </c>
      <c r="N24" s="335">
        <v>230</v>
      </c>
      <c r="O24" s="335">
        <v>6</v>
      </c>
      <c r="P24" s="335" t="s">
        <v>246</v>
      </c>
      <c r="Q24" s="335" t="s">
        <v>288</v>
      </c>
    </row>
    <row r="25" spans="1:19" x14ac:dyDescent="0.35">
      <c r="A25" s="339"/>
      <c r="B25" s="339"/>
      <c r="C25" s="294"/>
      <c r="D25" s="235"/>
      <c r="E25" s="235"/>
      <c r="F25" s="348"/>
      <c r="G25" s="235"/>
      <c r="H25" s="235"/>
      <c r="I25" s="339"/>
      <c r="J25" s="235"/>
      <c r="K25" s="235"/>
      <c r="L25" s="235"/>
      <c r="M25" s="235"/>
      <c r="N25" s="235"/>
      <c r="O25" s="235"/>
      <c r="P25" s="235"/>
      <c r="Q25" s="235"/>
    </row>
    <row r="26" spans="1:19" ht="21.75" thickBot="1" x14ac:dyDescent="0.4"/>
    <row r="27" spans="1:19" ht="21.75" thickBot="1" x14ac:dyDescent="0.4">
      <c r="A27" s="546" t="s">
        <v>293</v>
      </c>
      <c r="B27" s="547"/>
      <c r="C27" s="547"/>
      <c r="D27" s="547"/>
      <c r="E27" s="547"/>
      <c r="F27" s="547"/>
      <c r="G27" s="547"/>
      <c r="H27" s="547"/>
      <c r="I27" s="547"/>
      <c r="J27" s="547"/>
      <c r="K27" s="547"/>
      <c r="L27" s="547"/>
      <c r="M27" s="547"/>
      <c r="N27" s="547"/>
      <c r="O27" s="548"/>
    </row>
    <row r="28" spans="1:19" ht="21.75" thickBot="1" x14ac:dyDescent="0.4">
      <c r="A28" s="427"/>
      <c r="B28" s="428"/>
      <c r="C28" s="428"/>
      <c r="D28" s="429"/>
      <c r="E28" s="427" t="s">
        <v>271</v>
      </c>
      <c r="F28" s="429"/>
      <c r="G28" s="427" t="s">
        <v>294</v>
      </c>
      <c r="H28" s="428"/>
      <c r="I28" s="428"/>
      <c r="J28" s="428"/>
      <c r="K28" s="428"/>
      <c r="L28" s="428"/>
      <c r="M28" s="428"/>
      <c r="N28" s="428"/>
      <c r="O28" s="429"/>
    </row>
    <row r="29" spans="1:19" ht="48" thickBot="1" x14ac:dyDescent="0.4">
      <c r="A29" s="44" t="s">
        <v>115</v>
      </c>
      <c r="B29" s="44" t="s">
        <v>320</v>
      </c>
      <c r="C29" s="44" t="s">
        <v>273</v>
      </c>
      <c r="D29" s="44" t="s">
        <v>240</v>
      </c>
      <c r="E29" s="44" t="s">
        <v>257</v>
      </c>
      <c r="F29" s="44" t="s">
        <v>244</v>
      </c>
      <c r="G29" s="44" t="s">
        <v>295</v>
      </c>
      <c r="H29" s="44" t="s">
        <v>238</v>
      </c>
      <c r="I29" s="44" t="s">
        <v>303</v>
      </c>
      <c r="J29" s="44" t="s">
        <v>302</v>
      </c>
      <c r="K29" s="283" t="s">
        <v>301</v>
      </c>
      <c r="L29" s="279" t="s">
        <v>298</v>
      </c>
      <c r="M29" s="279" t="s">
        <v>304</v>
      </c>
      <c r="N29" s="279" t="s">
        <v>163</v>
      </c>
      <c r="O29" s="280" t="s">
        <v>132</v>
      </c>
    </row>
    <row r="30" spans="1:19" x14ac:dyDescent="0.35">
      <c r="A30" s="168" t="s">
        <v>134</v>
      </c>
      <c r="B30" s="168" t="s">
        <v>340</v>
      </c>
      <c r="C30" s="284"/>
      <c r="D30" s="311">
        <v>15</v>
      </c>
      <c r="E30" s="311">
        <v>797.28</v>
      </c>
      <c r="F30" s="311">
        <v>35.64</v>
      </c>
      <c r="G30" s="311" t="s">
        <v>296</v>
      </c>
      <c r="H30" s="168">
        <v>3</v>
      </c>
      <c r="I30" s="168">
        <v>15</v>
      </c>
      <c r="J30" s="276">
        <v>40</v>
      </c>
      <c r="K30" s="276" t="s">
        <v>300</v>
      </c>
      <c r="L30" s="276" t="s">
        <v>307</v>
      </c>
      <c r="M30" s="276">
        <v>1.2</v>
      </c>
      <c r="N30" s="276" t="s">
        <v>299</v>
      </c>
      <c r="O30" s="276" t="s">
        <v>305</v>
      </c>
    </row>
    <row r="31" spans="1:19" ht="31.5" x14ac:dyDescent="0.35">
      <c r="A31" s="251" t="s">
        <v>399</v>
      </c>
      <c r="B31" s="168" t="s">
        <v>368</v>
      </c>
      <c r="C31" s="284"/>
      <c r="D31" s="312">
        <v>3</v>
      </c>
      <c r="E31" s="311">
        <v>380</v>
      </c>
      <c r="F31" s="311">
        <v>167</v>
      </c>
      <c r="G31" s="312" t="s">
        <v>309</v>
      </c>
      <c r="H31" s="251">
        <v>4</v>
      </c>
      <c r="I31" s="251">
        <v>75</v>
      </c>
      <c r="J31" s="277" t="s">
        <v>246</v>
      </c>
      <c r="K31" s="277">
        <v>75</v>
      </c>
      <c r="L31" s="277" t="s">
        <v>308</v>
      </c>
      <c r="M31" s="277">
        <v>1.5</v>
      </c>
      <c r="N31" s="277" t="s">
        <v>246</v>
      </c>
      <c r="O31" s="276" t="s">
        <v>306</v>
      </c>
    </row>
    <row r="32" spans="1:19" ht="31.5" x14ac:dyDescent="0.35">
      <c r="A32" s="168" t="s">
        <v>400</v>
      </c>
      <c r="B32" s="168" t="s">
        <v>424</v>
      </c>
      <c r="C32" s="284"/>
      <c r="D32" s="312">
        <v>3</v>
      </c>
      <c r="E32" s="311">
        <v>220</v>
      </c>
      <c r="F32" s="311">
        <v>33.18</v>
      </c>
      <c r="G32" s="311" t="s">
        <v>296</v>
      </c>
      <c r="H32" s="168">
        <v>2</v>
      </c>
      <c r="I32" s="168">
        <v>12.5</v>
      </c>
      <c r="J32" s="168">
        <v>12.5</v>
      </c>
      <c r="K32" s="168">
        <v>12.5</v>
      </c>
      <c r="L32" s="276" t="s">
        <v>311</v>
      </c>
      <c r="M32" s="276">
        <v>1.2</v>
      </c>
      <c r="N32" s="276" t="s">
        <v>246</v>
      </c>
      <c r="O32" s="276" t="s">
        <v>310</v>
      </c>
    </row>
    <row r="34" spans="1:14" ht="21.75" thickBot="1" x14ac:dyDescent="0.4"/>
    <row r="35" spans="1:14" s="40" customFormat="1" ht="21.75" customHeight="1" thickBot="1" x14ac:dyDescent="0.3">
      <c r="A35" s="539" t="s">
        <v>312</v>
      </c>
      <c r="B35" s="540"/>
      <c r="C35" s="540"/>
      <c r="D35" s="540"/>
      <c r="E35" s="540"/>
      <c r="F35" s="540"/>
      <c r="G35" s="540"/>
      <c r="H35" s="540"/>
      <c r="I35" s="540"/>
      <c r="J35" s="540"/>
      <c r="K35" s="540"/>
      <c r="L35" s="540"/>
      <c r="M35" s="540"/>
      <c r="N35" s="541"/>
    </row>
    <row r="36" spans="1:14" s="40" customFormat="1" ht="21.75" customHeight="1" thickBot="1" x14ac:dyDescent="0.3">
      <c r="A36" s="551"/>
      <c r="B36" s="552"/>
      <c r="C36" s="552"/>
      <c r="D36" s="553"/>
      <c r="E36" s="549" t="s">
        <v>271</v>
      </c>
      <c r="F36" s="550"/>
      <c r="G36" s="549" t="s">
        <v>313</v>
      </c>
      <c r="H36" s="480"/>
      <c r="I36" s="550"/>
      <c r="J36" s="539" t="s">
        <v>316</v>
      </c>
      <c r="K36" s="540"/>
      <c r="L36" s="540"/>
      <c r="M36" s="540"/>
      <c r="N36" s="541"/>
    </row>
    <row r="37" spans="1:14" ht="32.25" thickBot="1" x14ac:dyDescent="0.4">
      <c r="A37" s="44" t="s">
        <v>115</v>
      </c>
      <c r="B37" s="44" t="s">
        <v>320</v>
      </c>
      <c r="C37" s="44" t="s">
        <v>273</v>
      </c>
      <c r="D37" s="44" t="s">
        <v>240</v>
      </c>
      <c r="E37" s="44" t="s">
        <v>257</v>
      </c>
      <c r="F37" s="314" t="s">
        <v>244</v>
      </c>
      <c r="G37" s="44" t="s">
        <v>238</v>
      </c>
      <c r="H37" s="44" t="s">
        <v>314</v>
      </c>
      <c r="I37" s="44" t="s">
        <v>315</v>
      </c>
      <c r="J37" s="44" t="s">
        <v>163</v>
      </c>
      <c r="K37" s="44" t="s">
        <v>314</v>
      </c>
      <c r="L37" s="44" t="s">
        <v>315</v>
      </c>
      <c r="M37" s="44" t="s">
        <v>317</v>
      </c>
      <c r="N37" s="42" t="s">
        <v>132</v>
      </c>
    </row>
    <row r="38" spans="1:14" s="9" customFormat="1" ht="47.25" x14ac:dyDescent="0.35">
      <c r="A38" s="168" t="s">
        <v>134</v>
      </c>
      <c r="B38" s="168" t="s">
        <v>336</v>
      </c>
      <c r="C38" s="168"/>
      <c r="D38" s="311">
        <v>20</v>
      </c>
      <c r="E38" s="311">
        <v>797.28</v>
      </c>
      <c r="F38" s="311">
        <v>35.64</v>
      </c>
      <c r="G38" s="311">
        <v>2</v>
      </c>
      <c r="H38" s="311">
        <v>1000</v>
      </c>
      <c r="I38" s="311">
        <v>40</v>
      </c>
      <c r="J38" s="168" t="s">
        <v>319</v>
      </c>
      <c r="K38" s="276">
        <v>1000</v>
      </c>
      <c r="L38" s="276">
        <v>40</v>
      </c>
      <c r="M38" s="276">
        <v>100</v>
      </c>
      <c r="N38" s="168" t="s">
        <v>318</v>
      </c>
    </row>
    <row r="39" spans="1:14" x14ac:dyDescent="0.35">
      <c r="A39" s="315"/>
      <c r="B39" s="315"/>
      <c r="C39" s="294"/>
      <c r="D39" s="235"/>
      <c r="E39" s="235"/>
      <c r="F39" s="235"/>
      <c r="J39" s="40"/>
      <c r="K39" s="40"/>
      <c r="L39" s="40"/>
      <c r="M39" s="40"/>
      <c r="N39" s="40"/>
    </row>
    <row r="40" spans="1:14" ht="21.75" thickBot="1" x14ac:dyDescent="0.4">
      <c r="A40" s="315"/>
      <c r="B40" s="315"/>
      <c r="C40" s="294"/>
      <c r="D40" s="235"/>
      <c r="E40" s="235"/>
      <c r="F40" s="235"/>
      <c r="J40" s="40"/>
      <c r="K40" s="40"/>
      <c r="L40" s="40"/>
      <c r="M40" s="40"/>
      <c r="N40" s="40"/>
    </row>
    <row r="41" spans="1:14" ht="21.75" customHeight="1" thickBot="1" x14ac:dyDescent="0.4">
      <c r="A41" s="539" t="s">
        <v>321</v>
      </c>
      <c r="B41" s="540"/>
      <c r="C41" s="540"/>
      <c r="D41" s="540"/>
      <c r="E41" s="540"/>
      <c r="F41" s="540"/>
      <c r="G41" s="540"/>
      <c r="H41" s="540"/>
      <c r="I41" s="540"/>
      <c r="J41" s="540"/>
      <c r="K41" s="540"/>
      <c r="L41" s="541"/>
      <c r="M41" s="40"/>
      <c r="N41" s="40"/>
    </row>
    <row r="42" spans="1:14" ht="21.75" thickBot="1" x14ac:dyDescent="0.4">
      <c r="A42" s="542"/>
      <c r="B42" s="543"/>
      <c r="C42" s="543"/>
      <c r="D42" s="544"/>
      <c r="E42" s="427" t="s">
        <v>271</v>
      </c>
      <c r="F42" s="428"/>
      <c r="G42" s="428"/>
      <c r="H42" s="428"/>
      <c r="I42" s="428"/>
      <c r="J42" s="428"/>
      <c r="K42" s="428"/>
      <c r="L42" s="429"/>
      <c r="M42" s="40"/>
      <c r="N42" s="40"/>
    </row>
    <row r="43" spans="1:14" ht="35.25" thickBot="1" x14ac:dyDescent="0.4">
      <c r="A43" s="44" t="s">
        <v>115</v>
      </c>
      <c r="B43" s="44" t="s">
        <v>320</v>
      </c>
      <c r="C43" s="44" t="s">
        <v>273</v>
      </c>
      <c r="D43" s="44" t="s">
        <v>240</v>
      </c>
      <c r="E43" s="44" t="s">
        <v>256</v>
      </c>
      <c r="F43" s="44" t="s">
        <v>244</v>
      </c>
      <c r="G43" s="44" t="s">
        <v>322</v>
      </c>
      <c r="H43" s="44" t="s">
        <v>323</v>
      </c>
      <c r="I43" s="44" t="s">
        <v>332</v>
      </c>
      <c r="J43" s="302" t="s">
        <v>295</v>
      </c>
      <c r="K43" s="42" t="s">
        <v>325</v>
      </c>
      <c r="L43" s="303" t="s">
        <v>132</v>
      </c>
      <c r="M43" s="40"/>
      <c r="N43" s="40"/>
    </row>
    <row r="44" spans="1:14" ht="31.5" x14ac:dyDescent="0.35">
      <c r="A44" s="168" t="s">
        <v>398</v>
      </c>
      <c r="B44" s="168" t="s">
        <v>337</v>
      </c>
      <c r="C44" s="168" t="s">
        <v>327</v>
      </c>
      <c r="D44" s="311">
        <v>1</v>
      </c>
      <c r="E44" s="311">
        <v>380</v>
      </c>
      <c r="F44" s="312">
        <v>501</v>
      </c>
      <c r="G44" s="311">
        <v>501</v>
      </c>
      <c r="H44" s="311">
        <v>5</v>
      </c>
      <c r="I44" s="260">
        <v>5</v>
      </c>
      <c r="J44" s="304" t="s">
        <v>324</v>
      </c>
      <c r="K44" s="306" t="s">
        <v>326</v>
      </c>
      <c r="L44" s="304" t="s">
        <v>333</v>
      </c>
      <c r="M44" s="40"/>
      <c r="N44" s="40"/>
    </row>
    <row r="45" spans="1:14" ht="31.5" x14ac:dyDescent="0.35">
      <c r="A45" s="319" t="s">
        <v>427</v>
      </c>
      <c r="B45" s="168" t="s">
        <v>338</v>
      </c>
      <c r="C45" s="168" t="s">
        <v>343</v>
      </c>
      <c r="D45" s="311">
        <v>1</v>
      </c>
      <c r="E45" s="311">
        <v>13800</v>
      </c>
      <c r="F45" s="312">
        <v>501</v>
      </c>
      <c r="G45" s="311">
        <v>501</v>
      </c>
      <c r="H45" s="311">
        <v>5</v>
      </c>
      <c r="I45" s="260">
        <v>5</v>
      </c>
      <c r="J45" s="307" t="s">
        <v>324</v>
      </c>
      <c r="K45" s="306" t="s">
        <v>326</v>
      </c>
      <c r="L45" s="168" t="s">
        <v>405</v>
      </c>
      <c r="M45" s="40"/>
      <c r="N45" s="40"/>
    </row>
    <row r="46" spans="1:14" ht="31.5" x14ac:dyDescent="0.35">
      <c r="A46" s="319" t="s">
        <v>427</v>
      </c>
      <c r="B46" s="168" t="s">
        <v>431</v>
      </c>
      <c r="C46" s="168" t="s">
        <v>345</v>
      </c>
      <c r="D46" s="311">
        <v>1</v>
      </c>
      <c r="E46" s="372">
        <v>13800</v>
      </c>
      <c r="F46" s="312">
        <v>501</v>
      </c>
      <c r="G46" s="311">
        <v>501</v>
      </c>
      <c r="H46" s="311">
        <v>5</v>
      </c>
      <c r="I46" s="260">
        <v>5</v>
      </c>
      <c r="J46" s="307" t="s">
        <v>324</v>
      </c>
      <c r="K46" s="306" t="s">
        <v>326</v>
      </c>
      <c r="L46" s="168" t="s">
        <v>405</v>
      </c>
      <c r="M46" s="40"/>
      <c r="N46" s="40"/>
    </row>
    <row r="47" spans="1:14" x14ac:dyDescent="0.35">
      <c r="J47" s="40"/>
      <c r="K47" s="40"/>
      <c r="L47" s="128"/>
      <c r="M47" s="40"/>
      <c r="N47" s="40"/>
    </row>
    <row r="48" spans="1:14" ht="21.75" thickBot="1" x14ac:dyDescent="0.4">
      <c r="J48" s="40"/>
      <c r="K48" s="40"/>
      <c r="L48" s="40"/>
      <c r="M48" s="40"/>
      <c r="N48" s="40"/>
    </row>
    <row r="49" spans="1:14" ht="21.75" customHeight="1" thickBot="1" x14ac:dyDescent="0.4">
      <c r="A49" s="539" t="s">
        <v>328</v>
      </c>
      <c r="B49" s="540"/>
      <c r="C49" s="540"/>
      <c r="D49" s="540"/>
      <c r="E49" s="540"/>
      <c r="F49" s="540"/>
      <c r="G49" s="540"/>
      <c r="H49" s="540"/>
      <c r="I49" s="540"/>
      <c r="J49" s="541"/>
      <c r="K49" s="309"/>
      <c r="L49" s="309"/>
      <c r="M49" s="40"/>
      <c r="N49" s="40"/>
    </row>
    <row r="50" spans="1:14" ht="21.75" thickBot="1" x14ac:dyDescent="0.4">
      <c r="A50" s="542"/>
      <c r="B50" s="543"/>
      <c r="C50" s="543"/>
      <c r="D50" s="544"/>
      <c r="E50" s="427" t="s">
        <v>271</v>
      </c>
      <c r="F50" s="428"/>
      <c r="G50" s="428"/>
      <c r="H50" s="428"/>
      <c r="I50" s="428"/>
      <c r="J50" s="429"/>
      <c r="K50" s="225"/>
      <c r="L50" s="225"/>
      <c r="M50" s="40"/>
      <c r="N50" s="40"/>
    </row>
    <row r="51" spans="1:14" ht="32.25" thickBot="1" x14ac:dyDescent="0.4">
      <c r="A51" s="44" t="s">
        <v>115</v>
      </c>
      <c r="B51" s="44" t="s">
        <v>320</v>
      </c>
      <c r="C51" s="44" t="s">
        <v>273</v>
      </c>
      <c r="D51" s="44" t="s">
        <v>240</v>
      </c>
      <c r="E51" s="44" t="s">
        <v>256</v>
      </c>
      <c r="F51" s="44" t="s">
        <v>244</v>
      </c>
      <c r="G51" s="44" t="s">
        <v>329</v>
      </c>
      <c r="H51" s="44" t="s">
        <v>330</v>
      </c>
      <c r="I51" s="44" t="s">
        <v>331</v>
      </c>
      <c r="J51" s="42" t="s">
        <v>132</v>
      </c>
      <c r="K51" s="90"/>
      <c r="L51" s="90"/>
      <c r="M51" s="40"/>
      <c r="N51" s="40"/>
    </row>
    <row r="52" spans="1:14" ht="31.5" x14ac:dyDescent="0.35">
      <c r="A52" s="168" t="s">
        <v>398</v>
      </c>
      <c r="B52" s="168" t="s">
        <v>339</v>
      </c>
      <c r="C52" s="168" t="s">
        <v>327</v>
      </c>
      <c r="D52" s="311">
        <v>1</v>
      </c>
      <c r="E52" s="311">
        <v>380</v>
      </c>
      <c r="F52" s="312">
        <v>501</v>
      </c>
      <c r="G52" s="311">
        <v>380</v>
      </c>
      <c r="H52" s="311">
        <v>115</v>
      </c>
      <c r="I52" s="260">
        <v>400</v>
      </c>
      <c r="J52" s="305" t="s">
        <v>334</v>
      </c>
      <c r="K52" s="308"/>
      <c r="L52" s="235"/>
      <c r="M52" s="40"/>
      <c r="N52" s="40"/>
    </row>
    <row r="53" spans="1:14" ht="31.5" x14ac:dyDescent="0.35">
      <c r="A53" s="168" t="s">
        <v>398</v>
      </c>
      <c r="B53" s="168" t="s">
        <v>357</v>
      </c>
      <c r="C53" s="168" t="s">
        <v>356</v>
      </c>
      <c r="D53" s="311">
        <v>2</v>
      </c>
      <c r="E53" s="311">
        <v>380</v>
      </c>
      <c r="F53" s="312">
        <v>501</v>
      </c>
      <c r="G53" s="311">
        <v>380</v>
      </c>
      <c r="H53" s="311">
        <v>115</v>
      </c>
      <c r="I53" s="260">
        <v>400</v>
      </c>
      <c r="J53" s="307" t="s">
        <v>334</v>
      </c>
      <c r="K53" s="40"/>
      <c r="L53" s="40"/>
      <c r="M53" s="40"/>
      <c r="N53" s="40"/>
    </row>
    <row r="54" spans="1:14" ht="31.5" x14ac:dyDescent="0.35">
      <c r="A54" s="319" t="s">
        <v>427</v>
      </c>
      <c r="B54" s="168" t="s">
        <v>430</v>
      </c>
      <c r="C54" s="168" t="s">
        <v>343</v>
      </c>
      <c r="D54" s="311">
        <v>1</v>
      </c>
      <c r="E54" s="311">
        <v>13800</v>
      </c>
      <c r="F54" s="312">
        <v>501</v>
      </c>
      <c r="G54" s="372">
        <v>13800</v>
      </c>
      <c r="H54" s="311">
        <v>115</v>
      </c>
      <c r="I54" s="260">
        <v>1000</v>
      </c>
      <c r="J54" s="168" t="s">
        <v>405</v>
      </c>
      <c r="K54" s="40"/>
      <c r="L54" s="40"/>
      <c r="M54" s="40"/>
      <c r="N54" s="40"/>
    </row>
    <row r="55" spans="1:14" ht="31.5" x14ac:dyDescent="0.35">
      <c r="A55" s="319" t="s">
        <v>427</v>
      </c>
      <c r="B55" s="168" t="s">
        <v>344</v>
      </c>
      <c r="C55" s="168" t="s">
        <v>345</v>
      </c>
      <c r="D55" s="311">
        <v>1</v>
      </c>
      <c r="E55" s="372">
        <v>13800</v>
      </c>
      <c r="F55" s="312">
        <v>501</v>
      </c>
      <c r="G55" s="372">
        <v>13800</v>
      </c>
      <c r="H55" s="311">
        <v>115</v>
      </c>
      <c r="I55" s="260">
        <v>1000</v>
      </c>
      <c r="J55" s="168" t="s">
        <v>405</v>
      </c>
      <c r="K55" s="40"/>
      <c r="L55" s="40"/>
      <c r="M55" s="40"/>
      <c r="N55" s="40"/>
    </row>
    <row r="56" spans="1:14" x14ac:dyDescent="0.35">
      <c r="J56" s="40"/>
      <c r="K56" s="40"/>
      <c r="L56" s="40"/>
      <c r="M56" s="40"/>
      <c r="N56" s="40"/>
    </row>
    <row r="57" spans="1:14" ht="21.75" thickBot="1" x14ac:dyDescent="0.4">
      <c r="J57" s="40"/>
      <c r="K57" s="40"/>
      <c r="L57" s="40"/>
      <c r="M57" s="40"/>
      <c r="N57" s="40"/>
    </row>
    <row r="58" spans="1:14" ht="21.75" customHeight="1" thickBot="1" x14ac:dyDescent="0.4">
      <c r="A58" s="539" t="s">
        <v>346</v>
      </c>
      <c r="B58" s="540"/>
      <c r="C58" s="540"/>
      <c r="D58" s="540"/>
      <c r="E58" s="540"/>
      <c r="F58" s="541"/>
      <c r="J58" s="40"/>
      <c r="K58" s="40"/>
      <c r="L58" s="40"/>
      <c r="M58" s="40"/>
      <c r="N58" s="40"/>
    </row>
    <row r="59" spans="1:14" ht="32.25" thickBot="1" x14ac:dyDescent="0.4">
      <c r="A59" s="44" t="s">
        <v>115</v>
      </c>
      <c r="B59" s="44" t="s">
        <v>320</v>
      </c>
      <c r="C59" s="44" t="s">
        <v>273</v>
      </c>
      <c r="D59" s="44" t="s">
        <v>240</v>
      </c>
      <c r="E59" s="310" t="s">
        <v>351</v>
      </c>
      <c r="F59" s="44" t="s">
        <v>132</v>
      </c>
      <c r="J59" s="40"/>
      <c r="K59" s="40"/>
      <c r="L59" s="40"/>
      <c r="M59" s="40"/>
      <c r="N59" s="40"/>
    </row>
    <row r="60" spans="1:14" ht="31.5" x14ac:dyDescent="0.35">
      <c r="A60" s="319" t="s">
        <v>427</v>
      </c>
      <c r="B60" s="168" t="s">
        <v>353</v>
      </c>
      <c r="C60" s="168" t="s">
        <v>354</v>
      </c>
      <c r="D60" s="311">
        <v>1</v>
      </c>
      <c r="E60" s="311" t="s">
        <v>352</v>
      </c>
      <c r="F60" s="168" t="s">
        <v>355</v>
      </c>
      <c r="J60" s="40"/>
      <c r="K60" s="40"/>
      <c r="L60" s="40"/>
      <c r="M60" s="40"/>
      <c r="N60" s="40"/>
    </row>
    <row r="61" spans="1:14" x14ac:dyDescent="0.35">
      <c r="J61" s="40"/>
      <c r="K61" s="40"/>
      <c r="L61" s="40"/>
      <c r="M61" s="40"/>
      <c r="N61" s="40"/>
    </row>
    <row r="62" spans="1:14" ht="21.75" thickBot="1" x14ac:dyDescent="0.4">
      <c r="J62" s="40"/>
      <c r="K62" s="40"/>
      <c r="L62" s="40"/>
      <c r="M62" s="40"/>
      <c r="N62" s="40"/>
    </row>
    <row r="63" spans="1:14" ht="21.75" customHeight="1" thickBot="1" x14ac:dyDescent="0.4">
      <c r="A63" s="539" t="s">
        <v>347</v>
      </c>
      <c r="B63" s="540"/>
      <c r="C63" s="540"/>
      <c r="D63" s="540"/>
      <c r="E63" s="540"/>
      <c r="F63" s="541"/>
      <c r="J63" s="40"/>
      <c r="K63" s="40"/>
      <c r="L63" s="40"/>
      <c r="M63" s="40"/>
      <c r="N63" s="40"/>
    </row>
    <row r="64" spans="1:14" ht="32.25" thickBot="1" x14ac:dyDescent="0.4">
      <c r="A64" s="44" t="s">
        <v>115</v>
      </c>
      <c r="B64" s="44" t="s">
        <v>320</v>
      </c>
      <c r="C64" s="44" t="s">
        <v>273</v>
      </c>
      <c r="D64" s="44" t="s">
        <v>240</v>
      </c>
      <c r="E64" s="310" t="s">
        <v>351</v>
      </c>
      <c r="F64" s="44" t="s">
        <v>132</v>
      </c>
      <c r="J64" s="40"/>
      <c r="K64" s="40"/>
      <c r="L64" s="40"/>
      <c r="M64" s="40"/>
      <c r="N64" s="40"/>
    </row>
    <row r="65" spans="1:14" ht="31.5" x14ac:dyDescent="0.35">
      <c r="A65" s="168" t="s">
        <v>398</v>
      </c>
      <c r="B65" s="168" t="s">
        <v>350</v>
      </c>
      <c r="C65" s="168" t="s">
        <v>349</v>
      </c>
      <c r="D65" s="311">
        <v>1</v>
      </c>
      <c r="E65" s="311" t="s">
        <v>352</v>
      </c>
      <c r="F65" s="168" t="s">
        <v>348</v>
      </c>
      <c r="J65" s="40"/>
      <c r="K65" s="40"/>
      <c r="L65" s="40"/>
      <c r="M65" s="40"/>
      <c r="N65" s="40"/>
    </row>
    <row r="66" spans="1:14" x14ac:dyDescent="0.35">
      <c r="J66" s="40"/>
      <c r="K66" s="40"/>
      <c r="L66" s="40"/>
      <c r="M66" s="40"/>
      <c r="N66" s="40"/>
    </row>
    <row r="67" spans="1:14" ht="21.75" thickBot="1" x14ac:dyDescent="0.4">
      <c r="J67" s="40"/>
      <c r="K67" s="40"/>
      <c r="L67" s="40"/>
      <c r="M67" s="40"/>
      <c r="N67" s="40"/>
    </row>
    <row r="68" spans="1:14" ht="21.75" thickBot="1" x14ac:dyDescent="0.4">
      <c r="A68" s="539" t="s">
        <v>369</v>
      </c>
      <c r="B68" s="540"/>
      <c r="C68" s="540"/>
      <c r="D68" s="540"/>
      <c r="E68" s="540"/>
      <c r="F68" s="541"/>
      <c r="J68" s="40"/>
      <c r="K68" s="40"/>
      <c r="L68" s="40"/>
      <c r="M68" s="40"/>
      <c r="N68" s="40"/>
    </row>
    <row r="69" spans="1:14" ht="32.25" thickBot="1" x14ac:dyDescent="0.4">
      <c r="A69" s="44" t="s">
        <v>115</v>
      </c>
      <c r="B69" s="44" t="s">
        <v>320</v>
      </c>
      <c r="C69" s="44" t="s">
        <v>273</v>
      </c>
      <c r="D69" s="44" t="s">
        <v>240</v>
      </c>
      <c r="E69" s="310" t="s">
        <v>351</v>
      </c>
      <c r="F69" s="44" t="s">
        <v>132</v>
      </c>
      <c r="J69" s="40"/>
      <c r="K69" s="40"/>
      <c r="L69" s="40"/>
      <c r="M69" s="40"/>
      <c r="N69" s="40"/>
    </row>
    <row r="70" spans="1:14" ht="31.5" x14ac:dyDescent="0.35">
      <c r="A70" s="168" t="s">
        <v>398</v>
      </c>
      <c r="B70" s="168" t="s">
        <v>376</v>
      </c>
      <c r="C70" s="168" t="s">
        <v>370</v>
      </c>
      <c r="D70" s="311">
        <v>1</v>
      </c>
      <c r="E70" s="311" t="s">
        <v>371</v>
      </c>
      <c r="F70" s="168" t="s">
        <v>372</v>
      </c>
      <c r="J70" s="40"/>
      <c r="K70" s="40"/>
      <c r="L70" s="40"/>
      <c r="M70" s="40"/>
      <c r="N70" s="40"/>
    </row>
    <row r="71" spans="1:14" x14ac:dyDescent="0.35">
      <c r="J71" s="40"/>
      <c r="K71" s="40"/>
      <c r="L71" s="40"/>
      <c r="M71" s="40"/>
      <c r="N71" s="40"/>
    </row>
    <row r="72" spans="1:14" ht="21.75" thickBot="1" x14ac:dyDescent="0.4">
      <c r="J72" s="40"/>
      <c r="K72" s="40"/>
      <c r="L72" s="40"/>
      <c r="M72" s="40"/>
      <c r="N72" s="40"/>
    </row>
    <row r="73" spans="1:14" s="20" customFormat="1" ht="21.75" customHeight="1" thickBot="1" x14ac:dyDescent="0.4">
      <c r="A73" s="539" t="s">
        <v>377</v>
      </c>
      <c r="B73" s="540"/>
      <c r="C73" s="540"/>
      <c r="D73" s="540"/>
      <c r="E73" s="540"/>
      <c r="F73" s="540"/>
      <c r="G73" s="540"/>
      <c r="H73" s="540"/>
      <c r="I73" s="540"/>
      <c r="J73" s="540"/>
      <c r="K73" s="541"/>
      <c r="L73" s="324"/>
      <c r="M73" s="324"/>
      <c r="N73" s="324"/>
    </row>
    <row r="74" spans="1:14" ht="32.25" thickBot="1" x14ac:dyDescent="0.4">
      <c r="A74" s="44" t="s">
        <v>115</v>
      </c>
      <c r="B74" s="44" t="s">
        <v>320</v>
      </c>
      <c r="C74" s="44" t="s">
        <v>273</v>
      </c>
      <c r="D74" s="44" t="s">
        <v>240</v>
      </c>
      <c r="E74" s="316" t="s">
        <v>386</v>
      </c>
      <c r="F74" s="44" t="s">
        <v>378</v>
      </c>
      <c r="G74" s="318" t="s">
        <v>379</v>
      </c>
      <c r="H74" s="42" t="s">
        <v>380</v>
      </c>
      <c r="I74" s="318" t="s">
        <v>381</v>
      </c>
      <c r="J74" s="316" t="s">
        <v>351</v>
      </c>
      <c r="K74" s="42" t="s">
        <v>132</v>
      </c>
      <c r="L74" s="40"/>
      <c r="M74" s="40"/>
      <c r="N74" s="40"/>
    </row>
    <row r="75" spans="1:14" ht="31.5" x14ac:dyDescent="0.35">
      <c r="A75" s="168" t="s">
        <v>398</v>
      </c>
      <c r="B75" s="168" t="s">
        <v>387</v>
      </c>
      <c r="C75" s="168" t="s">
        <v>388</v>
      </c>
      <c r="D75" s="317">
        <v>1</v>
      </c>
      <c r="E75" s="317">
        <v>500</v>
      </c>
      <c r="F75" s="168" t="s">
        <v>385</v>
      </c>
      <c r="G75" s="317" t="s">
        <v>384</v>
      </c>
      <c r="H75" s="317" t="s">
        <v>383</v>
      </c>
      <c r="I75" s="168" t="s">
        <v>382</v>
      </c>
      <c r="J75" s="317" t="s">
        <v>371</v>
      </c>
      <c r="K75" s="317">
        <v>14543074</v>
      </c>
      <c r="L75" s="40"/>
      <c r="M75" s="40"/>
      <c r="N75" s="40"/>
    </row>
    <row r="76" spans="1:14" x14ac:dyDescent="0.35">
      <c r="J76" s="40"/>
      <c r="K76" s="40"/>
      <c r="L76" s="40"/>
      <c r="M76" s="40"/>
      <c r="N76" s="40"/>
    </row>
    <row r="77" spans="1:14" ht="21.75" thickBot="1" x14ac:dyDescent="0.4">
      <c r="J77" s="40"/>
      <c r="K77" s="40"/>
      <c r="L77" s="40"/>
      <c r="M77" s="40"/>
      <c r="N77" s="40"/>
    </row>
    <row r="78" spans="1:14" ht="21.75" thickBot="1" x14ac:dyDescent="0.4">
      <c r="A78" s="539" t="s">
        <v>389</v>
      </c>
      <c r="B78" s="540"/>
      <c r="C78" s="540"/>
      <c r="D78" s="540"/>
      <c r="E78" s="540"/>
      <c r="F78" s="540"/>
      <c r="G78" s="540"/>
      <c r="H78" s="540"/>
      <c r="I78" s="540"/>
      <c r="J78" s="540"/>
      <c r="K78" s="541"/>
      <c r="L78" s="40"/>
      <c r="M78" s="40"/>
      <c r="N78" s="40"/>
    </row>
    <row r="79" spans="1:14" ht="32.25" thickBot="1" x14ac:dyDescent="0.4">
      <c r="A79" s="44" t="s">
        <v>115</v>
      </c>
      <c r="B79" s="44" t="s">
        <v>320</v>
      </c>
      <c r="C79" s="44" t="s">
        <v>273</v>
      </c>
      <c r="D79" s="44" t="s">
        <v>240</v>
      </c>
      <c r="E79" s="316" t="s">
        <v>386</v>
      </c>
      <c r="F79" s="44" t="s">
        <v>378</v>
      </c>
      <c r="G79" s="318" t="s">
        <v>379</v>
      </c>
      <c r="H79" s="42" t="s">
        <v>380</v>
      </c>
      <c r="I79" s="318" t="s">
        <v>381</v>
      </c>
      <c r="J79" s="316" t="s">
        <v>351</v>
      </c>
      <c r="K79" s="42" t="s">
        <v>132</v>
      </c>
      <c r="L79" s="40"/>
      <c r="M79" s="40"/>
      <c r="N79" s="40"/>
    </row>
    <row r="80" spans="1:14" ht="33.75" x14ac:dyDescent="0.35">
      <c r="A80" s="168" t="s">
        <v>398</v>
      </c>
      <c r="B80" s="168" t="s">
        <v>394</v>
      </c>
      <c r="C80" s="168" t="s">
        <v>390</v>
      </c>
      <c r="D80" s="317">
        <v>1</v>
      </c>
      <c r="E80" s="317">
        <v>15</v>
      </c>
      <c r="F80" s="168" t="s">
        <v>385</v>
      </c>
      <c r="G80" s="317" t="s">
        <v>391</v>
      </c>
      <c r="H80" s="317" t="s">
        <v>383</v>
      </c>
      <c r="I80" s="168" t="s">
        <v>382</v>
      </c>
      <c r="J80" s="317" t="s">
        <v>393</v>
      </c>
      <c r="K80" s="325" t="s">
        <v>392</v>
      </c>
      <c r="L80" s="40"/>
      <c r="M80" s="40"/>
      <c r="N80" s="40"/>
    </row>
    <row r="81" spans="10:14" x14ac:dyDescent="0.35">
      <c r="J81" s="40"/>
      <c r="K81" s="40"/>
      <c r="L81" s="40"/>
      <c r="M81" s="40"/>
      <c r="N81" s="40"/>
    </row>
    <row r="82" spans="10:14" x14ac:dyDescent="0.35">
      <c r="J82" s="40"/>
      <c r="K82" s="40"/>
      <c r="L82" s="40"/>
      <c r="M82" s="40"/>
      <c r="N82" s="40"/>
    </row>
    <row r="83" spans="10:14" x14ac:dyDescent="0.35">
      <c r="J83" s="40"/>
      <c r="K83" s="40"/>
      <c r="L83" s="40"/>
      <c r="M83" s="40"/>
      <c r="N83" s="40"/>
    </row>
    <row r="84" spans="10:14" x14ac:dyDescent="0.35">
      <c r="J84" s="40"/>
      <c r="K84" s="40"/>
      <c r="L84" s="40"/>
      <c r="M84" s="40"/>
      <c r="N84" s="40"/>
    </row>
    <row r="85" spans="10:14" x14ac:dyDescent="0.35">
      <c r="J85" s="40"/>
      <c r="K85" s="40"/>
      <c r="L85" s="40"/>
      <c r="M85" s="40"/>
      <c r="N85" s="40"/>
    </row>
    <row r="86" spans="10:14" x14ac:dyDescent="0.35">
      <c r="J86" s="40"/>
      <c r="K86" s="40"/>
      <c r="L86" s="40"/>
      <c r="M86" s="40"/>
      <c r="N86" s="40"/>
    </row>
    <row r="87" spans="10:14" x14ac:dyDescent="0.35">
      <c r="J87" s="40"/>
      <c r="K87" s="40"/>
      <c r="L87" s="40"/>
      <c r="M87" s="40"/>
      <c r="N87" s="40"/>
    </row>
    <row r="88" spans="10:14" x14ac:dyDescent="0.35">
      <c r="J88" s="40"/>
      <c r="K88" s="40"/>
      <c r="L88" s="40"/>
      <c r="M88" s="40"/>
      <c r="N88" s="40"/>
    </row>
    <row r="89" spans="10:14" x14ac:dyDescent="0.35">
      <c r="J89" s="40"/>
      <c r="K89" s="40"/>
      <c r="L89" s="40"/>
      <c r="M89" s="40"/>
      <c r="N89" s="40"/>
    </row>
    <row r="90" spans="10:14" x14ac:dyDescent="0.35">
      <c r="J90" s="40"/>
      <c r="K90" s="40"/>
      <c r="L90" s="40"/>
      <c r="M90" s="40"/>
      <c r="N90" s="40"/>
    </row>
    <row r="91" spans="10:14" x14ac:dyDescent="0.35">
      <c r="J91" s="40"/>
      <c r="K91" s="40"/>
      <c r="L91" s="40"/>
      <c r="M91" s="40"/>
      <c r="N91" s="40"/>
    </row>
    <row r="92" spans="10:14" x14ac:dyDescent="0.35">
      <c r="J92" s="40"/>
      <c r="K92" s="40"/>
      <c r="L92" s="40"/>
      <c r="M92" s="40"/>
      <c r="N92" s="40"/>
    </row>
    <row r="93" spans="10:14" x14ac:dyDescent="0.35">
      <c r="J93" s="40"/>
      <c r="K93" s="40"/>
      <c r="L93" s="40"/>
      <c r="M93" s="40"/>
      <c r="N93" s="40"/>
    </row>
    <row r="94" spans="10:14" x14ac:dyDescent="0.35">
      <c r="J94" s="40"/>
      <c r="K94" s="40"/>
      <c r="L94" s="40"/>
      <c r="M94" s="40"/>
      <c r="N94" s="40"/>
    </row>
    <row r="95" spans="10:14" x14ac:dyDescent="0.35">
      <c r="J95" s="40"/>
      <c r="K95" s="40"/>
      <c r="L95" s="40"/>
      <c r="M95" s="40"/>
      <c r="N95" s="40"/>
    </row>
    <row r="96" spans="10:14" x14ac:dyDescent="0.35">
      <c r="J96" s="40"/>
      <c r="K96" s="40"/>
      <c r="L96" s="40"/>
      <c r="M96" s="40"/>
      <c r="N96" s="40"/>
    </row>
    <row r="97" spans="10:14" x14ac:dyDescent="0.35">
      <c r="J97" s="40"/>
      <c r="K97" s="40"/>
      <c r="L97" s="40"/>
      <c r="M97" s="40"/>
      <c r="N97" s="40"/>
    </row>
    <row r="98" spans="10:14" x14ac:dyDescent="0.35">
      <c r="J98" s="40"/>
      <c r="K98" s="40"/>
      <c r="L98" s="40"/>
      <c r="M98" s="40"/>
      <c r="N98" s="40"/>
    </row>
    <row r="99" spans="10:14" x14ac:dyDescent="0.35">
      <c r="J99" s="40"/>
      <c r="K99" s="40"/>
      <c r="L99" s="40"/>
      <c r="M99" s="40"/>
      <c r="N99" s="40"/>
    </row>
    <row r="100" spans="10:14" x14ac:dyDescent="0.35">
      <c r="J100" s="40"/>
      <c r="K100" s="40"/>
      <c r="L100" s="40"/>
      <c r="M100" s="40"/>
      <c r="N100" s="40"/>
    </row>
    <row r="101" spans="10:14" x14ac:dyDescent="0.35">
      <c r="J101" s="40"/>
      <c r="K101" s="40"/>
      <c r="L101" s="40"/>
      <c r="M101" s="40"/>
      <c r="N101" s="40"/>
    </row>
    <row r="102" spans="10:14" x14ac:dyDescent="0.35">
      <c r="J102" s="40"/>
      <c r="K102" s="40"/>
      <c r="L102" s="40"/>
      <c r="M102" s="40"/>
      <c r="N102" s="40"/>
    </row>
    <row r="103" spans="10:14" x14ac:dyDescent="0.35">
      <c r="J103" s="40"/>
      <c r="K103" s="40"/>
      <c r="L103" s="40"/>
      <c r="M103" s="40"/>
      <c r="N103" s="40"/>
    </row>
    <row r="104" spans="10:14" x14ac:dyDescent="0.35">
      <c r="J104" s="40"/>
      <c r="K104" s="40"/>
      <c r="L104" s="40"/>
      <c r="M104" s="40"/>
      <c r="N104" s="40"/>
    </row>
    <row r="105" spans="10:14" x14ac:dyDescent="0.35">
      <c r="J105" s="40"/>
      <c r="K105" s="40"/>
      <c r="L105" s="40"/>
      <c r="M105" s="40"/>
      <c r="N105" s="40"/>
    </row>
    <row r="106" spans="10:14" x14ac:dyDescent="0.35">
      <c r="J106" s="40"/>
      <c r="K106" s="40"/>
      <c r="L106" s="40"/>
      <c r="M106" s="40"/>
      <c r="N106" s="40"/>
    </row>
    <row r="107" spans="10:14" x14ac:dyDescent="0.35">
      <c r="J107" s="40"/>
      <c r="K107" s="40"/>
      <c r="L107" s="40"/>
      <c r="M107" s="40"/>
      <c r="N107" s="40"/>
    </row>
    <row r="108" spans="10:14" x14ac:dyDescent="0.35">
      <c r="J108" s="40"/>
      <c r="K108" s="40"/>
      <c r="L108" s="40"/>
      <c r="M108" s="40"/>
      <c r="N108" s="40"/>
    </row>
  </sheetData>
  <mergeCells count="28">
    <mergeCell ref="A41:L41"/>
    <mergeCell ref="A2:D2"/>
    <mergeCell ref="E2:F2"/>
    <mergeCell ref="G2:N2"/>
    <mergeCell ref="A14:Q14"/>
    <mergeCell ref="J36:N36"/>
    <mergeCell ref="E36:F36"/>
    <mergeCell ref="A36:D36"/>
    <mergeCell ref="G36:I36"/>
    <mergeCell ref="A35:N35"/>
    <mergeCell ref="A1:N1"/>
    <mergeCell ref="A28:D28"/>
    <mergeCell ref="E28:F28"/>
    <mergeCell ref="G28:O28"/>
    <mergeCell ref="A27:O27"/>
    <mergeCell ref="A15:D15"/>
    <mergeCell ref="E15:F15"/>
    <mergeCell ref="G15:Q15"/>
    <mergeCell ref="A73:K73"/>
    <mergeCell ref="A78:K78"/>
    <mergeCell ref="A50:D50"/>
    <mergeCell ref="A42:D42"/>
    <mergeCell ref="E42:L42"/>
    <mergeCell ref="E50:J50"/>
    <mergeCell ref="A49:J49"/>
    <mergeCell ref="A63:F63"/>
    <mergeCell ref="A58:F58"/>
    <mergeCell ref="A68:F68"/>
  </mergeCells>
  <phoneticPr fontId="5" type="noConversion"/>
  <hyperlinks>
    <hyperlink ref="K80" r:id="rId1" xr:uid="{FDBE414A-4CC5-4918-AFFC-B452ACD5FB45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4397F-3043-4714-B3B8-2D37617F17AE}">
  <dimension ref="A1:E20"/>
  <sheetViews>
    <sheetView tabSelected="1" zoomScale="160" zoomScaleNormal="160" workbookViewId="0">
      <selection activeCell="C5" sqref="C5"/>
    </sheetView>
  </sheetViews>
  <sheetFormatPr defaultRowHeight="15" x14ac:dyDescent="0.25"/>
  <cols>
    <col min="1" max="1" width="9.26953125" style="555" customWidth="1"/>
    <col min="2" max="2" width="21.7265625" style="554" customWidth="1"/>
    <col min="3" max="3" width="10.453125" style="555" customWidth="1"/>
    <col min="4" max="4" width="11.7265625" style="555" customWidth="1"/>
    <col min="5" max="5" width="11.90625" style="555" customWidth="1"/>
    <col min="6" max="16384" width="8.7265625" style="554"/>
  </cols>
  <sheetData>
    <row r="1" spans="1:5" ht="30.75" thickBot="1" x14ac:dyDescent="0.3">
      <c r="A1" s="559"/>
      <c r="B1" s="558" t="s">
        <v>467</v>
      </c>
      <c r="C1" s="556" t="s">
        <v>468</v>
      </c>
      <c r="D1" s="556" t="s">
        <v>469</v>
      </c>
      <c r="E1" s="557" t="s">
        <v>470</v>
      </c>
    </row>
    <row r="2" spans="1:5" ht="20.100000000000001" customHeight="1" x14ac:dyDescent="0.25">
      <c r="A2" s="568" t="s">
        <v>471</v>
      </c>
      <c r="B2" s="578" t="s">
        <v>472</v>
      </c>
      <c r="C2" s="579">
        <v>432</v>
      </c>
      <c r="D2" s="580">
        <v>1000</v>
      </c>
      <c r="E2" s="581">
        <f>C2*D2</f>
        <v>432000</v>
      </c>
    </row>
    <row r="3" spans="1:5" ht="20.100000000000001" customHeight="1" thickBot="1" x14ac:dyDescent="0.3">
      <c r="A3" s="569"/>
      <c r="B3" s="582" t="s">
        <v>473</v>
      </c>
      <c r="C3" s="583">
        <v>432</v>
      </c>
      <c r="D3" s="583">
        <v>50</v>
      </c>
      <c r="E3" s="584">
        <f>C3*D3</f>
        <v>21600</v>
      </c>
    </row>
    <row r="4" spans="1:5" ht="20.100000000000001" customHeight="1" thickBot="1" x14ac:dyDescent="0.3">
      <c r="A4" s="570" t="s">
        <v>474</v>
      </c>
      <c r="B4" s="609" t="s">
        <v>475</v>
      </c>
      <c r="C4" s="610">
        <v>3</v>
      </c>
      <c r="D4" s="611">
        <v>32000</v>
      </c>
      <c r="E4" s="612">
        <v>96000</v>
      </c>
    </row>
    <row r="5" spans="1:5" ht="45.75" thickBot="1" x14ac:dyDescent="0.3">
      <c r="A5" s="571" t="s">
        <v>176</v>
      </c>
      <c r="B5" s="585" t="s">
        <v>476</v>
      </c>
      <c r="C5" s="586" t="s">
        <v>246</v>
      </c>
      <c r="D5" s="587">
        <v>110000</v>
      </c>
      <c r="E5" s="588">
        <v>110000</v>
      </c>
    </row>
    <row r="6" spans="1:5" ht="20.100000000000001" customHeight="1" thickBot="1" x14ac:dyDescent="0.3">
      <c r="A6" s="566"/>
      <c r="B6" s="589" t="s">
        <v>477</v>
      </c>
      <c r="C6" s="590" t="s">
        <v>246</v>
      </c>
      <c r="D6" s="591">
        <v>50000</v>
      </c>
      <c r="E6" s="592">
        <v>50000</v>
      </c>
    </row>
    <row r="7" spans="1:5" ht="20.100000000000001" customHeight="1" thickBot="1" x14ac:dyDescent="0.3">
      <c r="A7" s="572"/>
      <c r="B7" s="593" t="s">
        <v>478</v>
      </c>
      <c r="C7" s="594" t="s">
        <v>246</v>
      </c>
      <c r="D7" s="595">
        <v>10000</v>
      </c>
      <c r="E7" s="596">
        <v>10000</v>
      </c>
    </row>
    <row r="8" spans="1:5" ht="20.100000000000001" customHeight="1" x14ac:dyDescent="0.25">
      <c r="A8" s="573" t="s">
        <v>479</v>
      </c>
      <c r="B8" s="597" t="s">
        <v>480</v>
      </c>
      <c r="C8" s="598" t="s">
        <v>246</v>
      </c>
      <c r="D8" s="599">
        <v>10000</v>
      </c>
      <c r="E8" s="600">
        <v>10000</v>
      </c>
    </row>
    <row r="9" spans="1:5" ht="20.100000000000001" customHeight="1" thickBot="1" x14ac:dyDescent="0.3">
      <c r="A9" s="574"/>
      <c r="B9" s="601" t="s">
        <v>481</v>
      </c>
      <c r="C9" s="602" t="s">
        <v>246</v>
      </c>
      <c r="D9" s="603">
        <v>10000</v>
      </c>
      <c r="E9" s="604">
        <v>10000</v>
      </c>
    </row>
    <row r="10" spans="1:5" ht="20.100000000000001" customHeight="1" x14ac:dyDescent="0.25">
      <c r="A10" s="573" t="s">
        <v>482</v>
      </c>
      <c r="B10" s="597" t="s">
        <v>483</v>
      </c>
      <c r="C10" s="598">
        <v>432</v>
      </c>
      <c r="D10" s="598">
        <v>50</v>
      </c>
      <c r="E10" s="600">
        <v>21600</v>
      </c>
    </row>
    <row r="11" spans="1:5" ht="20.100000000000001" customHeight="1" x14ac:dyDescent="0.25">
      <c r="A11" s="567"/>
      <c r="B11" s="605" t="s">
        <v>484</v>
      </c>
      <c r="C11" s="606">
        <v>3</v>
      </c>
      <c r="D11" s="607">
        <v>3000</v>
      </c>
      <c r="E11" s="608">
        <v>9000</v>
      </c>
    </row>
    <row r="12" spans="1:5" ht="20.100000000000001" customHeight="1" x14ac:dyDescent="0.25">
      <c r="A12" s="567"/>
      <c r="B12" s="605" t="s">
        <v>485</v>
      </c>
      <c r="C12" s="606" t="s">
        <v>246</v>
      </c>
      <c r="D12" s="607">
        <v>15000</v>
      </c>
      <c r="E12" s="608">
        <v>15000</v>
      </c>
    </row>
    <row r="13" spans="1:5" ht="20.100000000000001" customHeight="1" thickBot="1" x14ac:dyDescent="0.3">
      <c r="A13" s="574"/>
      <c r="B13" s="601" t="s">
        <v>486</v>
      </c>
      <c r="C13" s="602" t="s">
        <v>246</v>
      </c>
      <c r="D13" s="603">
        <v>5000</v>
      </c>
      <c r="E13" s="604">
        <v>5000</v>
      </c>
    </row>
    <row r="14" spans="1:5" ht="20.100000000000001" customHeight="1" x14ac:dyDescent="0.25">
      <c r="A14" s="573" t="s">
        <v>487</v>
      </c>
      <c r="B14" s="597" t="s">
        <v>488</v>
      </c>
      <c r="C14" s="598" t="s">
        <v>246</v>
      </c>
      <c r="D14" s="599">
        <v>500000</v>
      </c>
      <c r="E14" s="600">
        <v>500000</v>
      </c>
    </row>
    <row r="15" spans="1:5" ht="20.100000000000001" customHeight="1" thickBot="1" x14ac:dyDescent="0.3">
      <c r="A15" s="574"/>
      <c r="B15" s="601" t="s">
        <v>489</v>
      </c>
      <c r="C15" s="602" t="s">
        <v>246</v>
      </c>
      <c r="D15" s="603">
        <v>100000</v>
      </c>
      <c r="E15" s="604">
        <v>100000</v>
      </c>
    </row>
    <row r="16" spans="1:5" ht="20.100000000000001" customHeight="1" thickBot="1" x14ac:dyDescent="0.3">
      <c r="A16" s="560"/>
      <c r="B16" s="575" t="s">
        <v>490</v>
      </c>
      <c r="C16" s="576"/>
      <c r="D16" s="576"/>
      <c r="E16" s="577">
        <f>SUM(E2:E15)</f>
        <v>1390200</v>
      </c>
    </row>
    <row r="17" spans="1:5" ht="20.100000000000001" customHeight="1" x14ac:dyDescent="0.25">
      <c r="A17" s="561"/>
      <c r="B17" s="562"/>
      <c r="C17" s="563"/>
      <c r="D17" s="563"/>
      <c r="E17" s="564"/>
    </row>
    <row r="18" spans="1:5" x14ac:dyDescent="0.25">
      <c r="A18" s="561"/>
      <c r="B18" s="565"/>
      <c r="C18" s="561"/>
      <c r="D18" s="561"/>
      <c r="E18" s="561"/>
    </row>
    <row r="19" spans="1:5" x14ac:dyDescent="0.25">
      <c r="A19" s="561"/>
      <c r="B19" s="565"/>
      <c r="C19" s="561"/>
      <c r="D19" s="561"/>
      <c r="E19" s="561"/>
    </row>
    <row r="20" spans="1:5" x14ac:dyDescent="0.25">
      <c r="A20" s="561"/>
      <c r="B20" s="565"/>
      <c r="C20" s="561"/>
      <c r="D20" s="561"/>
      <c r="E20" s="561"/>
    </row>
  </sheetData>
  <mergeCells count="5">
    <mergeCell ref="A2:A3"/>
    <mergeCell ref="A5:A7"/>
    <mergeCell ref="A8:A9"/>
    <mergeCell ref="A10:A13"/>
    <mergeCell ref="A14:A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3C33-C781-47CB-B4DA-F884375F51E4}">
  <dimension ref="A1:V35"/>
  <sheetViews>
    <sheetView zoomScale="75" zoomScaleNormal="75" workbookViewId="0">
      <selection activeCell="C19" sqref="C19"/>
    </sheetView>
  </sheetViews>
  <sheetFormatPr defaultRowHeight="21" x14ac:dyDescent="0.35"/>
  <cols>
    <col min="1" max="1" width="25" style="20" customWidth="1"/>
    <col min="2" max="2" width="18.453125" style="20" customWidth="1"/>
    <col min="3" max="3" width="16.36328125" style="20" customWidth="1"/>
    <col min="4" max="5" width="11.90625" style="20" customWidth="1"/>
    <col min="6" max="6" width="16.1796875" style="20" customWidth="1"/>
    <col min="7" max="7" width="11.90625" style="20" customWidth="1"/>
    <col min="8" max="8" width="21.26953125" style="20" customWidth="1"/>
    <col min="9" max="9" width="16.08984375" style="20" customWidth="1"/>
    <col min="10" max="10" width="11.08984375" customWidth="1"/>
    <col min="11" max="11" width="12.54296875" customWidth="1"/>
    <col min="12" max="12" width="12.1796875" customWidth="1"/>
    <col min="13" max="13" width="12.90625" customWidth="1"/>
    <col min="14" max="15" width="11.453125" customWidth="1"/>
    <col min="16" max="16" width="12.90625" customWidth="1"/>
    <col min="18" max="18" width="21.90625" customWidth="1"/>
    <col min="19" max="19" width="15" customWidth="1"/>
    <col min="20" max="20" width="39" customWidth="1"/>
  </cols>
  <sheetData>
    <row r="1" spans="1:20" ht="21.75" thickBot="1" x14ac:dyDescent="0.4">
      <c r="A1" s="421" t="s">
        <v>444</v>
      </c>
      <c r="B1" s="415">
        <v>6.3899999999999998E-2</v>
      </c>
      <c r="C1" s="17"/>
      <c r="D1" s="412" t="s">
        <v>452</v>
      </c>
      <c r="E1" s="408">
        <f>SUM(H14:H33)</f>
        <v>2572897.3062842134</v>
      </c>
      <c r="F1" s="17"/>
      <c r="G1" s="17"/>
      <c r="H1" s="17"/>
      <c r="I1" s="17"/>
      <c r="K1" s="427" t="s">
        <v>83</v>
      </c>
      <c r="L1" s="428"/>
      <c r="M1" s="428"/>
      <c r="N1" s="428"/>
      <c r="O1" s="428"/>
      <c r="P1" s="429"/>
      <c r="R1" s="225"/>
      <c r="S1" s="225"/>
      <c r="T1" s="225"/>
    </row>
    <row r="2" spans="1:20" ht="32.25" thickBot="1" x14ac:dyDescent="0.4">
      <c r="A2" s="422" t="s">
        <v>449</v>
      </c>
      <c r="B2" s="416">
        <v>0.12</v>
      </c>
      <c r="C2" s="18"/>
      <c r="D2" s="413" t="s">
        <v>442</v>
      </c>
      <c r="E2" s="409">
        <f>H34-B5</f>
        <v>-1390200</v>
      </c>
      <c r="F2" s="18"/>
      <c r="G2" s="18"/>
      <c r="H2" s="18"/>
      <c r="I2" s="18"/>
      <c r="K2" s="424" t="s">
        <v>6</v>
      </c>
      <c r="L2" s="44" t="s">
        <v>77</v>
      </c>
      <c r="M2" s="44" t="s">
        <v>78</v>
      </c>
      <c r="N2" s="44" t="s">
        <v>79</v>
      </c>
      <c r="O2" s="44" t="s">
        <v>79</v>
      </c>
      <c r="P2" s="44" t="s">
        <v>86</v>
      </c>
      <c r="R2" s="391"/>
      <c r="S2" s="391"/>
      <c r="T2" s="90"/>
    </row>
    <row r="3" spans="1:20" ht="21.75" thickBot="1" x14ac:dyDescent="0.4">
      <c r="A3" s="422" t="s">
        <v>448</v>
      </c>
      <c r="B3" s="410">
        <v>5.0500000000000003E-2</v>
      </c>
      <c r="C3" s="17"/>
      <c r="D3" s="413" t="s">
        <v>440</v>
      </c>
      <c r="E3" s="410">
        <f>IRR(G13:G33)</f>
        <v>0.2216278583348088</v>
      </c>
      <c r="F3" s="17"/>
      <c r="G3" s="17"/>
      <c r="H3" s="17"/>
      <c r="I3" s="17"/>
      <c r="K3" s="426"/>
      <c r="L3" s="42" t="s">
        <v>82</v>
      </c>
      <c r="M3" s="42" t="s">
        <v>82</v>
      </c>
      <c r="N3" s="42" t="s">
        <v>82</v>
      </c>
      <c r="O3" s="42" t="s">
        <v>80</v>
      </c>
      <c r="P3" s="42" t="s">
        <v>80</v>
      </c>
      <c r="R3" s="390"/>
      <c r="S3" s="341"/>
      <c r="T3" s="235"/>
    </row>
    <row r="4" spans="1:20" x14ac:dyDescent="0.35">
      <c r="A4" s="422" t="s">
        <v>445</v>
      </c>
      <c r="B4" s="417" t="s">
        <v>446</v>
      </c>
      <c r="C4" s="17"/>
      <c r="D4" s="413" t="s">
        <v>441</v>
      </c>
      <c r="E4" s="410">
        <f>SUM(H14:H33)/(B5)</f>
        <v>1.8507389629436148</v>
      </c>
      <c r="F4" s="17"/>
      <c r="G4" s="17"/>
      <c r="H4" s="17"/>
      <c r="I4" s="17"/>
      <c r="K4" s="104" t="s">
        <v>18</v>
      </c>
      <c r="L4" s="99">
        <v>45720</v>
      </c>
      <c r="M4" s="97">
        <v>39754.799999999996</v>
      </c>
      <c r="N4" s="97">
        <f>L4-M4</f>
        <v>5965.2000000000044</v>
      </c>
      <c r="O4" s="118">
        <f>(L4-M4)/L4</f>
        <v>0.13047244094488197</v>
      </c>
      <c r="P4" s="121">
        <v>0.86299999999999999</v>
      </c>
      <c r="R4" s="392"/>
      <c r="S4" s="393"/>
      <c r="T4" s="235"/>
    </row>
    <row r="5" spans="1:20" ht="21.75" thickBot="1" x14ac:dyDescent="0.4">
      <c r="A5" s="422" t="s">
        <v>447</v>
      </c>
      <c r="B5" s="418">
        <v>1390200</v>
      </c>
      <c r="C5" s="17"/>
      <c r="D5" s="414" t="s">
        <v>453</v>
      </c>
      <c r="E5" s="411" t="str">
        <f>ROUND(((-I20)/H21)+7, 2)&amp; " Anos"</f>
        <v>7,54 Anos</v>
      </c>
      <c r="F5" s="17"/>
      <c r="G5" s="17"/>
      <c r="H5" s="17"/>
      <c r="I5" s="17"/>
      <c r="J5" s="330"/>
      <c r="K5" s="102" t="s">
        <v>19</v>
      </c>
      <c r="L5" s="100">
        <v>40546</v>
      </c>
      <c r="M5" s="96">
        <v>29329.1</v>
      </c>
      <c r="N5" s="96">
        <f t="shared" ref="N5:N15" si="0">L5-M5</f>
        <v>11216.900000000001</v>
      </c>
      <c r="O5" s="117">
        <f t="shared" ref="O5:O16" si="1">(L5-M5)/L5</f>
        <v>0.27664627830118882</v>
      </c>
      <c r="P5" s="122">
        <v>0.86499999999999999</v>
      </c>
      <c r="R5" s="392"/>
      <c r="S5" s="393"/>
      <c r="T5" s="235"/>
    </row>
    <row r="6" spans="1:20" x14ac:dyDescent="0.35">
      <c r="A6" s="422" t="s">
        <v>454</v>
      </c>
      <c r="B6" s="418">
        <v>20000</v>
      </c>
      <c r="C6" s="17"/>
      <c r="D6" s="17"/>
      <c r="E6" s="17"/>
      <c r="F6" s="17"/>
      <c r="G6" s="17"/>
      <c r="H6" s="17"/>
      <c r="I6" s="17"/>
      <c r="J6" s="330"/>
      <c r="K6" s="102" t="s">
        <v>20</v>
      </c>
      <c r="L6" s="100">
        <v>47306</v>
      </c>
      <c r="M6" s="96">
        <v>36319.133999999998</v>
      </c>
      <c r="N6" s="96">
        <f t="shared" si="0"/>
        <v>10986.866000000002</v>
      </c>
      <c r="O6" s="117">
        <f t="shared" si="1"/>
        <v>0.23225100410095975</v>
      </c>
      <c r="P6" s="122">
        <v>0.86399999999999999</v>
      </c>
      <c r="R6" s="392"/>
      <c r="S6" s="394"/>
      <c r="T6" s="235"/>
    </row>
    <row r="7" spans="1:20" x14ac:dyDescent="0.35">
      <c r="A7" s="422" t="s">
        <v>455</v>
      </c>
      <c r="B7" s="418" t="s">
        <v>456</v>
      </c>
      <c r="C7" s="17"/>
      <c r="D7" s="17"/>
      <c r="E7" s="17"/>
      <c r="F7" s="397"/>
      <c r="G7" s="17"/>
      <c r="H7" s="17"/>
      <c r="I7" s="17"/>
      <c r="J7" s="330"/>
      <c r="K7" s="102" t="s">
        <v>21</v>
      </c>
      <c r="L7" s="100">
        <v>46827</v>
      </c>
      <c r="M7" s="96">
        <v>30607.500000000004</v>
      </c>
      <c r="N7" s="96">
        <f t="shared" si="0"/>
        <v>16219.499999999996</v>
      </c>
      <c r="O7" s="117">
        <f t="shared" si="1"/>
        <v>0.34637068357998585</v>
      </c>
      <c r="P7" s="122">
        <v>0.873</v>
      </c>
      <c r="R7" s="395"/>
      <c r="S7" s="394"/>
      <c r="T7" s="235"/>
    </row>
    <row r="8" spans="1:20" x14ac:dyDescent="0.35">
      <c r="A8" s="422" t="s">
        <v>457</v>
      </c>
      <c r="B8" s="410">
        <v>0.1</v>
      </c>
      <c r="C8" s="17"/>
      <c r="D8" s="17"/>
      <c r="E8" s="17"/>
      <c r="F8" s="17"/>
      <c r="G8" s="17"/>
      <c r="H8" s="17"/>
      <c r="I8" s="17"/>
      <c r="J8" s="330"/>
      <c r="K8" s="102" t="s">
        <v>22</v>
      </c>
      <c r="L8" s="100">
        <v>46371</v>
      </c>
      <c r="M8" s="96">
        <v>28397.300000000003</v>
      </c>
      <c r="N8" s="96">
        <f t="shared" si="0"/>
        <v>17973.699999999997</v>
      </c>
      <c r="O8" s="117">
        <f t="shared" si="1"/>
        <v>0.38760647818679772</v>
      </c>
      <c r="P8" s="122">
        <v>0.88900000000000001</v>
      </c>
      <c r="R8" s="395"/>
      <c r="S8" s="394"/>
      <c r="T8" s="235"/>
    </row>
    <row r="9" spans="1:20" x14ac:dyDescent="0.35">
      <c r="A9" s="422" t="s">
        <v>458</v>
      </c>
      <c r="B9" s="419" t="s">
        <v>459</v>
      </c>
      <c r="C9" s="17"/>
      <c r="D9" s="17"/>
      <c r="E9" s="17"/>
      <c r="F9" s="17"/>
      <c r="G9" s="17"/>
      <c r="H9" s="17"/>
      <c r="I9" s="17"/>
      <c r="J9" s="330"/>
      <c r="K9" s="102" t="s">
        <v>23</v>
      </c>
      <c r="L9" s="100">
        <v>41717</v>
      </c>
      <c r="M9" s="96">
        <v>25975.3</v>
      </c>
      <c r="N9" s="96">
        <f t="shared" si="0"/>
        <v>15741.7</v>
      </c>
      <c r="O9" s="117">
        <f t="shared" si="1"/>
        <v>0.37734496727952632</v>
      </c>
      <c r="P9" s="122">
        <v>0.89200000000000002</v>
      </c>
      <c r="R9" s="390"/>
      <c r="S9" s="341"/>
      <c r="T9" s="235"/>
    </row>
    <row r="10" spans="1:20" ht="21.75" thickBot="1" x14ac:dyDescent="0.4">
      <c r="A10" s="423" t="s">
        <v>460</v>
      </c>
      <c r="B10" s="420" t="s">
        <v>461</v>
      </c>
      <c r="C10" s="17"/>
      <c r="D10" s="17"/>
      <c r="E10" s="17"/>
      <c r="F10" s="17"/>
      <c r="G10" s="17"/>
      <c r="H10" s="17"/>
      <c r="I10" s="17"/>
      <c r="J10" s="330"/>
      <c r="K10" s="102" t="s">
        <v>24</v>
      </c>
      <c r="L10" s="100">
        <v>48017</v>
      </c>
      <c r="M10" s="96">
        <v>24341.1</v>
      </c>
      <c r="N10" s="96">
        <f t="shared" si="0"/>
        <v>23675.9</v>
      </c>
      <c r="O10" s="117">
        <f t="shared" si="1"/>
        <v>0.4930732865443489</v>
      </c>
      <c r="P10" s="122">
        <v>0.89400000000000002</v>
      </c>
      <c r="R10" s="390"/>
      <c r="S10" s="393"/>
      <c r="T10" s="235"/>
    </row>
    <row r="11" spans="1:20" ht="21.75" thickBot="1" x14ac:dyDescent="0.4">
      <c r="A11" s="398"/>
      <c r="B11" s="399"/>
      <c r="C11" s="399"/>
      <c r="D11" s="399"/>
      <c r="E11" s="399"/>
      <c r="F11" s="399"/>
      <c r="G11" s="399"/>
      <c r="H11" s="399"/>
      <c r="I11" s="399"/>
      <c r="J11" s="330"/>
      <c r="K11" s="102" t="s">
        <v>25</v>
      </c>
      <c r="L11" s="100">
        <v>48473</v>
      </c>
      <c r="M11" s="96">
        <v>32567.999999999996</v>
      </c>
      <c r="N11" s="96">
        <f t="shared" si="0"/>
        <v>15905.000000000004</v>
      </c>
      <c r="O11" s="117">
        <f t="shared" si="1"/>
        <v>0.32812080952282724</v>
      </c>
      <c r="P11" s="122">
        <v>0.88500000000000001</v>
      </c>
    </row>
    <row r="12" spans="1:20" ht="42" x14ac:dyDescent="0.35">
      <c r="A12" s="400" t="s">
        <v>30</v>
      </c>
      <c r="B12" s="401" t="s">
        <v>438</v>
      </c>
      <c r="C12" s="401" t="s">
        <v>443</v>
      </c>
      <c r="D12" s="401" t="s">
        <v>462</v>
      </c>
      <c r="E12" s="401" t="s">
        <v>463</v>
      </c>
      <c r="F12" s="401" t="s">
        <v>439</v>
      </c>
      <c r="G12" s="401" t="s">
        <v>464</v>
      </c>
      <c r="H12" s="401" t="s">
        <v>465</v>
      </c>
      <c r="I12" s="402" t="s">
        <v>466</v>
      </c>
      <c r="J12" s="330"/>
      <c r="K12" s="102" t="s">
        <v>26</v>
      </c>
      <c r="L12" s="100">
        <v>46749</v>
      </c>
      <c r="M12" s="96">
        <v>30805.599999999999</v>
      </c>
      <c r="N12" s="96">
        <f t="shared" si="0"/>
        <v>15943.400000000001</v>
      </c>
      <c r="O12" s="117">
        <f t="shared" si="1"/>
        <v>0.34104258914629193</v>
      </c>
      <c r="P12" s="122">
        <v>0.874</v>
      </c>
    </row>
    <row r="13" spans="1:20" x14ac:dyDescent="0.35">
      <c r="A13" s="403">
        <v>0</v>
      </c>
      <c r="B13" s="396"/>
      <c r="C13" s="396"/>
      <c r="D13" s="396"/>
      <c r="E13" s="396"/>
      <c r="F13" s="396"/>
      <c r="G13" s="396">
        <v>-1390200</v>
      </c>
      <c r="H13" s="396">
        <v>-1390200</v>
      </c>
      <c r="I13" s="404">
        <v>-1390200</v>
      </c>
      <c r="J13" s="330"/>
      <c r="K13" s="102" t="s">
        <v>27</v>
      </c>
      <c r="L13" s="100">
        <v>47431</v>
      </c>
      <c r="M13" s="96">
        <v>39047.144</v>
      </c>
      <c r="N13" s="96">
        <f t="shared" si="0"/>
        <v>8383.8559999999998</v>
      </c>
      <c r="O13" s="117">
        <f t="shared" si="1"/>
        <v>0.17675899728025973</v>
      </c>
      <c r="P13" s="122">
        <v>0.871</v>
      </c>
    </row>
    <row r="14" spans="1:20" x14ac:dyDescent="0.35">
      <c r="A14" s="403">
        <v>1</v>
      </c>
      <c r="B14" s="396">
        <v>523810</v>
      </c>
      <c r="C14" s="396">
        <v>100</v>
      </c>
      <c r="D14" s="396">
        <v>0.52639999999999998</v>
      </c>
      <c r="E14" s="396">
        <f t="shared" ref="E14:E33" si="2">B14*D14</f>
        <v>275733.58399999997</v>
      </c>
      <c r="F14" s="396">
        <v>20000</v>
      </c>
      <c r="G14" s="396">
        <f>E14-F14</f>
        <v>255733.58399999997</v>
      </c>
      <c r="H14" s="396">
        <f>PV(0.12,A14,,-G14)</f>
        <v>228333.55714285708</v>
      </c>
      <c r="I14" s="404">
        <f>I13+H14</f>
        <v>-1161866.442857143</v>
      </c>
      <c r="J14" s="330"/>
      <c r="K14" s="102" t="s">
        <v>28</v>
      </c>
      <c r="L14" s="100">
        <v>46679</v>
      </c>
      <c r="M14" s="96">
        <v>34860.5</v>
      </c>
      <c r="N14" s="96">
        <f t="shared" si="0"/>
        <v>11818.5</v>
      </c>
      <c r="O14" s="117">
        <f t="shared" si="1"/>
        <v>0.253186657811864</v>
      </c>
      <c r="P14" s="122">
        <v>0.87</v>
      </c>
      <c r="R14" s="8"/>
      <c r="S14" s="8"/>
      <c r="T14" s="8"/>
    </row>
    <row r="15" spans="1:20" ht="21.75" thickBot="1" x14ac:dyDescent="0.4">
      <c r="A15" s="403">
        <v>2</v>
      </c>
      <c r="B15" s="396">
        <f>$B$14*(C15/100)</f>
        <v>522238.57</v>
      </c>
      <c r="C15" s="396">
        <f>C14-0.3</f>
        <v>99.7</v>
      </c>
      <c r="D15" s="396">
        <f>(D14*(5.05/100))+D14</f>
        <v>0.55298320000000001</v>
      </c>
      <c r="E15" s="396">
        <f t="shared" si="2"/>
        <v>288789.155602024</v>
      </c>
      <c r="F15" s="396">
        <f>(F14*(6.39/100))+F14</f>
        <v>21278</v>
      </c>
      <c r="G15" s="396">
        <f t="shared" ref="G15:G33" si="3">E15-F15</f>
        <v>267511.155602024</v>
      </c>
      <c r="H15" s="396">
        <f t="shared" ref="H15:H33" si="4">PV(0.12,A15,,-G15)</f>
        <v>213258.25542253186</v>
      </c>
      <c r="I15" s="404">
        <f t="shared" ref="I15:I33" si="5">I14+H15</f>
        <v>-948608.18743461114</v>
      </c>
      <c r="J15" s="330"/>
      <c r="K15" s="103" t="s">
        <v>29</v>
      </c>
      <c r="L15" s="101">
        <v>46038</v>
      </c>
      <c r="M15" s="98">
        <v>34471.800000000003</v>
      </c>
      <c r="N15" s="98">
        <f t="shared" si="0"/>
        <v>11566.199999999997</v>
      </c>
      <c r="O15" s="119">
        <f t="shared" si="1"/>
        <v>0.25123159129414824</v>
      </c>
      <c r="P15" s="123">
        <v>0.86499999999999999</v>
      </c>
      <c r="R15" s="127"/>
      <c r="S15" s="127"/>
      <c r="T15" s="126"/>
    </row>
    <row r="16" spans="1:20" ht="21.75" thickBot="1" x14ac:dyDescent="0.4">
      <c r="A16" s="403">
        <v>3</v>
      </c>
      <c r="B16" s="396">
        <f t="shared" ref="B16:B33" si="6">$B$14*(C16/100)</f>
        <v>520667.14000000007</v>
      </c>
      <c r="C16" s="396">
        <f t="shared" ref="C16:C33" si="7">C15-0.3</f>
        <v>99.4</v>
      </c>
      <c r="D16" s="396">
        <f t="shared" ref="D16:D33" si="8">(D15*(5.05/100))+D15</f>
        <v>0.58090885160000005</v>
      </c>
      <c r="E16" s="396">
        <f t="shared" si="2"/>
        <v>302460.15036325651</v>
      </c>
      <c r="F16" s="396">
        <f>(F15*(6.39/100))+F15</f>
        <v>22637.664199999999</v>
      </c>
      <c r="G16" s="396">
        <f t="shared" si="3"/>
        <v>279822.48616325652</v>
      </c>
      <c r="H16" s="396">
        <f t="shared" si="4"/>
        <v>199172.11854504744</v>
      </c>
      <c r="I16" s="404">
        <f t="shared" si="5"/>
        <v>-749436.06888956367</v>
      </c>
      <c r="J16" s="330"/>
      <c r="K16" s="42" t="s">
        <v>30</v>
      </c>
      <c r="L16" s="120">
        <v>551874</v>
      </c>
      <c r="M16" s="89">
        <f>SUM(M4:M15)</f>
        <v>386477.27799999999</v>
      </c>
      <c r="N16" s="120">
        <f>SUM(N4:N15)</f>
        <v>165396.72200000001</v>
      </c>
      <c r="O16" s="125">
        <f t="shared" si="1"/>
        <v>0.29970015257105792</v>
      </c>
      <c r="P16" s="124">
        <v>0.875</v>
      </c>
      <c r="R16" s="127"/>
      <c r="S16" s="127"/>
      <c r="T16" s="126"/>
    </row>
    <row r="17" spans="1:22" x14ac:dyDescent="0.35">
      <c r="A17" s="403">
        <v>4</v>
      </c>
      <c r="B17" s="396">
        <f t="shared" si="6"/>
        <v>519095.71000000008</v>
      </c>
      <c r="C17" s="396">
        <f t="shared" si="7"/>
        <v>99.100000000000009</v>
      </c>
      <c r="D17" s="396">
        <f t="shared" si="8"/>
        <v>0.61024474860580002</v>
      </c>
      <c r="E17" s="396">
        <f t="shared" si="2"/>
        <v>316775.43105129933</v>
      </c>
      <c r="F17" s="396">
        <f t="shared" ref="F17:F33" si="9">(F16*(6.39/100))+F16</f>
        <v>24084.210942379999</v>
      </c>
      <c r="G17" s="396">
        <f t="shared" si="3"/>
        <v>292691.22010891931</v>
      </c>
      <c r="H17" s="396">
        <f t="shared" si="4"/>
        <v>186010.56176958588</v>
      </c>
      <c r="I17" s="404">
        <f t="shared" si="5"/>
        <v>-563425.50711997785</v>
      </c>
      <c r="J17" s="330"/>
      <c r="R17" s="127"/>
      <c r="S17" s="127"/>
      <c r="T17" s="126"/>
    </row>
    <row r="18" spans="1:22" x14ac:dyDescent="0.35">
      <c r="A18" s="403">
        <v>5</v>
      </c>
      <c r="B18" s="396">
        <f t="shared" si="6"/>
        <v>517524.28</v>
      </c>
      <c r="C18" s="396">
        <f t="shared" si="7"/>
        <v>98.800000000000011</v>
      </c>
      <c r="D18" s="396">
        <f t="shared" si="8"/>
        <v>0.64106210841039291</v>
      </c>
      <c r="E18" s="396">
        <f t="shared" si="2"/>
        <v>331765.20609037054</v>
      </c>
      <c r="F18" s="396">
        <f t="shared" si="9"/>
        <v>25623.192021598083</v>
      </c>
      <c r="G18" s="396">
        <f t="shared" si="3"/>
        <v>306142.01406877243</v>
      </c>
      <c r="H18" s="396">
        <f t="shared" si="4"/>
        <v>173713.20044640271</v>
      </c>
      <c r="I18" s="404">
        <f t="shared" si="5"/>
        <v>-389712.30667357513</v>
      </c>
      <c r="J18" s="330"/>
      <c r="R18" s="127"/>
      <c r="S18" s="127"/>
      <c r="T18" s="126"/>
    </row>
    <row r="19" spans="1:22" x14ac:dyDescent="0.35">
      <c r="A19" s="403">
        <v>6</v>
      </c>
      <c r="B19" s="396">
        <f t="shared" si="6"/>
        <v>515952.85000000003</v>
      </c>
      <c r="C19" s="396">
        <f t="shared" si="7"/>
        <v>98.500000000000014</v>
      </c>
      <c r="D19" s="396">
        <f t="shared" si="8"/>
        <v>0.6734357448851177</v>
      </c>
      <c r="E19" s="396">
        <f t="shared" si="2"/>
        <v>347461.09186534944</v>
      </c>
      <c r="F19" s="396">
        <f t="shared" si="9"/>
        <v>27260.5139917782</v>
      </c>
      <c r="G19" s="396">
        <f t="shared" si="3"/>
        <v>320200.57787357125</v>
      </c>
      <c r="H19" s="396">
        <f t="shared" si="4"/>
        <v>162223.57776971339</v>
      </c>
      <c r="I19" s="404">
        <f t="shared" si="5"/>
        <v>-227488.72890386175</v>
      </c>
      <c r="J19" s="330"/>
      <c r="R19" s="127"/>
      <c r="S19" s="127"/>
      <c r="T19" s="126"/>
    </row>
    <row r="20" spans="1:22" x14ac:dyDescent="0.35">
      <c r="A20" s="403">
        <v>7</v>
      </c>
      <c r="B20" s="396">
        <f t="shared" si="6"/>
        <v>514381.4200000001</v>
      </c>
      <c r="C20" s="396">
        <f t="shared" si="7"/>
        <v>98.200000000000017</v>
      </c>
      <c r="D20" s="396">
        <f t="shared" si="8"/>
        <v>0.7074442500018161</v>
      </c>
      <c r="E20" s="396">
        <f t="shared" si="2"/>
        <v>363896.17788676923</v>
      </c>
      <c r="F20" s="396">
        <f t="shared" si="9"/>
        <v>29002.460835852828</v>
      </c>
      <c r="G20" s="396">
        <f t="shared" si="3"/>
        <v>334893.7170509164</v>
      </c>
      <c r="H20" s="396">
        <f t="shared" si="4"/>
        <v>151488.91012923766</v>
      </c>
      <c r="I20" s="404">
        <f>I19+H20</f>
        <v>-75999.818774624087</v>
      </c>
      <c r="J20" s="330"/>
      <c r="R20" s="127"/>
      <c r="S20" s="127"/>
      <c r="T20" s="126"/>
      <c r="U20" s="9"/>
      <c r="V20" s="9"/>
    </row>
    <row r="21" spans="1:22" x14ac:dyDescent="0.35">
      <c r="A21" s="403">
        <v>8</v>
      </c>
      <c r="B21" s="396">
        <f t="shared" si="6"/>
        <v>512809.99000000011</v>
      </c>
      <c r="C21" s="396">
        <f t="shared" si="7"/>
        <v>97.90000000000002</v>
      </c>
      <c r="D21" s="396">
        <f t="shared" si="8"/>
        <v>0.74317018462690776</v>
      </c>
      <c r="E21" s="396">
        <f t="shared" si="2"/>
        <v>381105.09494682279</v>
      </c>
      <c r="F21" s="396">
        <f t="shared" si="9"/>
        <v>30855.718083263822</v>
      </c>
      <c r="G21" s="396">
        <f t="shared" si="3"/>
        <v>350249.37686355895</v>
      </c>
      <c r="H21" s="396">
        <f t="shared" si="4"/>
        <v>141459.84892541677</v>
      </c>
      <c r="I21" s="404">
        <f t="shared" si="5"/>
        <v>65460.030150792678</v>
      </c>
      <c r="J21" s="330"/>
      <c r="R21" s="127"/>
      <c r="S21" s="127"/>
      <c r="T21" s="126"/>
      <c r="U21" s="9"/>
      <c r="V21" s="9"/>
    </row>
    <row r="22" spans="1:22" x14ac:dyDescent="0.35">
      <c r="A22" s="403">
        <v>9</v>
      </c>
      <c r="B22" s="396">
        <f t="shared" si="6"/>
        <v>511238.56000000011</v>
      </c>
      <c r="C22" s="396">
        <f t="shared" si="7"/>
        <v>97.600000000000023</v>
      </c>
      <c r="D22" s="396">
        <f t="shared" si="8"/>
        <v>0.7807002789505666</v>
      </c>
      <c r="E22" s="396">
        <f t="shared" si="2"/>
        <v>399124.08640228608</v>
      </c>
      <c r="F22" s="396">
        <f t="shared" si="9"/>
        <v>32827.398468784384</v>
      </c>
      <c r="G22" s="396">
        <f t="shared" si="3"/>
        <v>366296.68793350167</v>
      </c>
      <c r="H22" s="396">
        <f t="shared" si="4"/>
        <v>132090.25778636988</v>
      </c>
      <c r="I22" s="404">
        <f>I21+H22</f>
        <v>197550.28793716256</v>
      </c>
      <c r="J22" s="330"/>
      <c r="R22" s="127"/>
      <c r="S22" s="127"/>
      <c r="T22" s="126"/>
      <c r="U22" s="9"/>
      <c r="V22" s="9"/>
    </row>
    <row r="23" spans="1:22" x14ac:dyDescent="0.35">
      <c r="A23" s="403">
        <v>10</v>
      </c>
      <c r="B23" s="396">
        <f t="shared" si="6"/>
        <v>509667.13000000018</v>
      </c>
      <c r="C23" s="396">
        <f t="shared" si="7"/>
        <v>97.300000000000026</v>
      </c>
      <c r="D23" s="396">
        <f t="shared" si="8"/>
        <v>0.82012564303757018</v>
      </c>
      <c r="E23" s="396">
        <f t="shared" si="2"/>
        <v>417991.08272636303</v>
      </c>
      <c r="F23" s="396">
        <f t="shared" si="9"/>
        <v>34925.069230939705</v>
      </c>
      <c r="G23" s="396">
        <f t="shared" si="3"/>
        <v>383066.01349542331</v>
      </c>
      <c r="H23" s="396">
        <f t="shared" si="4"/>
        <v>123337.00419301668</v>
      </c>
      <c r="I23" s="404">
        <f t="shared" si="5"/>
        <v>320887.29213017924</v>
      </c>
      <c r="J23" s="330"/>
      <c r="R23" s="127"/>
      <c r="S23" s="127"/>
      <c r="T23" s="126"/>
      <c r="U23" s="9"/>
      <c r="V23" s="9"/>
    </row>
    <row r="24" spans="1:22" x14ac:dyDescent="0.35">
      <c r="A24" s="403">
        <v>11</v>
      </c>
      <c r="B24" s="396">
        <f t="shared" si="6"/>
        <v>508095.70000000019</v>
      </c>
      <c r="C24" s="396">
        <f t="shared" si="7"/>
        <v>97.000000000000028</v>
      </c>
      <c r="D24" s="396">
        <f t="shared" si="8"/>
        <v>0.86154198801096749</v>
      </c>
      <c r="E24" s="396">
        <f t="shared" si="2"/>
        <v>437745.77947782428</v>
      </c>
      <c r="F24" s="396">
        <f t="shared" si="9"/>
        <v>37156.78115479675</v>
      </c>
      <c r="G24" s="396">
        <f t="shared" si="3"/>
        <v>400588.99832302751</v>
      </c>
      <c r="H24" s="396">
        <f t="shared" si="4"/>
        <v>115159.76458275896</v>
      </c>
      <c r="I24" s="404">
        <f t="shared" si="5"/>
        <v>436047.05671293818</v>
      </c>
      <c r="J24" s="330"/>
      <c r="R24" s="127"/>
      <c r="S24" s="127"/>
      <c r="T24" s="126"/>
      <c r="U24" s="9"/>
      <c r="V24" s="9"/>
    </row>
    <row r="25" spans="1:22" x14ac:dyDescent="0.35">
      <c r="A25" s="403">
        <v>12</v>
      </c>
      <c r="B25" s="396">
        <f t="shared" si="6"/>
        <v>506524.27000000014</v>
      </c>
      <c r="C25" s="396">
        <f t="shared" si="7"/>
        <v>96.700000000000031</v>
      </c>
      <c r="D25" s="396">
        <f t="shared" si="8"/>
        <v>0.90504985840552132</v>
      </c>
      <c r="E25" s="396">
        <f t="shared" si="2"/>
        <v>458429.71884246019</v>
      </c>
      <c r="F25" s="396">
        <f t="shared" si="9"/>
        <v>39531.099470588262</v>
      </c>
      <c r="G25" s="396">
        <f t="shared" si="3"/>
        <v>418898.61937187193</v>
      </c>
      <c r="H25" s="396">
        <f t="shared" si="4"/>
        <v>107520.84206197037</v>
      </c>
      <c r="I25" s="404">
        <f t="shared" si="5"/>
        <v>543567.89877490851</v>
      </c>
      <c r="J25" s="329"/>
      <c r="R25" s="127"/>
      <c r="S25" s="127"/>
      <c r="T25" s="126"/>
      <c r="U25" s="9"/>
      <c r="V25" s="9"/>
    </row>
    <row r="26" spans="1:22" x14ac:dyDescent="0.35">
      <c r="A26" s="403">
        <v>13</v>
      </c>
      <c r="B26" s="396">
        <f t="shared" si="6"/>
        <v>504952.84000000014</v>
      </c>
      <c r="C26" s="396">
        <f t="shared" si="7"/>
        <v>96.400000000000034</v>
      </c>
      <c r="D26" s="396">
        <f t="shared" si="8"/>
        <v>0.9507548762550001</v>
      </c>
      <c r="E26" s="396">
        <f t="shared" si="2"/>
        <v>480086.37490881101</v>
      </c>
      <c r="F26" s="396">
        <f t="shared" si="9"/>
        <v>42057.13672675885</v>
      </c>
      <c r="G26" s="396">
        <f t="shared" si="3"/>
        <v>438029.23818205216</v>
      </c>
      <c r="H26" s="396">
        <f t="shared" si="4"/>
        <v>100384.99591355014</v>
      </c>
      <c r="I26" s="404">
        <f t="shared" si="5"/>
        <v>643952.89468845865</v>
      </c>
      <c r="R26" s="127"/>
      <c r="S26" s="127"/>
      <c r="T26" s="126"/>
      <c r="U26" s="9"/>
      <c r="V26" s="9"/>
    </row>
    <row r="27" spans="1:22" x14ac:dyDescent="0.35">
      <c r="A27" s="403">
        <v>14</v>
      </c>
      <c r="B27" s="396">
        <f t="shared" si="6"/>
        <v>503381.41000000021</v>
      </c>
      <c r="C27" s="396">
        <f t="shared" si="7"/>
        <v>96.100000000000037</v>
      </c>
      <c r="D27" s="396">
        <f t="shared" si="8"/>
        <v>0.99876799750587764</v>
      </c>
      <c r="E27" s="396">
        <f t="shared" si="2"/>
        <v>502761.24284738535</v>
      </c>
      <c r="F27" s="396">
        <f t="shared" si="9"/>
        <v>44744.587763598742</v>
      </c>
      <c r="G27" s="396">
        <f t="shared" si="3"/>
        <v>458016.65508378658</v>
      </c>
      <c r="H27" s="396">
        <f t="shared" si="4"/>
        <v>93719.282138207171</v>
      </c>
      <c r="I27" s="404">
        <f t="shared" si="5"/>
        <v>737672.17682666588</v>
      </c>
      <c r="R27" s="127"/>
      <c r="S27" s="127"/>
      <c r="T27" s="126"/>
      <c r="U27" s="9"/>
      <c r="V27" s="9"/>
    </row>
    <row r="28" spans="1:22" x14ac:dyDescent="0.35">
      <c r="A28" s="403">
        <v>15</v>
      </c>
      <c r="B28" s="396">
        <f t="shared" si="6"/>
        <v>501809.98000000021</v>
      </c>
      <c r="C28" s="396">
        <f t="shared" si="7"/>
        <v>95.80000000000004</v>
      </c>
      <c r="D28" s="396">
        <f t="shared" si="8"/>
        <v>1.0492057813799245</v>
      </c>
      <c r="E28" s="396">
        <f t="shared" si="2"/>
        <v>526501.93217014452</v>
      </c>
      <c r="F28" s="396">
        <f t="shared" si="9"/>
        <v>47603.766921692702</v>
      </c>
      <c r="G28" s="396">
        <f t="shared" si="3"/>
        <v>478898.16524845181</v>
      </c>
      <c r="H28" s="396">
        <f t="shared" si="4"/>
        <v>87492.904317176828</v>
      </c>
      <c r="I28" s="404">
        <f t="shared" si="5"/>
        <v>825165.08114384266</v>
      </c>
      <c r="R28" s="127"/>
      <c r="S28" s="127"/>
      <c r="T28" s="126"/>
      <c r="U28" s="9"/>
      <c r="V28" s="9"/>
    </row>
    <row r="29" spans="1:22" x14ac:dyDescent="0.35">
      <c r="A29" s="403">
        <v>16</v>
      </c>
      <c r="B29" s="396">
        <f t="shared" si="6"/>
        <v>500238.55000000022</v>
      </c>
      <c r="C29" s="396">
        <f t="shared" si="7"/>
        <v>95.500000000000043</v>
      </c>
      <c r="D29" s="396">
        <f t="shared" si="8"/>
        <v>1.1021906733396107</v>
      </c>
      <c r="E29" s="396">
        <f t="shared" si="2"/>
        <v>551358.26425493078</v>
      </c>
      <c r="F29" s="396">
        <f t="shared" si="9"/>
        <v>50645.647627988867</v>
      </c>
      <c r="G29" s="396">
        <f t="shared" si="3"/>
        <v>500712.61662694189</v>
      </c>
      <c r="H29" s="396">
        <f t="shared" si="4"/>
        <v>81677.074129961256</v>
      </c>
      <c r="I29" s="404">
        <f t="shared" si="5"/>
        <v>906842.15527380398</v>
      </c>
      <c r="R29" s="127"/>
      <c r="S29" s="127"/>
      <c r="T29" s="126"/>
      <c r="U29" s="9"/>
      <c r="V29" s="9"/>
    </row>
    <row r="30" spans="1:22" x14ac:dyDescent="0.35">
      <c r="A30" s="403">
        <v>17</v>
      </c>
      <c r="B30" s="396">
        <f t="shared" si="6"/>
        <v>498667.12000000023</v>
      </c>
      <c r="C30" s="396">
        <f t="shared" si="7"/>
        <v>95.200000000000045</v>
      </c>
      <c r="D30" s="396">
        <f t="shared" si="8"/>
        <v>1.1578513023432611</v>
      </c>
      <c r="E30" s="396">
        <f t="shared" si="2"/>
        <v>577382.37432776345</v>
      </c>
      <c r="F30" s="396">
        <f t="shared" si="9"/>
        <v>53881.904511417357</v>
      </c>
      <c r="G30" s="396">
        <f t="shared" si="3"/>
        <v>523500.46981634607</v>
      </c>
      <c r="H30" s="396">
        <f t="shared" si="4"/>
        <v>76244.880903617828</v>
      </c>
      <c r="I30" s="404">
        <f t="shared" si="5"/>
        <v>983087.0361774218</v>
      </c>
      <c r="R30" s="127"/>
      <c r="S30" s="127"/>
      <c r="T30" s="126"/>
      <c r="U30" s="9"/>
      <c r="V30" s="9"/>
    </row>
    <row r="31" spans="1:22" x14ac:dyDescent="0.35">
      <c r="A31" s="403">
        <v>18</v>
      </c>
      <c r="B31" s="396">
        <f t="shared" si="6"/>
        <v>497095.69000000029</v>
      </c>
      <c r="C31" s="396">
        <f t="shared" si="7"/>
        <v>94.900000000000048</v>
      </c>
      <c r="D31" s="396">
        <f t="shared" si="8"/>
        <v>1.2163227931115956</v>
      </c>
      <c r="E31" s="396">
        <f t="shared" si="2"/>
        <v>604628.81810453627</v>
      </c>
      <c r="F31" s="396">
        <f t="shared" si="9"/>
        <v>57324.958209696924</v>
      </c>
      <c r="G31" s="396">
        <f t="shared" si="3"/>
        <v>547303.85989483935</v>
      </c>
      <c r="H31" s="396">
        <f t="shared" si="4"/>
        <v>71171.169610294804</v>
      </c>
      <c r="I31" s="404">
        <f t="shared" si="5"/>
        <v>1054258.2057877167</v>
      </c>
      <c r="R31" s="127"/>
      <c r="S31" s="127"/>
      <c r="T31" s="126"/>
      <c r="U31" s="9"/>
      <c r="V31" s="9"/>
    </row>
    <row r="32" spans="1:22" x14ac:dyDescent="0.35">
      <c r="A32" s="403">
        <v>19</v>
      </c>
      <c r="B32" s="396">
        <f t="shared" si="6"/>
        <v>495524.26000000024</v>
      </c>
      <c r="C32" s="396">
        <f t="shared" si="7"/>
        <v>94.600000000000051</v>
      </c>
      <c r="D32" s="396">
        <f t="shared" si="8"/>
        <v>1.2777470941637312</v>
      </c>
      <c r="E32" s="396">
        <f t="shared" si="2"/>
        <v>633154.68330263358</v>
      </c>
      <c r="F32" s="396">
        <f t="shared" si="9"/>
        <v>60988.02303929656</v>
      </c>
      <c r="G32" s="396">
        <f t="shared" si="3"/>
        <v>572166.66026333696</v>
      </c>
      <c r="H32" s="396">
        <f t="shared" si="4"/>
        <v>66432.426767303899</v>
      </c>
      <c r="I32" s="404">
        <f t="shared" si="5"/>
        <v>1120690.6325550205</v>
      </c>
      <c r="R32" s="127"/>
      <c r="S32" s="127"/>
      <c r="T32" s="126"/>
      <c r="U32" s="9"/>
      <c r="V32" s="9"/>
    </row>
    <row r="33" spans="1:22" ht="21.75" thickBot="1" x14ac:dyDescent="0.4">
      <c r="A33" s="405">
        <v>20</v>
      </c>
      <c r="B33" s="406">
        <f t="shared" si="6"/>
        <v>493952.83000000025</v>
      </c>
      <c r="C33" s="406">
        <f t="shared" si="7"/>
        <v>94.300000000000054</v>
      </c>
      <c r="D33" s="406">
        <f t="shared" si="8"/>
        <v>1.3422733224189995</v>
      </c>
      <c r="E33" s="406">
        <f t="shared" si="2"/>
        <v>663019.70624236763</v>
      </c>
      <c r="F33" s="406">
        <f t="shared" si="9"/>
        <v>64885.157711507607</v>
      </c>
      <c r="G33" s="406">
        <f t="shared" si="3"/>
        <v>598134.54853085999</v>
      </c>
      <c r="H33" s="406">
        <f t="shared" si="4"/>
        <v>62006.673729192218</v>
      </c>
      <c r="I33" s="407">
        <f t="shared" si="5"/>
        <v>1182697.3062842127</v>
      </c>
      <c r="R33" s="127"/>
      <c r="S33" s="127"/>
      <c r="T33" s="126"/>
      <c r="U33" s="9"/>
      <c r="V33" s="9"/>
    </row>
    <row r="34" spans="1:22" x14ac:dyDescent="0.35">
      <c r="R34" s="127"/>
      <c r="S34" s="127"/>
      <c r="T34" s="126"/>
      <c r="U34" s="9"/>
      <c r="V34" s="9"/>
    </row>
    <row r="35" spans="1:22" x14ac:dyDescent="0.35">
      <c r="R35" s="127"/>
      <c r="S35" s="127"/>
      <c r="T35" s="126"/>
    </row>
  </sheetData>
  <mergeCells count="2">
    <mergeCell ref="K2:K3"/>
    <mergeCell ref="K1:P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CC10-A325-4947-968A-0D967762B787}">
  <sheetPr>
    <outlinePr summaryBelow="0" summaryRight="0"/>
  </sheetPr>
  <dimension ref="A1:N15"/>
  <sheetViews>
    <sheetView zoomScale="75" zoomScaleNormal="75" workbookViewId="0">
      <selection activeCell="C27" sqref="C27"/>
    </sheetView>
  </sheetViews>
  <sheetFormatPr defaultColWidth="8" defaultRowHeight="15.75" customHeight="1" x14ac:dyDescent="0.2"/>
  <cols>
    <col min="1" max="1" width="16.6328125" style="17" customWidth="1"/>
    <col min="2" max="2" width="14.08984375" style="17" customWidth="1"/>
    <col min="3" max="3" width="24.81640625" style="39" customWidth="1"/>
    <col min="4" max="4" width="16.1796875" style="17" customWidth="1"/>
    <col min="5" max="5" width="29.26953125" style="18" customWidth="1"/>
    <col min="6" max="7" width="8" style="17"/>
    <col min="8" max="8" width="16" style="17" customWidth="1"/>
    <col min="9" max="9" width="35.54296875" style="18" customWidth="1"/>
    <col min="10" max="10" width="8" style="17"/>
    <col min="11" max="11" width="17.36328125" style="250" customWidth="1"/>
    <col min="12" max="12" width="16.6328125" style="250" customWidth="1"/>
    <col min="13" max="13" width="21.90625" style="250" customWidth="1"/>
    <col min="14" max="14" width="28" style="258" customWidth="1"/>
    <col min="15" max="16384" width="8" style="17"/>
  </cols>
  <sheetData>
    <row r="1" spans="1:14" ht="15.75" customHeight="1" thickBot="1" x14ac:dyDescent="0.3">
      <c r="A1" s="442" t="s">
        <v>31</v>
      </c>
      <c r="B1" s="443"/>
      <c r="C1" s="443"/>
      <c r="D1" s="443"/>
      <c r="E1" s="444"/>
      <c r="F1" s="23"/>
      <c r="G1" s="445" t="s">
        <v>212</v>
      </c>
      <c r="H1" s="446"/>
      <c r="I1" s="447"/>
      <c r="K1" s="449" t="s">
        <v>233</v>
      </c>
      <c r="L1" s="450"/>
      <c r="M1" s="450"/>
      <c r="N1" s="450"/>
    </row>
    <row r="2" spans="1:14" ht="32.25" thickBot="1" x14ac:dyDescent="0.3">
      <c r="A2" s="30" t="s">
        <v>32</v>
      </c>
      <c r="B2" s="31" t="s">
        <v>30</v>
      </c>
      <c r="C2" s="79" t="s">
        <v>33</v>
      </c>
      <c r="D2" s="32" t="s">
        <v>34</v>
      </c>
      <c r="E2" s="31" t="s">
        <v>35</v>
      </c>
      <c r="F2" s="23"/>
      <c r="G2" s="33" t="s">
        <v>30</v>
      </c>
      <c r="H2" s="34" t="s">
        <v>36</v>
      </c>
      <c r="I2" s="34" t="s">
        <v>37</v>
      </c>
      <c r="K2" s="46" t="s">
        <v>213</v>
      </c>
      <c r="L2" s="44" t="s">
        <v>214</v>
      </c>
      <c r="M2" s="252" t="s">
        <v>215</v>
      </c>
      <c r="N2" s="262" t="s">
        <v>234</v>
      </c>
    </row>
    <row r="3" spans="1:14" ht="32.25" thickBot="1" x14ac:dyDescent="0.3">
      <c r="A3" s="382"/>
      <c r="B3" s="383"/>
      <c r="C3" s="384"/>
      <c r="D3" s="385"/>
      <c r="E3" s="386"/>
      <c r="F3" s="23"/>
      <c r="G3" s="387"/>
      <c r="H3" s="388"/>
      <c r="I3" s="389"/>
      <c r="K3" s="255" t="s">
        <v>437</v>
      </c>
      <c r="L3" s="253">
        <v>0.11749999999999999</v>
      </c>
      <c r="M3" s="260" t="s">
        <v>436</v>
      </c>
      <c r="N3" s="81" t="s">
        <v>235</v>
      </c>
    </row>
    <row r="4" spans="1:14" ht="31.5" x14ac:dyDescent="0.25">
      <c r="A4" s="105" t="s">
        <v>38</v>
      </c>
      <c r="B4" s="111">
        <v>2025</v>
      </c>
      <c r="C4" s="108" t="s">
        <v>39</v>
      </c>
      <c r="D4" s="21">
        <v>-3.0599999999999999E-2</v>
      </c>
      <c r="E4" s="22" t="s">
        <v>40</v>
      </c>
      <c r="F4" s="23"/>
      <c r="G4" s="114">
        <v>2015</v>
      </c>
      <c r="H4" s="24">
        <v>10.67</v>
      </c>
      <c r="I4" s="80" t="s">
        <v>41</v>
      </c>
      <c r="K4" s="255" t="s">
        <v>216</v>
      </c>
      <c r="L4" s="253">
        <v>0.1125</v>
      </c>
      <c r="M4" s="260" t="s">
        <v>217</v>
      </c>
      <c r="N4" s="81" t="s">
        <v>235</v>
      </c>
    </row>
    <row r="5" spans="1:14" ht="31.5" x14ac:dyDescent="0.25">
      <c r="A5" s="106" t="s">
        <v>42</v>
      </c>
      <c r="B5" s="112">
        <v>2024</v>
      </c>
      <c r="C5" s="109" t="s">
        <v>39</v>
      </c>
      <c r="D5" s="25">
        <v>8.0000000000000002E-3</v>
      </c>
      <c r="E5" s="26" t="s">
        <v>43</v>
      </c>
      <c r="F5" s="23"/>
      <c r="G5" s="115">
        <v>2016</v>
      </c>
      <c r="H5" s="27">
        <v>6.29</v>
      </c>
      <c r="I5" s="81" t="s">
        <v>41</v>
      </c>
      <c r="K5" s="232" t="s">
        <v>218</v>
      </c>
      <c r="L5" s="254">
        <v>0.1075</v>
      </c>
      <c r="M5" s="261" t="s">
        <v>219</v>
      </c>
      <c r="N5" s="81" t="s">
        <v>235</v>
      </c>
    </row>
    <row r="6" spans="1:14" ht="63" x14ac:dyDescent="0.25">
      <c r="A6" s="106" t="s">
        <v>44</v>
      </c>
      <c r="B6" s="112">
        <v>2023</v>
      </c>
      <c r="C6" s="109" t="s">
        <v>45</v>
      </c>
      <c r="D6" s="25">
        <v>5.4399999999999997E-2</v>
      </c>
      <c r="E6" s="26" t="s">
        <v>46</v>
      </c>
      <c r="F6" s="23"/>
      <c r="G6" s="115">
        <v>2017</v>
      </c>
      <c r="H6" s="27">
        <v>2.95</v>
      </c>
      <c r="I6" s="81" t="s">
        <v>41</v>
      </c>
      <c r="K6" s="232" t="s">
        <v>220</v>
      </c>
      <c r="L6" s="254">
        <v>0.105</v>
      </c>
      <c r="M6" s="261" t="s">
        <v>221</v>
      </c>
      <c r="N6" s="81" t="s">
        <v>235</v>
      </c>
    </row>
    <row r="7" spans="1:14" ht="31.5" x14ac:dyDescent="0.25">
      <c r="A7" s="106" t="s">
        <v>47</v>
      </c>
      <c r="B7" s="112">
        <v>2022</v>
      </c>
      <c r="C7" s="109" t="s">
        <v>39</v>
      </c>
      <c r="D7" s="25">
        <v>0.16420000000000001</v>
      </c>
      <c r="E7" s="26" t="s">
        <v>48</v>
      </c>
      <c r="F7" s="23"/>
      <c r="G7" s="115">
        <v>2018</v>
      </c>
      <c r="H7" s="27">
        <v>3.75</v>
      </c>
      <c r="I7" s="81" t="s">
        <v>41</v>
      </c>
      <c r="K7" s="232" t="s">
        <v>222</v>
      </c>
      <c r="L7" s="254">
        <v>0.105</v>
      </c>
      <c r="M7" s="261" t="s">
        <v>223</v>
      </c>
      <c r="N7" s="81" t="s">
        <v>235</v>
      </c>
    </row>
    <row r="8" spans="1:14" ht="31.5" x14ac:dyDescent="0.25">
      <c r="A8" s="106" t="s">
        <v>49</v>
      </c>
      <c r="B8" s="112">
        <v>2021</v>
      </c>
      <c r="C8" s="109" t="s">
        <v>39</v>
      </c>
      <c r="D8" s="25">
        <v>9.6000000000000002E-2</v>
      </c>
      <c r="E8" s="26" t="s">
        <v>50</v>
      </c>
      <c r="F8" s="23"/>
      <c r="G8" s="115">
        <v>2019</v>
      </c>
      <c r="H8" s="27">
        <v>4.3099999999999996</v>
      </c>
      <c r="I8" s="81" t="s">
        <v>41</v>
      </c>
      <c r="K8" s="232" t="s">
        <v>224</v>
      </c>
      <c r="L8" s="254">
        <v>0.105</v>
      </c>
      <c r="M8" s="261" t="s">
        <v>225</v>
      </c>
      <c r="N8" s="81" t="s">
        <v>235</v>
      </c>
    </row>
    <row r="9" spans="1:14" ht="78.75" x14ac:dyDescent="0.25">
      <c r="A9" s="106" t="s">
        <v>51</v>
      </c>
      <c r="B9" s="112">
        <v>2020</v>
      </c>
      <c r="C9" s="109" t="s">
        <v>39</v>
      </c>
      <c r="D9" s="25">
        <v>6.7199999999999996E-2</v>
      </c>
      <c r="E9" s="26" t="s">
        <v>52</v>
      </c>
      <c r="F9" s="23"/>
      <c r="G9" s="115">
        <v>2020</v>
      </c>
      <c r="H9" s="27">
        <v>4.5199999999999996</v>
      </c>
      <c r="I9" s="81" t="s">
        <v>41</v>
      </c>
      <c r="K9" s="232" t="s">
        <v>226</v>
      </c>
      <c r="L9" s="254">
        <v>0.1075</v>
      </c>
      <c r="M9" s="261" t="s">
        <v>227</v>
      </c>
      <c r="N9" s="81" t="s">
        <v>235</v>
      </c>
    </row>
    <row r="10" spans="1:14" ht="47.25" x14ac:dyDescent="0.25">
      <c r="A10" s="106" t="s">
        <v>53</v>
      </c>
      <c r="B10" s="112">
        <v>2019</v>
      </c>
      <c r="C10" s="109" t="s">
        <v>39</v>
      </c>
      <c r="D10" s="25">
        <v>6.7199999999999996E-2</v>
      </c>
      <c r="E10" s="26" t="s">
        <v>54</v>
      </c>
      <c r="F10" s="23"/>
      <c r="G10" s="115">
        <v>2021</v>
      </c>
      <c r="H10" s="27">
        <v>10.06</v>
      </c>
      <c r="I10" s="81" t="s">
        <v>41</v>
      </c>
      <c r="K10" s="232" t="s">
        <v>228</v>
      </c>
      <c r="L10" s="254">
        <v>0.1125</v>
      </c>
      <c r="M10" s="261" t="s">
        <v>229</v>
      </c>
      <c r="N10" s="81" t="s">
        <v>235</v>
      </c>
    </row>
    <row r="11" spans="1:14" ht="48" thickBot="1" x14ac:dyDescent="0.3">
      <c r="A11" s="106" t="s">
        <v>55</v>
      </c>
      <c r="B11" s="112">
        <v>2018</v>
      </c>
      <c r="C11" s="109" t="s">
        <v>45</v>
      </c>
      <c r="D11" s="25">
        <v>0.1406</v>
      </c>
      <c r="E11" s="26" t="s">
        <v>56</v>
      </c>
      <c r="F11" s="23"/>
      <c r="G11" s="115">
        <v>2022</v>
      </c>
      <c r="H11" s="27">
        <v>5.79</v>
      </c>
      <c r="I11" s="81" t="s">
        <v>41</v>
      </c>
      <c r="K11" s="256" t="s">
        <v>230</v>
      </c>
      <c r="L11" s="257">
        <v>0.1225</v>
      </c>
      <c r="M11" s="264" t="s">
        <v>231</v>
      </c>
      <c r="N11" s="29" t="s">
        <v>235</v>
      </c>
    </row>
    <row r="12" spans="1:14" ht="48" thickBot="1" x14ac:dyDescent="0.3">
      <c r="A12" s="106" t="s">
        <v>57</v>
      </c>
      <c r="B12" s="112">
        <v>2017</v>
      </c>
      <c r="C12" s="109" t="s">
        <v>39</v>
      </c>
      <c r="D12" s="25">
        <v>-0.122</v>
      </c>
      <c r="E12" s="26" t="s">
        <v>58</v>
      </c>
      <c r="F12" s="23"/>
      <c r="G12" s="115">
        <v>2023</v>
      </c>
      <c r="H12" s="27">
        <v>4.62</v>
      </c>
      <c r="I12" s="81" t="s">
        <v>41</v>
      </c>
      <c r="K12" s="259" t="s">
        <v>232</v>
      </c>
      <c r="L12" s="263">
        <f>AVERAGE(L3:L11)</f>
        <v>0.11055555555555557</v>
      </c>
      <c r="M12" s="265"/>
      <c r="N12" s="84"/>
    </row>
    <row r="13" spans="1:14" ht="32.25" thickBot="1" x14ac:dyDescent="0.3">
      <c r="A13" s="106" t="s">
        <v>59</v>
      </c>
      <c r="B13" s="112">
        <v>2016</v>
      </c>
      <c r="C13" s="109" t="s">
        <v>39</v>
      </c>
      <c r="D13" s="25">
        <v>6.5600000000000006E-2</v>
      </c>
      <c r="E13" s="26" t="s">
        <v>60</v>
      </c>
      <c r="F13" s="23"/>
      <c r="G13" s="116">
        <v>2024</v>
      </c>
      <c r="H13" s="28">
        <v>3.96</v>
      </c>
      <c r="I13" s="29" t="s">
        <v>61</v>
      </c>
    </row>
    <row r="14" spans="1:14" ht="32.25" thickBot="1" x14ac:dyDescent="0.3">
      <c r="A14" s="107" t="s">
        <v>62</v>
      </c>
      <c r="B14" s="113">
        <v>2015</v>
      </c>
      <c r="C14" s="110" t="s">
        <v>39</v>
      </c>
      <c r="D14" s="35">
        <v>-3.6600000000000001E-2</v>
      </c>
      <c r="E14" s="36" t="s">
        <v>63</v>
      </c>
      <c r="F14" s="23"/>
      <c r="G14" s="82" t="s">
        <v>64</v>
      </c>
      <c r="H14" s="83">
        <f>AVERAGE(H4:H13)</f>
        <v>5.6919999999999993</v>
      </c>
      <c r="I14" s="84" t="s">
        <v>65</v>
      </c>
    </row>
    <row r="15" spans="1:14" ht="15.75" customHeight="1" thickBot="1" x14ac:dyDescent="0.3">
      <c r="A15" s="445" t="s">
        <v>66</v>
      </c>
      <c r="B15" s="446"/>
      <c r="C15" s="448"/>
      <c r="D15" s="37">
        <f>AVERAGE(D5:D14)</f>
        <v>5.0459999999999991E-2</v>
      </c>
      <c r="E15" s="38"/>
      <c r="F15" s="23"/>
      <c r="G15" s="23"/>
      <c r="H15" s="23"/>
      <c r="I15" s="85"/>
    </row>
  </sheetData>
  <mergeCells count="4">
    <mergeCell ref="A1:E1"/>
    <mergeCell ref="G1:I1"/>
    <mergeCell ref="A15:C15"/>
    <mergeCell ref="K1:N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0D651-E153-46EE-AA2F-F17D0E528BE9}">
  <dimension ref="A1:O26"/>
  <sheetViews>
    <sheetView zoomScale="75" zoomScaleNormal="75" workbookViewId="0">
      <selection activeCell="C27" sqref="C27"/>
    </sheetView>
  </sheetViews>
  <sheetFormatPr defaultRowHeight="21" x14ac:dyDescent="0.35"/>
  <cols>
    <col min="1" max="1" width="17.7265625" customWidth="1"/>
    <col min="2" max="2" width="20.6328125" customWidth="1"/>
    <col min="3" max="3" width="16" customWidth="1"/>
  </cols>
  <sheetData>
    <row r="1" spans="1:15" ht="21.75" thickBot="1" x14ac:dyDescent="0.4">
      <c r="A1" s="427" t="s">
        <v>422</v>
      </c>
      <c r="B1" s="428"/>
      <c r="C1" s="429"/>
    </row>
    <row r="2" spans="1:15" ht="21.75" thickBot="1" x14ac:dyDescent="0.4">
      <c r="A2" s="453" t="s">
        <v>6</v>
      </c>
      <c r="B2" s="451" t="s">
        <v>84</v>
      </c>
      <c r="C2" s="452"/>
    </row>
    <row r="3" spans="1:15" ht="21.75" thickBot="1" x14ac:dyDescent="0.4">
      <c r="A3" s="454"/>
      <c r="B3" s="42" t="s">
        <v>75</v>
      </c>
      <c r="C3" s="42" t="s">
        <v>81</v>
      </c>
    </row>
    <row r="4" spans="1:15" x14ac:dyDescent="0.35">
      <c r="A4" s="243" t="s">
        <v>18</v>
      </c>
      <c r="B4" s="86">
        <v>193.2</v>
      </c>
      <c r="C4" s="244">
        <v>75.099999999999994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</row>
    <row r="5" spans="1:15" x14ac:dyDescent="0.35">
      <c r="A5" s="245" t="s">
        <v>19</v>
      </c>
      <c r="B5" s="87">
        <v>158.5</v>
      </c>
      <c r="C5" s="246">
        <v>70.400000000000006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x14ac:dyDescent="0.35">
      <c r="A6" s="245" t="s">
        <v>20</v>
      </c>
      <c r="B6" s="87">
        <v>170.3</v>
      </c>
      <c r="C6" s="246">
        <v>62.7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1:15" x14ac:dyDescent="0.35">
      <c r="A7" s="245" t="s">
        <v>21</v>
      </c>
      <c r="B7" s="87">
        <v>149.80000000000001</v>
      </c>
      <c r="C7" s="246">
        <v>51</v>
      </c>
    </row>
    <row r="8" spans="1:15" x14ac:dyDescent="0.35">
      <c r="A8" s="245" t="s">
        <v>22</v>
      </c>
      <c r="B8" s="87">
        <v>132.4</v>
      </c>
      <c r="C8" s="246">
        <v>44.7</v>
      </c>
    </row>
    <row r="9" spans="1:15" x14ac:dyDescent="0.35">
      <c r="A9" s="245" t="s">
        <v>23</v>
      </c>
      <c r="B9" s="87">
        <v>113</v>
      </c>
      <c r="C9" s="246">
        <v>35.299999999999997</v>
      </c>
    </row>
    <row r="10" spans="1:15" x14ac:dyDescent="0.35">
      <c r="A10" s="245" t="s">
        <v>24</v>
      </c>
      <c r="B10" s="87">
        <v>130.9</v>
      </c>
      <c r="C10" s="246">
        <v>38</v>
      </c>
    </row>
    <row r="11" spans="1:15" x14ac:dyDescent="0.35">
      <c r="A11" s="245" t="s">
        <v>25</v>
      </c>
      <c r="B11" s="87">
        <v>147.30000000000001</v>
      </c>
      <c r="C11" s="246">
        <v>49.1</v>
      </c>
    </row>
    <row r="12" spans="1:15" x14ac:dyDescent="0.35">
      <c r="A12" s="245" t="s">
        <v>26</v>
      </c>
      <c r="B12" s="87">
        <v>159.30000000000001</v>
      </c>
      <c r="C12" s="246">
        <v>55.8</v>
      </c>
    </row>
    <row r="13" spans="1:15" x14ac:dyDescent="0.35">
      <c r="A13" s="245" t="s">
        <v>27</v>
      </c>
      <c r="B13" s="87">
        <v>180</v>
      </c>
      <c r="C13" s="246">
        <v>79.7</v>
      </c>
    </row>
    <row r="14" spans="1:15" x14ac:dyDescent="0.35">
      <c r="A14" s="245" t="s">
        <v>28</v>
      </c>
      <c r="B14" s="87">
        <v>191.2</v>
      </c>
      <c r="C14" s="246">
        <v>84.5</v>
      </c>
    </row>
    <row r="15" spans="1:15" ht="21.75" thickBot="1" x14ac:dyDescent="0.4">
      <c r="A15" s="247" t="s">
        <v>29</v>
      </c>
      <c r="B15" s="88">
        <v>197.8</v>
      </c>
      <c r="C15" s="248">
        <v>83.5</v>
      </c>
    </row>
    <row r="16" spans="1:15" ht="21.75" thickBot="1" x14ac:dyDescent="0.4">
      <c r="A16" s="217" t="s">
        <v>232</v>
      </c>
      <c r="B16" s="89">
        <f>AVERAGE(B4:B15)</f>
        <v>160.30833333333331</v>
      </c>
      <c r="C16" s="89">
        <f>AVERAGE(C4:C15)</f>
        <v>60.81666666666667</v>
      </c>
    </row>
    <row r="17" spans="1:3" ht="21.75" thickBot="1" x14ac:dyDescent="0.4">
      <c r="A17" s="90"/>
      <c r="B17" s="91"/>
      <c r="C17" s="91"/>
    </row>
    <row r="18" spans="1:3" ht="21.75" thickBot="1" x14ac:dyDescent="0.4">
      <c r="A18" s="42" t="s">
        <v>76</v>
      </c>
      <c r="B18" s="9"/>
      <c r="C18" s="9"/>
    </row>
    <row r="19" spans="1:3" x14ac:dyDescent="0.35">
      <c r="A19" s="92" t="s">
        <v>67</v>
      </c>
      <c r="B19" s="4"/>
      <c r="C19" s="9"/>
    </row>
    <row r="20" spans="1:3" x14ac:dyDescent="0.35">
      <c r="A20" s="93" t="s">
        <v>68</v>
      </c>
      <c r="B20" s="4"/>
      <c r="C20" s="9"/>
    </row>
    <row r="21" spans="1:3" x14ac:dyDescent="0.35">
      <c r="A21" s="93" t="s">
        <v>69</v>
      </c>
      <c r="B21" s="9"/>
      <c r="C21" s="9"/>
    </row>
    <row r="22" spans="1:3" ht="31.5" x14ac:dyDescent="0.35">
      <c r="A22" s="93" t="s">
        <v>70</v>
      </c>
      <c r="B22" s="9"/>
      <c r="C22" s="9"/>
    </row>
    <row r="23" spans="1:3" x14ac:dyDescent="0.35">
      <c r="A23" s="93" t="s">
        <v>71</v>
      </c>
    </row>
    <row r="24" spans="1:3" x14ac:dyDescent="0.35">
      <c r="A24" s="93" t="s">
        <v>72</v>
      </c>
    </row>
    <row r="25" spans="1:3" x14ac:dyDescent="0.35">
      <c r="A25" s="93" t="s">
        <v>73</v>
      </c>
    </row>
    <row r="26" spans="1:3" ht="21.75" thickBot="1" x14ac:dyDescent="0.4">
      <c r="A26" s="94" t="s">
        <v>74</v>
      </c>
    </row>
  </sheetData>
  <mergeCells count="3">
    <mergeCell ref="B2:C2"/>
    <mergeCell ref="A2:A3"/>
    <mergeCell ref="A1:C1"/>
  </mergeCells>
  <phoneticPr fontId="5" type="noConversion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D6CA-CE4E-4736-8979-0340793A3848}">
  <dimension ref="A1:C16"/>
  <sheetViews>
    <sheetView zoomScale="75" zoomScaleNormal="75" workbookViewId="0">
      <selection activeCell="H30" sqref="H30"/>
    </sheetView>
  </sheetViews>
  <sheetFormatPr defaultRowHeight="21" x14ac:dyDescent="0.35"/>
  <sheetData>
    <row r="1" spans="1:3" ht="21.75" thickBot="1" x14ac:dyDescent="0.4">
      <c r="A1" s="158" t="s">
        <v>6</v>
      </c>
      <c r="B1" s="154" t="s">
        <v>140</v>
      </c>
      <c r="C1" s="153" t="s">
        <v>141</v>
      </c>
    </row>
    <row r="2" spans="1:3" x14ac:dyDescent="0.35">
      <c r="A2" s="104" t="s">
        <v>18</v>
      </c>
      <c r="B2" s="155">
        <v>20</v>
      </c>
      <c r="C2" s="152">
        <v>29</v>
      </c>
    </row>
    <row r="3" spans="1:3" x14ac:dyDescent="0.35">
      <c r="A3" s="102" t="s">
        <v>19</v>
      </c>
      <c r="B3" s="156">
        <v>20</v>
      </c>
      <c r="C3" s="151">
        <v>29</v>
      </c>
    </row>
    <row r="4" spans="1:3" x14ac:dyDescent="0.35">
      <c r="A4" s="102" t="s">
        <v>20</v>
      </c>
      <c r="B4" s="157">
        <v>19</v>
      </c>
      <c r="C4" s="150">
        <v>28</v>
      </c>
    </row>
    <row r="5" spans="1:3" x14ac:dyDescent="0.35">
      <c r="A5" s="102" t="s">
        <v>21</v>
      </c>
      <c r="B5" s="156">
        <v>18</v>
      </c>
      <c r="C5" s="151">
        <v>27</v>
      </c>
    </row>
    <row r="6" spans="1:3" x14ac:dyDescent="0.35">
      <c r="A6" s="102" t="s">
        <v>22</v>
      </c>
      <c r="B6" s="157">
        <v>15</v>
      </c>
      <c r="C6" s="150">
        <v>25</v>
      </c>
    </row>
    <row r="7" spans="1:3" x14ac:dyDescent="0.35">
      <c r="A7" s="102" t="s">
        <v>23</v>
      </c>
      <c r="B7" s="156">
        <v>13</v>
      </c>
      <c r="C7" s="151">
        <v>24</v>
      </c>
    </row>
    <row r="8" spans="1:3" x14ac:dyDescent="0.35">
      <c r="A8" s="102" t="s">
        <v>24</v>
      </c>
      <c r="B8" s="157">
        <v>13</v>
      </c>
      <c r="C8" s="150">
        <v>24</v>
      </c>
    </row>
    <row r="9" spans="1:3" x14ac:dyDescent="0.35">
      <c r="A9" s="102" t="s">
        <v>25</v>
      </c>
      <c r="B9" s="156">
        <v>14</v>
      </c>
      <c r="C9" s="151">
        <v>26</v>
      </c>
    </row>
    <row r="10" spans="1:3" x14ac:dyDescent="0.35">
      <c r="A10" s="102" t="s">
        <v>26</v>
      </c>
      <c r="B10" s="157">
        <v>16</v>
      </c>
      <c r="C10" s="150">
        <v>28</v>
      </c>
    </row>
    <row r="11" spans="1:3" x14ac:dyDescent="0.35">
      <c r="A11" s="102" t="s">
        <v>27</v>
      </c>
      <c r="B11" s="156">
        <v>18</v>
      </c>
      <c r="C11" s="151">
        <v>29</v>
      </c>
    </row>
    <row r="12" spans="1:3" x14ac:dyDescent="0.35">
      <c r="A12" s="102" t="s">
        <v>28</v>
      </c>
      <c r="B12" s="157">
        <v>18</v>
      </c>
      <c r="C12" s="150">
        <v>28</v>
      </c>
    </row>
    <row r="13" spans="1:3" ht="21.75" thickBot="1" x14ac:dyDescent="0.4">
      <c r="A13" s="103" t="s">
        <v>29</v>
      </c>
      <c r="B13" s="159">
        <v>20</v>
      </c>
      <c r="C13" s="160">
        <v>29</v>
      </c>
    </row>
    <row r="14" spans="1:3" ht="32.25" thickBot="1" x14ac:dyDescent="0.4">
      <c r="A14" s="162" t="s">
        <v>142</v>
      </c>
      <c r="B14" s="163">
        <f>AVERAGE(B2:B13)</f>
        <v>17</v>
      </c>
      <c r="C14" s="163">
        <f>AVERAGE(C2:C13)</f>
        <v>27.166666666666668</v>
      </c>
    </row>
    <row r="15" spans="1:3" ht="21.75" thickBot="1" x14ac:dyDescent="0.4">
      <c r="A15" s="161" t="s">
        <v>143</v>
      </c>
      <c r="B15" s="455">
        <f>AVERAGE(B14:C14)</f>
        <v>22.083333333333336</v>
      </c>
      <c r="C15" s="456"/>
    </row>
    <row r="16" spans="1:3" ht="53.25" customHeight="1" thickBot="1" x14ac:dyDescent="0.4">
      <c r="A16" s="457" t="s">
        <v>144</v>
      </c>
      <c r="B16" s="458"/>
      <c r="C16" s="459"/>
    </row>
  </sheetData>
  <mergeCells count="2">
    <mergeCell ref="B15:C15"/>
    <mergeCell ref="A16:C16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48BC-7906-4AF5-9189-503A063BF553}">
  <dimension ref="A1:AD45"/>
  <sheetViews>
    <sheetView zoomScale="75" zoomScaleNormal="75" workbookViewId="0">
      <selection activeCell="C27" sqref="C27"/>
    </sheetView>
  </sheetViews>
  <sheetFormatPr defaultRowHeight="21" x14ac:dyDescent="0.35"/>
  <cols>
    <col min="1" max="1" width="8" style="128" customWidth="1"/>
    <col min="2" max="2" width="25.36328125" customWidth="1"/>
    <col min="5" max="5" width="35.54296875" customWidth="1"/>
    <col min="8" max="8" width="16.453125" customWidth="1"/>
    <col min="9" max="9" width="15.7265625" customWidth="1"/>
    <col min="11" max="11" width="10.08984375" customWidth="1"/>
    <col min="12" max="12" width="11.7265625" customWidth="1"/>
    <col min="13" max="13" width="10.36328125" style="165" customWidth="1"/>
    <col min="14" max="14" width="10.81640625" customWidth="1"/>
    <col min="15" max="15" width="8.81640625" customWidth="1"/>
    <col min="16" max="16" width="11.08984375" customWidth="1"/>
    <col min="17" max="17" width="11.36328125" customWidth="1"/>
    <col min="18" max="18" width="10.26953125" customWidth="1"/>
    <col min="19" max="19" width="12.81640625" customWidth="1"/>
    <col min="20" max="20" width="10.08984375" customWidth="1"/>
    <col min="21" max="21" width="11.81640625" customWidth="1"/>
    <col min="22" max="22" width="9.54296875" customWidth="1"/>
    <col min="23" max="23" width="13.90625" customWidth="1"/>
    <col min="24" max="24" width="17.453125" customWidth="1"/>
    <col min="25" max="25" width="15.90625" customWidth="1"/>
    <col min="26" max="26" width="15.26953125" customWidth="1"/>
    <col min="27" max="27" width="16.26953125" customWidth="1"/>
    <col min="30" max="30" width="16.1796875" customWidth="1"/>
  </cols>
  <sheetData>
    <row r="1" spans="1:30" ht="21.75" thickBot="1" x14ac:dyDescent="0.4">
      <c r="A1" s="427" t="s">
        <v>87</v>
      </c>
      <c r="B1" s="428"/>
      <c r="C1" s="428"/>
      <c r="D1" s="428"/>
      <c r="E1" s="42" t="s">
        <v>112</v>
      </c>
      <c r="F1" s="128"/>
      <c r="G1" s="480"/>
      <c r="H1" s="480"/>
      <c r="I1" s="480"/>
      <c r="J1" s="480"/>
      <c r="K1" s="480"/>
      <c r="L1" s="480"/>
      <c r="M1" s="480"/>
      <c r="N1" s="480"/>
      <c r="O1" s="480"/>
      <c r="P1" s="480"/>
      <c r="Q1" s="480"/>
      <c r="R1" s="480"/>
      <c r="S1" s="480"/>
      <c r="T1" s="480"/>
      <c r="U1" s="480"/>
      <c r="V1" s="480"/>
      <c r="W1" s="480"/>
      <c r="X1" s="480"/>
    </row>
    <row r="2" spans="1:30" ht="21.75" thickBot="1" x14ac:dyDescent="0.4">
      <c r="A2" s="484" t="s">
        <v>98</v>
      </c>
      <c r="B2" s="485"/>
      <c r="C2" s="451" t="s">
        <v>97</v>
      </c>
      <c r="D2" s="452"/>
      <c r="E2" s="481" t="s">
        <v>113</v>
      </c>
      <c r="F2" s="128"/>
      <c r="G2" s="90"/>
      <c r="H2" s="90"/>
      <c r="I2" s="90"/>
      <c r="J2" s="90"/>
      <c r="K2" s="340"/>
      <c r="L2" s="90"/>
      <c r="M2" s="340"/>
      <c r="N2" s="90"/>
      <c r="O2" s="90"/>
      <c r="P2" s="340"/>
      <c r="Q2" s="340"/>
      <c r="R2" s="90"/>
      <c r="S2" s="90"/>
      <c r="T2" s="340"/>
      <c r="U2" s="90"/>
      <c r="V2" s="90"/>
      <c r="W2" s="340"/>
      <c r="X2" s="90"/>
    </row>
    <row r="3" spans="1:30" x14ac:dyDescent="0.35">
      <c r="A3" s="462" t="s">
        <v>88</v>
      </c>
      <c r="B3" s="463"/>
      <c r="C3" s="69" t="s">
        <v>94</v>
      </c>
      <c r="D3" s="134">
        <v>770</v>
      </c>
      <c r="E3" s="482"/>
      <c r="F3" s="128"/>
      <c r="G3" s="235"/>
      <c r="H3" s="235"/>
      <c r="I3" s="235"/>
      <c r="J3" s="235"/>
      <c r="K3" s="341"/>
      <c r="L3" s="341"/>
      <c r="M3" s="339"/>
      <c r="N3" s="343"/>
      <c r="O3" s="344"/>
      <c r="P3" s="341"/>
      <c r="Q3" s="345"/>
      <c r="R3" s="346"/>
      <c r="S3" s="347"/>
      <c r="T3" s="345"/>
      <c r="U3" s="341"/>
      <c r="V3" s="341"/>
      <c r="W3" s="345"/>
      <c r="X3" s="348"/>
    </row>
    <row r="4" spans="1:30" x14ac:dyDescent="0.35">
      <c r="A4" s="468" t="s">
        <v>89</v>
      </c>
      <c r="B4" s="469"/>
      <c r="C4" s="49" t="s">
        <v>95</v>
      </c>
      <c r="D4" s="130">
        <v>49.83</v>
      </c>
      <c r="E4" s="482"/>
      <c r="F4" s="128"/>
      <c r="G4" s="235"/>
      <c r="H4" s="235"/>
      <c r="I4" s="235"/>
      <c r="J4" s="235"/>
      <c r="K4" s="341"/>
      <c r="L4" s="341"/>
      <c r="M4" s="348"/>
      <c r="N4" s="343"/>
      <c r="O4" s="344"/>
      <c r="P4" s="341"/>
      <c r="Q4" s="345"/>
      <c r="R4" s="346"/>
      <c r="S4" s="341"/>
      <c r="T4" s="345"/>
      <c r="U4" s="341"/>
      <c r="V4" s="341"/>
      <c r="W4" s="345"/>
      <c r="X4" s="348"/>
    </row>
    <row r="5" spans="1:30" x14ac:dyDescent="0.35">
      <c r="A5" s="468" t="s">
        <v>90</v>
      </c>
      <c r="B5" s="469"/>
      <c r="C5" s="49" t="s">
        <v>96</v>
      </c>
      <c r="D5" s="130">
        <v>17.82</v>
      </c>
      <c r="E5" s="482"/>
      <c r="F5" s="128"/>
      <c r="G5" s="235"/>
      <c r="H5" s="235"/>
      <c r="I5" s="235"/>
      <c r="J5" s="235"/>
      <c r="K5" s="341"/>
      <c r="L5" s="341"/>
      <c r="M5" s="348"/>
      <c r="N5" s="343"/>
      <c r="O5" s="344"/>
      <c r="P5" s="341"/>
      <c r="Q5" s="345"/>
      <c r="R5" s="346"/>
      <c r="S5" s="341"/>
      <c r="T5" s="345"/>
      <c r="U5" s="341"/>
      <c r="V5" s="341"/>
      <c r="W5" s="345"/>
      <c r="X5" s="348"/>
    </row>
    <row r="6" spans="1:30" x14ac:dyDescent="0.35">
      <c r="A6" s="468" t="s">
        <v>91</v>
      </c>
      <c r="B6" s="469"/>
      <c r="C6" s="49" t="s">
        <v>95</v>
      </c>
      <c r="D6" s="130">
        <v>41.78</v>
      </c>
      <c r="E6" s="482"/>
      <c r="F6" s="128"/>
      <c r="G6" s="235"/>
      <c r="H6" s="235"/>
      <c r="I6" s="235"/>
      <c r="J6" s="235"/>
      <c r="K6" s="341"/>
      <c r="L6" s="344"/>
      <c r="M6" s="348"/>
      <c r="N6" s="341"/>
      <c r="O6" s="344"/>
      <c r="P6" s="341"/>
      <c r="Q6" s="345"/>
      <c r="R6" s="346"/>
      <c r="S6" s="341"/>
      <c r="T6" s="345"/>
      <c r="U6" s="341"/>
      <c r="V6" s="341"/>
      <c r="W6" s="345"/>
      <c r="X6" s="348"/>
    </row>
    <row r="7" spans="1:30" x14ac:dyDescent="0.35">
      <c r="A7" s="468" t="s">
        <v>92</v>
      </c>
      <c r="B7" s="469"/>
      <c r="C7" s="49" t="s">
        <v>96</v>
      </c>
      <c r="D7" s="130">
        <v>16.77</v>
      </c>
      <c r="E7" s="482"/>
      <c r="F7" s="128"/>
      <c r="G7" s="235"/>
      <c r="H7" s="235"/>
      <c r="I7" s="235"/>
      <c r="J7" s="235"/>
      <c r="K7" s="341"/>
      <c r="L7" s="344"/>
      <c r="M7" s="348"/>
      <c r="N7" s="341"/>
      <c r="O7" s="344"/>
      <c r="P7" s="341"/>
      <c r="Q7" s="345"/>
      <c r="R7" s="346"/>
      <c r="S7" s="341"/>
      <c r="T7" s="345"/>
      <c r="U7" s="341"/>
      <c r="V7" s="341"/>
      <c r="W7" s="345"/>
      <c r="X7" s="348"/>
    </row>
    <row r="8" spans="1:30" ht="21.75" thickBot="1" x14ac:dyDescent="0.4">
      <c r="A8" s="474" t="s">
        <v>93</v>
      </c>
      <c r="B8" s="475"/>
      <c r="C8" s="132" t="s">
        <v>80</v>
      </c>
      <c r="D8" s="133">
        <v>22.5</v>
      </c>
      <c r="E8" s="483"/>
      <c r="F8" s="128"/>
      <c r="G8" s="235"/>
      <c r="H8" s="235"/>
      <c r="I8" s="235"/>
      <c r="J8" s="235"/>
      <c r="K8" s="341"/>
      <c r="L8" s="344"/>
      <c r="M8" s="348"/>
      <c r="N8" s="341"/>
      <c r="O8" s="344"/>
      <c r="P8" s="341"/>
      <c r="Q8" s="345"/>
      <c r="R8" s="346"/>
      <c r="S8" s="341"/>
      <c r="T8" s="345"/>
      <c r="U8" s="341"/>
      <c r="V8" s="341"/>
      <c r="W8" s="345"/>
      <c r="X8" s="348"/>
    </row>
    <row r="9" spans="1:30" ht="21.75" thickBot="1" x14ac:dyDescent="0.4">
      <c r="B9" s="128"/>
      <c r="C9" s="128"/>
      <c r="D9" s="128"/>
      <c r="E9" s="128"/>
      <c r="F9" s="128"/>
      <c r="G9" s="235"/>
      <c r="H9" s="235"/>
      <c r="I9" s="235"/>
      <c r="J9" s="235"/>
      <c r="K9" s="341"/>
      <c r="L9" s="344"/>
      <c r="M9" s="348"/>
      <c r="N9" s="341"/>
      <c r="O9" s="344"/>
      <c r="P9" s="341"/>
      <c r="Q9" s="345"/>
      <c r="R9" s="346"/>
      <c r="S9" s="341"/>
      <c r="T9" s="345"/>
      <c r="U9" s="341"/>
      <c r="V9" s="341"/>
      <c r="W9" s="345"/>
      <c r="X9" s="348"/>
    </row>
    <row r="10" spans="1:30" ht="21.75" thickBot="1" x14ac:dyDescent="0.4">
      <c r="A10" s="427" t="s">
        <v>99</v>
      </c>
      <c r="B10" s="428"/>
      <c r="C10" s="428"/>
      <c r="D10" s="428"/>
      <c r="E10" s="42" t="s">
        <v>112</v>
      </c>
      <c r="F10" s="128"/>
      <c r="G10" s="235"/>
      <c r="H10" s="235"/>
      <c r="I10" s="235"/>
      <c r="J10" s="235"/>
      <c r="K10" s="341"/>
      <c r="L10" s="344"/>
      <c r="M10" s="348"/>
      <c r="N10" s="341"/>
      <c r="O10" s="344"/>
      <c r="P10" s="341"/>
      <c r="Q10" s="345"/>
      <c r="R10" s="346"/>
      <c r="S10" s="341"/>
      <c r="T10" s="345"/>
      <c r="U10" s="341"/>
      <c r="V10" s="341"/>
      <c r="W10" s="345"/>
      <c r="X10" s="348"/>
    </row>
    <row r="11" spans="1:30" x14ac:dyDescent="0.35">
      <c r="A11" s="462" t="s">
        <v>101</v>
      </c>
      <c r="B11" s="463"/>
      <c r="C11" s="470">
        <v>16</v>
      </c>
      <c r="D11" s="471"/>
      <c r="E11" s="144"/>
      <c r="F11" s="128"/>
      <c r="G11" s="235"/>
      <c r="H11" s="235"/>
      <c r="I11" s="235"/>
      <c r="J11" s="235"/>
      <c r="K11" s="341"/>
      <c r="L11" s="344"/>
      <c r="M11" s="348"/>
      <c r="N11" s="341"/>
      <c r="O11" s="344"/>
      <c r="P11" s="341"/>
      <c r="Q11" s="345"/>
      <c r="R11" s="346"/>
      <c r="S11" s="341"/>
      <c r="T11" s="345"/>
      <c r="U11" s="341"/>
      <c r="V11" s="341"/>
      <c r="W11" s="345"/>
      <c r="X11" s="348"/>
    </row>
    <row r="12" spans="1:30" x14ac:dyDescent="0.35">
      <c r="A12" s="468" t="s">
        <v>100</v>
      </c>
      <c r="B12" s="469"/>
      <c r="C12" s="460" t="s">
        <v>102</v>
      </c>
      <c r="D12" s="461"/>
      <c r="E12" s="145"/>
      <c r="F12" s="128"/>
      <c r="G12" s="128"/>
      <c r="H12" s="128"/>
      <c r="I12" s="128"/>
      <c r="J12" s="128"/>
    </row>
    <row r="13" spans="1:30" x14ac:dyDescent="0.35">
      <c r="A13" s="468" t="s">
        <v>89</v>
      </c>
      <c r="B13" s="469"/>
      <c r="C13" s="49" t="s">
        <v>95</v>
      </c>
      <c r="D13" s="52">
        <f>C11*D4</f>
        <v>797.28</v>
      </c>
      <c r="E13" s="145"/>
      <c r="F13" s="128"/>
      <c r="G13" s="465"/>
      <c r="H13" s="465"/>
      <c r="I13" s="465"/>
      <c r="J13" s="465"/>
      <c r="K13" s="465"/>
      <c r="L13" s="465"/>
      <c r="M13" s="465"/>
      <c r="N13" s="465"/>
      <c r="P13" s="465"/>
      <c r="Q13" s="465"/>
      <c r="R13" s="465"/>
      <c r="S13" s="465"/>
      <c r="T13" s="465"/>
      <c r="U13" s="465"/>
      <c r="V13" s="465"/>
      <c r="W13" s="465"/>
      <c r="X13" s="465"/>
      <c r="Y13" s="465"/>
      <c r="Z13" s="465"/>
      <c r="AA13" s="465"/>
      <c r="AB13" s="296"/>
      <c r="AC13" s="296"/>
      <c r="AD13" s="296"/>
    </row>
    <row r="14" spans="1:30" ht="48" customHeight="1" x14ac:dyDescent="0.35">
      <c r="A14" s="468" t="s">
        <v>90</v>
      </c>
      <c r="B14" s="469"/>
      <c r="C14" s="49" t="s">
        <v>96</v>
      </c>
      <c r="D14" s="52">
        <v>17.82</v>
      </c>
      <c r="E14" s="145"/>
      <c r="F14" s="128"/>
      <c r="G14" s="466"/>
      <c r="H14" s="337"/>
      <c r="I14" s="337"/>
      <c r="J14" s="337"/>
      <c r="K14" s="338"/>
      <c r="L14" s="337"/>
      <c r="M14" s="338"/>
      <c r="N14" s="338"/>
      <c r="P14" s="228"/>
      <c r="Q14" s="222"/>
      <c r="R14" s="222"/>
      <c r="S14" s="295"/>
      <c r="T14" s="295"/>
      <c r="U14" s="295"/>
      <c r="V14" s="295"/>
      <c r="W14" s="295"/>
      <c r="X14" s="295"/>
      <c r="Y14" s="295"/>
      <c r="Z14" s="295"/>
      <c r="AA14" s="222"/>
      <c r="AB14" s="296"/>
      <c r="AC14" s="296"/>
      <c r="AD14" s="296"/>
    </row>
    <row r="15" spans="1:30" x14ac:dyDescent="0.35">
      <c r="A15" s="468" t="s">
        <v>91</v>
      </c>
      <c r="B15" s="469"/>
      <c r="C15" s="49" t="s">
        <v>95</v>
      </c>
      <c r="D15" s="52">
        <f>D6*C11</f>
        <v>668.48</v>
      </c>
      <c r="E15" s="145"/>
      <c r="F15" s="128"/>
      <c r="G15" s="466"/>
      <c r="H15" s="229"/>
      <c r="I15" s="229"/>
      <c r="J15" s="229"/>
      <c r="K15" s="363"/>
      <c r="L15" s="363"/>
      <c r="M15" s="364"/>
      <c r="N15" s="364"/>
      <c r="P15" s="297"/>
      <c r="Q15" s="297"/>
      <c r="R15" s="297"/>
      <c r="S15" s="298"/>
      <c r="T15" s="298"/>
      <c r="U15" s="299"/>
      <c r="V15" s="299"/>
      <c r="W15" s="298"/>
      <c r="X15" s="298"/>
      <c r="Y15" s="297"/>
      <c r="Z15" s="297"/>
      <c r="AA15" s="300"/>
      <c r="AB15" s="296"/>
      <c r="AC15" s="296"/>
      <c r="AD15" s="296"/>
    </row>
    <row r="16" spans="1:30" ht="21.75" thickBot="1" x14ac:dyDescent="0.4">
      <c r="A16" s="474" t="s">
        <v>92</v>
      </c>
      <c r="B16" s="475"/>
      <c r="C16" s="132" t="s">
        <v>96</v>
      </c>
      <c r="D16" s="143">
        <v>16.77</v>
      </c>
      <c r="E16" s="146"/>
      <c r="F16" s="128"/>
      <c r="G16" s="466"/>
      <c r="H16" s="229"/>
      <c r="I16" s="229"/>
      <c r="J16" s="229"/>
      <c r="K16" s="363"/>
      <c r="L16" s="363"/>
      <c r="M16" s="364"/>
      <c r="N16" s="364"/>
      <c r="P16" s="297"/>
      <c r="Q16" s="297"/>
      <c r="R16" s="297"/>
      <c r="S16" s="298"/>
      <c r="T16" s="298"/>
      <c r="U16" s="299"/>
      <c r="V16" s="299"/>
      <c r="W16" s="299"/>
      <c r="X16" s="298"/>
      <c r="Y16" s="297"/>
      <c r="Z16" s="297"/>
      <c r="AA16" s="300"/>
      <c r="AB16" s="296"/>
      <c r="AC16" s="296"/>
      <c r="AD16" s="296"/>
    </row>
    <row r="17" spans="1:30" ht="21.75" thickBot="1" x14ac:dyDescent="0.4">
      <c r="B17" s="128"/>
      <c r="C17" s="128"/>
      <c r="D17" s="128"/>
      <c r="E17" s="128"/>
      <c r="F17" s="128"/>
      <c r="G17" s="466"/>
      <c r="H17" s="229"/>
      <c r="I17" s="229"/>
      <c r="J17" s="229"/>
      <c r="K17" s="363"/>
      <c r="L17" s="363"/>
      <c r="M17" s="364"/>
      <c r="N17" s="364"/>
      <c r="P17" s="297"/>
      <c r="Q17" s="297"/>
      <c r="R17" s="297"/>
      <c r="S17" s="298"/>
      <c r="T17" s="298"/>
      <c r="U17" s="299"/>
      <c r="V17" s="299"/>
      <c r="W17" s="299"/>
      <c r="X17" s="298"/>
      <c r="Y17" s="297"/>
      <c r="Z17" s="297"/>
      <c r="AA17" s="300"/>
      <c r="AB17" s="296"/>
      <c r="AC17" s="296"/>
      <c r="AD17" s="296"/>
    </row>
    <row r="18" spans="1:30" ht="21.75" thickBot="1" x14ac:dyDescent="0.4">
      <c r="A18" s="427" t="s">
        <v>106</v>
      </c>
      <c r="B18" s="428"/>
      <c r="C18" s="428"/>
      <c r="D18" s="428"/>
      <c r="E18" s="42" t="s">
        <v>112</v>
      </c>
      <c r="F18" s="128"/>
      <c r="G18" s="466"/>
      <c r="H18" s="229"/>
      <c r="I18" s="229"/>
      <c r="J18" s="229"/>
      <c r="K18" s="363"/>
      <c r="L18" s="363"/>
      <c r="M18" s="364"/>
      <c r="N18" s="364"/>
      <c r="P18" s="297"/>
      <c r="Q18" s="297"/>
      <c r="R18" s="297"/>
      <c r="S18" s="298"/>
      <c r="T18" s="298"/>
      <c r="U18" s="299"/>
      <c r="V18" s="299"/>
      <c r="W18" s="298"/>
      <c r="X18" s="298"/>
      <c r="Y18" s="297"/>
      <c r="Z18" s="297"/>
      <c r="AA18" s="300"/>
      <c r="AB18" s="296"/>
      <c r="AC18" s="296"/>
      <c r="AD18" s="296"/>
    </row>
    <row r="19" spans="1:30" x14ac:dyDescent="0.35">
      <c r="A19" s="462" t="s">
        <v>105</v>
      </c>
      <c r="B19" s="463"/>
      <c r="C19" s="470">
        <v>2</v>
      </c>
      <c r="D19" s="471"/>
      <c r="E19" s="147"/>
      <c r="F19" s="128"/>
      <c r="G19" s="466"/>
      <c r="H19" s="229"/>
      <c r="I19" s="229"/>
      <c r="J19" s="229"/>
      <c r="K19" s="363"/>
      <c r="L19" s="363"/>
      <c r="M19" s="364"/>
      <c r="N19" s="364"/>
      <c r="P19" s="297"/>
      <c r="Q19" s="297"/>
      <c r="R19" s="297"/>
      <c r="S19" s="298"/>
      <c r="T19" s="298"/>
      <c r="U19" s="299"/>
      <c r="V19" s="299"/>
      <c r="W19" s="299"/>
      <c r="X19" s="298"/>
      <c r="Y19" s="297"/>
      <c r="Z19" s="297"/>
      <c r="AA19" s="300"/>
      <c r="AB19" s="296"/>
      <c r="AC19" s="296"/>
      <c r="AD19" s="296"/>
    </row>
    <row r="20" spans="1:30" x14ac:dyDescent="0.35">
      <c r="A20" s="468" t="s">
        <v>104</v>
      </c>
      <c r="B20" s="469"/>
      <c r="C20" s="461" t="s">
        <v>194</v>
      </c>
      <c r="D20" s="467"/>
      <c r="E20" s="145"/>
      <c r="F20" s="128"/>
      <c r="G20" s="466"/>
      <c r="H20" s="229"/>
      <c r="I20" s="229"/>
      <c r="J20" s="229"/>
      <c r="K20" s="363"/>
      <c r="L20" s="363"/>
      <c r="M20" s="364"/>
      <c r="N20" s="364"/>
      <c r="P20" s="297"/>
      <c r="Q20" s="297"/>
      <c r="R20" s="297"/>
      <c r="S20" s="297"/>
      <c r="T20" s="297"/>
      <c r="U20" s="297"/>
      <c r="V20" s="297"/>
      <c r="W20" s="297"/>
      <c r="X20" s="297"/>
      <c r="Y20" s="297"/>
      <c r="Z20" s="296"/>
      <c r="AA20" s="296"/>
      <c r="AB20" s="296"/>
      <c r="AC20" s="296"/>
      <c r="AD20" s="296"/>
    </row>
    <row r="21" spans="1:30" x14ac:dyDescent="0.35">
      <c r="A21" s="468" t="s">
        <v>100</v>
      </c>
      <c r="B21" s="469"/>
      <c r="C21" s="460" t="s">
        <v>103</v>
      </c>
      <c r="D21" s="461"/>
      <c r="E21" s="145"/>
      <c r="F21" s="128"/>
      <c r="G21" s="466"/>
      <c r="H21" s="465"/>
      <c r="I21" s="465"/>
      <c r="J21" s="465"/>
      <c r="K21" s="226"/>
      <c r="L21" s="337"/>
      <c r="M21" s="464"/>
      <c r="N21" s="464"/>
      <c r="P21" s="297"/>
      <c r="Q21" s="297"/>
      <c r="R21" s="297"/>
      <c r="S21" s="297"/>
      <c r="T21" s="297"/>
      <c r="U21" s="297"/>
      <c r="V21" s="297"/>
      <c r="W21" s="297"/>
      <c r="X21" s="297"/>
      <c r="Y21" s="297"/>
      <c r="Z21" s="296"/>
      <c r="AA21" s="296"/>
      <c r="AB21" s="296"/>
      <c r="AC21" s="296"/>
      <c r="AD21" s="296"/>
    </row>
    <row r="22" spans="1:30" x14ac:dyDescent="0.35">
      <c r="A22" s="486" t="s">
        <v>196</v>
      </c>
      <c r="B22" s="487"/>
      <c r="C22" s="461">
        <v>5</v>
      </c>
      <c r="D22" s="473"/>
      <c r="E22" s="145" t="s">
        <v>197</v>
      </c>
      <c r="F22" s="128"/>
      <c r="G22" s="220"/>
      <c r="H22" s="337"/>
      <c r="I22" s="337"/>
      <c r="J22" s="337"/>
      <c r="K22" s="337"/>
      <c r="L22" s="337"/>
      <c r="M22" s="338"/>
      <c r="N22" s="338"/>
      <c r="P22" s="472"/>
      <c r="Q22" s="472"/>
      <c r="R22" s="472"/>
      <c r="S22" s="472"/>
      <c r="T22" s="472"/>
      <c r="U22" s="472"/>
      <c r="V22" s="472"/>
      <c r="W22" s="472"/>
      <c r="X22" s="472"/>
      <c r="Y22" s="472"/>
      <c r="Z22" s="472"/>
      <c r="AA22" s="472"/>
      <c r="AB22" s="472"/>
      <c r="AC22" s="472"/>
      <c r="AD22" s="472"/>
    </row>
    <row r="23" spans="1:30" ht="32.25" customHeight="1" x14ac:dyDescent="0.35">
      <c r="A23" s="468" t="s">
        <v>89</v>
      </c>
      <c r="B23" s="469"/>
      <c r="C23" s="49" t="s">
        <v>95</v>
      </c>
      <c r="D23" s="52">
        <f>D13</f>
        <v>797.28</v>
      </c>
      <c r="E23" s="145"/>
      <c r="F23" s="128"/>
      <c r="G23" s="466"/>
      <c r="H23" s="337"/>
      <c r="I23" s="337"/>
      <c r="J23" s="337"/>
      <c r="K23" s="338"/>
      <c r="L23" s="338"/>
      <c r="M23" s="338"/>
      <c r="N23" s="338"/>
      <c r="P23" s="228"/>
      <c r="Q23" s="222"/>
      <c r="R23" s="222"/>
      <c r="S23" s="295"/>
      <c r="T23" s="295"/>
      <c r="U23" s="222"/>
      <c r="V23" s="295"/>
      <c r="W23" s="295"/>
      <c r="X23" s="295"/>
      <c r="Y23" s="295"/>
      <c r="Z23" s="222"/>
      <c r="AA23" s="222"/>
      <c r="AB23" s="222"/>
      <c r="AC23" s="222"/>
      <c r="AD23" s="222"/>
    </row>
    <row r="24" spans="1:30" x14ac:dyDescent="0.35">
      <c r="A24" s="468" t="s">
        <v>90</v>
      </c>
      <c r="B24" s="469"/>
      <c r="C24" s="49" t="s">
        <v>96</v>
      </c>
      <c r="D24" s="52">
        <f>D5*C19</f>
        <v>35.64</v>
      </c>
      <c r="E24" s="145"/>
      <c r="F24" s="128"/>
      <c r="G24" s="466"/>
      <c r="H24" s="229"/>
      <c r="I24" s="229"/>
      <c r="J24" s="229"/>
      <c r="K24" s="363"/>
      <c r="L24" s="363"/>
      <c r="M24" s="364"/>
      <c r="N24" s="364"/>
      <c r="P24" s="297"/>
      <c r="Q24" s="297"/>
      <c r="R24" s="297"/>
      <c r="S24" s="297"/>
      <c r="T24" s="297"/>
      <c r="U24" s="297"/>
      <c r="V24" s="297"/>
      <c r="W24" s="297"/>
      <c r="X24" s="297"/>
      <c r="Y24" s="297"/>
      <c r="Z24" s="297"/>
      <c r="AA24" s="297"/>
      <c r="AB24" s="297"/>
      <c r="AC24" s="229"/>
      <c r="AD24" s="229"/>
    </row>
    <row r="25" spans="1:30" x14ac:dyDescent="0.35">
      <c r="A25" s="468" t="s">
        <v>91</v>
      </c>
      <c r="B25" s="469"/>
      <c r="C25" s="49" t="s">
        <v>95</v>
      </c>
      <c r="D25" s="52">
        <f>D15</f>
        <v>668.48</v>
      </c>
      <c r="E25" s="148"/>
      <c r="G25" s="466"/>
      <c r="H25" s="229"/>
      <c r="I25" s="229"/>
      <c r="J25" s="229"/>
      <c r="K25" s="363"/>
      <c r="L25" s="363"/>
      <c r="M25" s="364"/>
      <c r="N25" s="364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297"/>
      <c r="AA25" s="297"/>
      <c r="AB25" s="297"/>
      <c r="AC25" s="229"/>
      <c r="AD25" s="229"/>
    </row>
    <row r="26" spans="1:30" ht="21.75" thickBot="1" x14ac:dyDescent="0.4">
      <c r="A26" s="474" t="s">
        <v>92</v>
      </c>
      <c r="B26" s="475"/>
      <c r="C26" s="132" t="s">
        <v>96</v>
      </c>
      <c r="D26" s="143">
        <f>C19*D7</f>
        <v>33.54</v>
      </c>
      <c r="E26" s="149"/>
      <c r="G26" s="466"/>
      <c r="H26" s="229"/>
      <c r="I26" s="229"/>
      <c r="J26" s="229"/>
      <c r="K26" s="363"/>
      <c r="L26" s="363"/>
      <c r="M26" s="364"/>
      <c r="N26" s="364"/>
      <c r="P26" s="297"/>
      <c r="Q26" s="297"/>
      <c r="R26" s="297"/>
      <c r="S26" s="297"/>
      <c r="T26" s="297"/>
      <c r="U26" s="297"/>
      <c r="V26" s="297"/>
      <c r="W26" s="297"/>
      <c r="X26" s="297"/>
      <c r="Y26" s="298"/>
      <c r="Z26" s="229"/>
      <c r="AA26" s="297"/>
      <c r="AB26" s="229"/>
      <c r="AC26" s="229"/>
      <c r="AD26" s="229"/>
    </row>
    <row r="27" spans="1:30" ht="21.75" thickBot="1" x14ac:dyDescent="0.4">
      <c r="E27" s="40"/>
      <c r="G27" s="466"/>
      <c r="H27" s="229"/>
      <c r="I27" s="229"/>
      <c r="J27" s="229"/>
      <c r="K27" s="363"/>
      <c r="L27" s="363"/>
      <c r="M27" s="364"/>
      <c r="N27" s="364"/>
      <c r="P27" s="297"/>
      <c r="Q27" s="297"/>
      <c r="R27" s="297"/>
      <c r="S27" s="297"/>
      <c r="T27" s="297"/>
      <c r="U27" s="297"/>
      <c r="V27" s="297"/>
      <c r="W27" s="297"/>
      <c r="X27" s="297"/>
      <c r="Y27" s="297"/>
      <c r="Z27" s="229"/>
      <c r="AA27" s="229"/>
      <c r="AB27" s="229"/>
      <c r="AC27" s="229"/>
      <c r="AD27" s="229"/>
    </row>
    <row r="28" spans="1:30" ht="21.75" thickBot="1" x14ac:dyDescent="0.4">
      <c r="A28" s="427" t="s">
        <v>107</v>
      </c>
      <c r="B28" s="428"/>
      <c r="C28" s="428"/>
      <c r="D28" s="428"/>
      <c r="E28" s="42" t="s">
        <v>112</v>
      </c>
      <c r="G28" s="466"/>
      <c r="H28" s="229"/>
      <c r="I28" s="229"/>
      <c r="J28" s="229"/>
      <c r="K28" s="363"/>
      <c r="L28" s="363"/>
      <c r="M28" s="364"/>
      <c r="N28" s="364"/>
      <c r="P28" s="297"/>
      <c r="Q28" s="297"/>
      <c r="R28" s="297"/>
      <c r="S28" s="297"/>
      <c r="T28" s="297"/>
      <c r="U28" s="297"/>
      <c r="V28" s="297"/>
      <c r="W28" s="301"/>
      <c r="X28" s="297"/>
      <c r="Y28" s="298"/>
      <c r="Z28" s="229"/>
      <c r="AA28" s="297"/>
      <c r="AB28" s="229"/>
      <c r="AC28" s="229"/>
      <c r="AD28" s="229"/>
    </row>
    <row r="29" spans="1:30" ht="21" customHeight="1" x14ac:dyDescent="0.35">
      <c r="A29" s="476" t="s">
        <v>110</v>
      </c>
      <c r="B29" s="136" t="s">
        <v>109</v>
      </c>
      <c r="C29" s="491">
        <v>3</v>
      </c>
      <c r="D29" s="470"/>
      <c r="E29" s="481" t="s">
        <v>160</v>
      </c>
      <c r="G29" s="466"/>
      <c r="H29" s="229"/>
      <c r="I29" s="229"/>
      <c r="J29" s="229"/>
      <c r="K29" s="363"/>
      <c r="L29" s="363"/>
      <c r="M29" s="364"/>
      <c r="N29" s="364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29"/>
      <c r="AA29" s="229"/>
      <c r="AB29" s="229"/>
      <c r="AC29" s="229"/>
      <c r="AD29" s="229"/>
    </row>
    <row r="30" spans="1:30" x14ac:dyDescent="0.35">
      <c r="A30" s="477"/>
      <c r="B30" s="135" t="s">
        <v>108</v>
      </c>
      <c r="C30" s="460">
        <v>5</v>
      </c>
      <c r="D30" s="461"/>
      <c r="E30" s="482"/>
      <c r="G30" s="466"/>
      <c r="H30" s="465"/>
      <c r="I30" s="465"/>
      <c r="J30" s="465"/>
      <c r="K30" s="226"/>
      <c r="L30" s="227"/>
      <c r="M30" s="464"/>
      <c r="N30" s="464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29"/>
      <c r="AA30" s="229"/>
      <c r="AB30" s="229"/>
      <c r="AC30" s="229"/>
      <c r="AD30" s="229"/>
    </row>
    <row r="31" spans="1:30" x14ac:dyDescent="0.35">
      <c r="A31" s="478"/>
      <c r="B31" s="138" t="s">
        <v>207</v>
      </c>
      <c r="C31" s="461" t="s">
        <v>208</v>
      </c>
      <c r="D31" s="473"/>
      <c r="E31" s="482"/>
      <c r="G31" s="220"/>
      <c r="H31" s="337"/>
      <c r="I31" s="337"/>
      <c r="J31" s="337"/>
      <c r="K31" s="226"/>
      <c r="L31" s="227"/>
      <c r="M31" s="228"/>
      <c r="N31" s="228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29"/>
      <c r="AA31" s="229"/>
      <c r="AB31" s="229"/>
      <c r="AC31" s="229"/>
      <c r="AD31" s="229"/>
    </row>
    <row r="32" spans="1:30" ht="21.75" thickBot="1" x14ac:dyDescent="0.4">
      <c r="A32" s="479"/>
      <c r="B32" s="138" t="s">
        <v>111</v>
      </c>
      <c r="C32" s="492" t="s">
        <v>195</v>
      </c>
      <c r="D32" s="493"/>
      <c r="E32" s="496"/>
      <c r="G32" s="466"/>
      <c r="H32" s="337"/>
      <c r="I32" s="337"/>
      <c r="J32" s="338"/>
      <c r="K32" s="337"/>
      <c r="L32" s="337"/>
      <c r="M32" s="337"/>
      <c r="N32" s="337"/>
      <c r="O32" s="128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29"/>
      <c r="AA32" s="229"/>
      <c r="AB32" s="229"/>
      <c r="AC32" s="229"/>
      <c r="AD32" s="229"/>
    </row>
    <row r="33" spans="1:30" ht="21" customHeight="1" x14ac:dyDescent="0.35">
      <c r="A33" s="488" t="s">
        <v>209</v>
      </c>
      <c r="B33" s="141" t="s">
        <v>89</v>
      </c>
      <c r="C33" s="140" t="s">
        <v>95</v>
      </c>
      <c r="D33" s="142">
        <f>D23</f>
        <v>797.28</v>
      </c>
      <c r="E33" s="219"/>
      <c r="G33" s="466"/>
      <c r="H33" s="229"/>
      <c r="I33" s="229"/>
      <c r="J33" s="229"/>
      <c r="K33" s="229"/>
      <c r="L33" s="364"/>
      <c r="M33" s="229"/>
      <c r="N33" s="229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</row>
    <row r="34" spans="1:30" ht="21" customHeight="1" x14ac:dyDescent="0.35">
      <c r="A34" s="490"/>
      <c r="B34" s="129" t="s">
        <v>90</v>
      </c>
      <c r="C34" s="49" t="s">
        <v>96</v>
      </c>
      <c r="D34" s="52">
        <f>4*D24+(D14)</f>
        <v>160.38</v>
      </c>
      <c r="E34" s="219"/>
      <c r="G34" s="466"/>
      <c r="H34" s="337"/>
      <c r="I34" s="337"/>
      <c r="J34" s="337"/>
      <c r="K34" s="337"/>
      <c r="L34" s="337"/>
      <c r="M34" s="337"/>
      <c r="N34" s="227"/>
      <c r="O34" s="221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</row>
    <row r="35" spans="1:30" x14ac:dyDescent="0.35">
      <c r="A35" s="490"/>
      <c r="B35" s="129" t="s">
        <v>91</v>
      </c>
      <c r="C35" s="49" t="s">
        <v>95</v>
      </c>
      <c r="D35" s="52">
        <f>D25</f>
        <v>668.48</v>
      </c>
      <c r="E35" s="219"/>
      <c r="G35" s="466"/>
      <c r="H35" s="229"/>
      <c r="I35" s="229"/>
      <c r="J35" s="229"/>
      <c r="K35" s="229"/>
      <c r="L35" s="229"/>
      <c r="M35" s="364"/>
      <c r="N35" s="229"/>
      <c r="O35" s="229"/>
      <c r="P35" s="128"/>
    </row>
    <row r="36" spans="1:30" ht="21.75" thickBot="1" x14ac:dyDescent="0.4">
      <c r="A36" s="489"/>
      <c r="B36" s="131" t="s">
        <v>92</v>
      </c>
      <c r="C36" s="132" t="s">
        <v>96</v>
      </c>
      <c r="D36" s="143">
        <f>4*D26+D16</f>
        <v>150.93</v>
      </c>
      <c r="E36" s="219"/>
      <c r="G36" s="466"/>
      <c r="H36" s="229"/>
      <c r="I36" s="229"/>
      <c r="J36" s="229"/>
      <c r="K36" s="229"/>
      <c r="L36" s="229"/>
      <c r="M36" s="364"/>
      <c r="N36" s="229"/>
      <c r="O36" s="229"/>
      <c r="P36" s="128"/>
    </row>
    <row r="37" spans="1:30" ht="43.5" customHeight="1" x14ac:dyDescent="0.35">
      <c r="A37" s="488" t="s">
        <v>210</v>
      </c>
      <c r="B37" s="139" t="s">
        <v>89</v>
      </c>
      <c r="C37" s="140" t="s">
        <v>95</v>
      </c>
      <c r="D37" s="142">
        <v>380</v>
      </c>
      <c r="E37" s="494" t="s">
        <v>199</v>
      </c>
      <c r="G37" s="466"/>
      <c r="H37" s="229"/>
      <c r="I37" s="229"/>
      <c r="J37" s="229"/>
      <c r="K37" s="229"/>
      <c r="L37" s="229"/>
      <c r="M37" s="364"/>
      <c r="N37" s="229"/>
      <c r="O37" s="229"/>
      <c r="P37" s="128"/>
    </row>
    <row r="38" spans="1:30" ht="39" customHeight="1" thickBot="1" x14ac:dyDescent="0.4">
      <c r="A38" s="489"/>
      <c r="B38" s="137" t="s">
        <v>90</v>
      </c>
      <c r="C38" s="132" t="s">
        <v>96</v>
      </c>
      <c r="D38" s="143" t="s">
        <v>198</v>
      </c>
      <c r="E38" s="495"/>
      <c r="G38" s="466"/>
      <c r="H38" s="229"/>
      <c r="I38" s="229"/>
      <c r="J38" s="229"/>
      <c r="K38" s="229"/>
      <c r="L38" s="229"/>
      <c r="M38" s="364"/>
      <c r="N38" s="229"/>
      <c r="O38" s="229"/>
      <c r="P38" s="128"/>
    </row>
    <row r="39" spans="1:30" x14ac:dyDescent="0.35">
      <c r="G39" s="466"/>
      <c r="H39" s="465"/>
      <c r="I39" s="465"/>
      <c r="J39" s="465"/>
      <c r="K39" s="229"/>
      <c r="L39" s="337"/>
      <c r="M39" s="228"/>
      <c r="N39" s="337"/>
      <c r="O39" s="128"/>
      <c r="P39" s="128"/>
    </row>
    <row r="40" spans="1:30" x14ac:dyDescent="0.35">
      <c r="G40" s="465"/>
      <c r="H40" s="465"/>
      <c r="I40" s="465"/>
      <c r="J40" s="465"/>
      <c r="K40" s="465"/>
      <c r="L40" s="465"/>
      <c r="M40" s="465"/>
      <c r="N40" s="226"/>
      <c r="O40" s="128"/>
      <c r="P40" s="128"/>
    </row>
    <row r="41" spans="1:30" x14ac:dyDescent="0.35">
      <c r="G41" s="465"/>
      <c r="H41" s="465"/>
      <c r="I41" s="465"/>
      <c r="J41" s="465"/>
      <c r="K41" s="465"/>
      <c r="L41" s="465"/>
      <c r="M41" s="465"/>
      <c r="N41" s="367"/>
      <c r="O41" s="128"/>
      <c r="P41" s="128"/>
    </row>
    <row r="42" spans="1:30" x14ac:dyDescent="0.35">
      <c r="G42" s="225"/>
      <c r="H42" s="225"/>
      <c r="I42" s="225"/>
      <c r="J42" s="225"/>
      <c r="K42" s="225"/>
      <c r="L42" s="225"/>
      <c r="M42" s="225"/>
      <c r="N42" s="225"/>
      <c r="O42" s="235"/>
      <c r="P42" s="128"/>
    </row>
    <row r="43" spans="1:30" x14ac:dyDescent="0.35">
      <c r="G43" s="20"/>
      <c r="H43" s="20"/>
      <c r="I43" s="20"/>
      <c r="J43" s="20"/>
      <c r="K43" s="20"/>
      <c r="L43" s="20"/>
      <c r="M43" s="236"/>
      <c r="N43" s="20"/>
      <c r="O43" s="20"/>
    </row>
    <row r="44" spans="1:30" x14ac:dyDescent="0.35">
      <c r="G44" s="20"/>
      <c r="H44" s="20"/>
      <c r="I44" s="20"/>
      <c r="J44" s="20"/>
      <c r="K44" s="20"/>
      <c r="L44" s="20"/>
      <c r="M44" s="236"/>
      <c r="N44" s="20"/>
      <c r="O44" s="20"/>
    </row>
    <row r="45" spans="1:30" x14ac:dyDescent="0.35">
      <c r="G45" s="20"/>
      <c r="H45" s="20"/>
      <c r="I45" s="20"/>
      <c r="J45" s="20"/>
      <c r="K45" s="20"/>
      <c r="L45" s="20"/>
      <c r="M45" s="236"/>
      <c r="N45" s="20"/>
      <c r="O45" s="20"/>
    </row>
  </sheetData>
  <mergeCells count="57">
    <mergeCell ref="E37:E38"/>
    <mergeCell ref="H21:J21"/>
    <mergeCell ref="H30:J30"/>
    <mergeCell ref="G32:G33"/>
    <mergeCell ref="G34:G39"/>
    <mergeCell ref="H39:J39"/>
    <mergeCell ref="G23:G30"/>
    <mergeCell ref="E29:E32"/>
    <mergeCell ref="A22:B22"/>
    <mergeCell ref="C22:D22"/>
    <mergeCell ref="A23:B23"/>
    <mergeCell ref="A37:A38"/>
    <mergeCell ref="A33:A36"/>
    <mergeCell ref="C29:D29"/>
    <mergeCell ref="C30:D30"/>
    <mergeCell ref="C32:D32"/>
    <mergeCell ref="G1:X1"/>
    <mergeCell ref="A1:D1"/>
    <mergeCell ref="A8:B8"/>
    <mergeCell ref="A7:B7"/>
    <mergeCell ref="C11:D11"/>
    <mergeCell ref="A11:B11"/>
    <mergeCell ref="E2:E8"/>
    <mergeCell ref="A6:B6"/>
    <mergeCell ref="A5:B5"/>
    <mergeCell ref="A4:B4"/>
    <mergeCell ref="A3:B3"/>
    <mergeCell ref="A2:B2"/>
    <mergeCell ref="C2:D2"/>
    <mergeCell ref="P13:AA13"/>
    <mergeCell ref="A13:B13"/>
    <mergeCell ref="P22:AD22"/>
    <mergeCell ref="G40:M40"/>
    <mergeCell ref="G41:M41"/>
    <mergeCell ref="C31:D31"/>
    <mergeCell ref="A24:B24"/>
    <mergeCell ref="A25:B25"/>
    <mergeCell ref="M30:N30"/>
    <mergeCell ref="A16:B16"/>
    <mergeCell ref="A15:B15"/>
    <mergeCell ref="A14:B14"/>
    <mergeCell ref="A18:D18"/>
    <mergeCell ref="A26:B26"/>
    <mergeCell ref="A28:D28"/>
    <mergeCell ref="A29:A32"/>
    <mergeCell ref="C12:D12"/>
    <mergeCell ref="A10:D10"/>
    <mergeCell ref="A19:B19"/>
    <mergeCell ref="M21:N21"/>
    <mergeCell ref="G13:N13"/>
    <mergeCell ref="G14:G21"/>
    <mergeCell ref="C21:D21"/>
    <mergeCell ref="C20:D20"/>
    <mergeCell ref="A20:B20"/>
    <mergeCell ref="A12:B12"/>
    <mergeCell ref="A21:B21"/>
    <mergeCell ref="C19:D19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B348-1885-47B6-89F3-0C58748FB8E7}">
  <dimension ref="A1:R14"/>
  <sheetViews>
    <sheetView zoomScale="75" zoomScaleNormal="75" workbookViewId="0">
      <selection activeCell="A14" sqref="A14"/>
    </sheetView>
  </sheetViews>
  <sheetFormatPr defaultRowHeight="21" x14ac:dyDescent="0.35"/>
  <cols>
    <col min="2" max="2" width="15.7265625" customWidth="1"/>
    <col min="3" max="3" width="13.81640625" customWidth="1"/>
    <col min="10" max="10" width="13.6328125" customWidth="1"/>
    <col min="11" max="11" width="13.453125" customWidth="1"/>
    <col min="17" max="17" width="14.7265625" customWidth="1"/>
    <col min="18" max="18" width="25.90625" customWidth="1"/>
  </cols>
  <sheetData>
    <row r="1" spans="1:18" ht="21.75" thickBot="1" x14ac:dyDescent="0.4">
      <c r="A1" s="427" t="s">
        <v>114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9"/>
    </row>
    <row r="2" spans="1:18" s="165" customFormat="1" ht="32.25" thickBot="1" x14ac:dyDescent="0.4">
      <c r="A2" s="44" t="s">
        <v>115</v>
      </c>
      <c r="B2" s="44" t="s">
        <v>116</v>
      </c>
      <c r="C2" s="44" t="s">
        <v>117</v>
      </c>
      <c r="D2" s="44" t="s">
        <v>135</v>
      </c>
      <c r="E2" s="44" t="s">
        <v>211</v>
      </c>
      <c r="F2" s="44" t="s">
        <v>119</v>
      </c>
      <c r="G2" s="44" t="s">
        <v>126</v>
      </c>
      <c r="H2" s="44" t="s">
        <v>155</v>
      </c>
      <c r="I2" s="44" t="s">
        <v>158</v>
      </c>
      <c r="J2" s="44" t="s">
        <v>151</v>
      </c>
      <c r="K2" s="44" t="s">
        <v>283</v>
      </c>
      <c r="L2" s="44" t="s">
        <v>128</v>
      </c>
      <c r="M2" s="44" t="s">
        <v>131</v>
      </c>
      <c r="N2" s="44" t="s">
        <v>123</v>
      </c>
      <c r="O2" s="44" t="s">
        <v>120</v>
      </c>
      <c r="P2" s="44" t="s">
        <v>121</v>
      </c>
      <c r="Q2" s="44" t="s">
        <v>122</v>
      </c>
      <c r="R2" s="44" t="s">
        <v>132</v>
      </c>
    </row>
    <row r="3" spans="1:18" x14ac:dyDescent="0.35">
      <c r="A3" s="237" t="s">
        <v>124</v>
      </c>
      <c r="B3" s="334" t="s">
        <v>125</v>
      </c>
      <c r="C3" s="334" t="s">
        <v>125</v>
      </c>
      <c r="D3" s="334" t="s">
        <v>136</v>
      </c>
      <c r="E3" s="167">
        <v>17.82</v>
      </c>
      <c r="F3" s="167">
        <v>49.83</v>
      </c>
      <c r="G3" s="334" t="s">
        <v>127</v>
      </c>
      <c r="H3" s="169" t="s">
        <v>395</v>
      </c>
      <c r="I3" s="334">
        <v>2</v>
      </c>
      <c r="J3" s="334" t="s">
        <v>152</v>
      </c>
      <c r="K3" s="288">
        <v>4</v>
      </c>
      <c r="L3" s="334" t="s">
        <v>147</v>
      </c>
      <c r="M3" s="334">
        <v>1.8</v>
      </c>
      <c r="N3" s="289">
        <v>48</v>
      </c>
      <c r="O3" s="171">
        <v>1</v>
      </c>
      <c r="P3" s="167">
        <v>1.04</v>
      </c>
      <c r="Q3" s="170">
        <f t="shared" ref="Q3:Q13" si="0">N3*O3*P3</f>
        <v>49.92</v>
      </c>
      <c r="R3" s="70" t="s">
        <v>148</v>
      </c>
    </row>
    <row r="4" spans="1:18" x14ac:dyDescent="0.35">
      <c r="A4" s="238" t="s">
        <v>124</v>
      </c>
      <c r="B4" s="335" t="s">
        <v>133</v>
      </c>
      <c r="C4" s="335" t="s">
        <v>134</v>
      </c>
      <c r="D4" s="335" t="s">
        <v>136</v>
      </c>
      <c r="E4" s="51">
        <v>17.82</v>
      </c>
      <c r="F4" s="51">
        <v>797.28</v>
      </c>
      <c r="G4" s="335" t="s">
        <v>139</v>
      </c>
      <c r="H4" s="169" t="s">
        <v>395</v>
      </c>
      <c r="I4" s="335">
        <v>2</v>
      </c>
      <c r="J4" s="335" t="s">
        <v>152</v>
      </c>
      <c r="K4" s="287">
        <v>4</v>
      </c>
      <c r="L4" s="335" t="s">
        <v>146</v>
      </c>
      <c r="M4" s="335" t="s">
        <v>130</v>
      </c>
      <c r="N4" s="286">
        <v>38</v>
      </c>
      <c r="O4" s="285">
        <v>0.7</v>
      </c>
      <c r="P4" s="51">
        <v>1.04</v>
      </c>
      <c r="Q4" s="166">
        <f t="shared" si="0"/>
        <v>27.663999999999998</v>
      </c>
      <c r="R4" s="73" t="s">
        <v>145</v>
      </c>
    </row>
    <row r="5" spans="1:18" x14ac:dyDescent="0.35">
      <c r="A5" s="238" t="s">
        <v>124</v>
      </c>
      <c r="B5" s="335" t="s">
        <v>134</v>
      </c>
      <c r="C5" s="335" t="s">
        <v>156</v>
      </c>
      <c r="D5" s="335" t="s">
        <v>136</v>
      </c>
      <c r="E5" s="51">
        <v>35.64</v>
      </c>
      <c r="F5" s="51">
        <v>797.28</v>
      </c>
      <c r="G5" s="335" t="s">
        <v>139</v>
      </c>
      <c r="H5" s="169" t="s">
        <v>395</v>
      </c>
      <c r="I5" s="335">
        <v>2</v>
      </c>
      <c r="J5" s="335" t="s">
        <v>152</v>
      </c>
      <c r="K5" s="287">
        <v>10</v>
      </c>
      <c r="L5" s="335" t="s">
        <v>129</v>
      </c>
      <c r="M5" s="335" t="s">
        <v>130</v>
      </c>
      <c r="N5" s="286">
        <v>73</v>
      </c>
      <c r="O5" s="285">
        <v>1</v>
      </c>
      <c r="P5" s="51">
        <v>1.04</v>
      </c>
      <c r="Q5" s="166">
        <f t="shared" si="0"/>
        <v>75.92</v>
      </c>
      <c r="R5" s="73" t="s">
        <v>145</v>
      </c>
    </row>
    <row r="6" spans="1:18" x14ac:dyDescent="0.35">
      <c r="A6" s="238" t="s">
        <v>265</v>
      </c>
      <c r="B6" s="335" t="s">
        <v>157</v>
      </c>
      <c r="C6" s="335" t="s">
        <v>137</v>
      </c>
      <c r="D6" s="335" t="s">
        <v>138</v>
      </c>
      <c r="E6" s="51" t="s">
        <v>198</v>
      </c>
      <c r="F6" s="164">
        <v>380</v>
      </c>
      <c r="G6" s="335" t="s">
        <v>139</v>
      </c>
      <c r="H6" s="335" t="s">
        <v>153</v>
      </c>
      <c r="I6" s="335">
        <v>4</v>
      </c>
      <c r="J6" s="335" t="s">
        <v>152</v>
      </c>
      <c r="K6" s="287">
        <v>70</v>
      </c>
      <c r="L6" s="335" t="s">
        <v>129</v>
      </c>
      <c r="M6" s="335" t="s">
        <v>130</v>
      </c>
      <c r="N6" s="286">
        <v>251</v>
      </c>
      <c r="O6" s="285">
        <v>0.7</v>
      </c>
      <c r="P6" s="51">
        <v>1.04</v>
      </c>
      <c r="Q6" s="166">
        <f t="shared" si="0"/>
        <v>182.72799999999998</v>
      </c>
      <c r="R6" s="73" t="s">
        <v>145</v>
      </c>
    </row>
    <row r="7" spans="1:18" x14ac:dyDescent="0.35">
      <c r="A7" s="238" t="s">
        <v>265</v>
      </c>
      <c r="B7" s="335" t="s">
        <v>137</v>
      </c>
      <c r="C7" s="335" t="s">
        <v>149</v>
      </c>
      <c r="D7" s="335" t="s">
        <v>138</v>
      </c>
      <c r="E7" s="51">
        <v>501</v>
      </c>
      <c r="F7" s="164">
        <v>380</v>
      </c>
      <c r="G7" s="335" t="s">
        <v>150</v>
      </c>
      <c r="H7" s="335" t="s">
        <v>154</v>
      </c>
      <c r="I7" s="335">
        <v>4</v>
      </c>
      <c r="J7" s="335" t="s">
        <v>159</v>
      </c>
      <c r="K7" s="287">
        <v>240</v>
      </c>
      <c r="L7" s="335" t="s">
        <v>129</v>
      </c>
      <c r="M7" s="335" t="s">
        <v>130</v>
      </c>
      <c r="N7" s="286">
        <v>351</v>
      </c>
      <c r="O7" s="285">
        <v>0.7</v>
      </c>
      <c r="P7" s="51">
        <v>1.04</v>
      </c>
      <c r="Q7" s="166">
        <f t="shared" si="0"/>
        <v>255.52799999999999</v>
      </c>
      <c r="R7" s="73" t="s">
        <v>145</v>
      </c>
    </row>
    <row r="8" spans="1:18" x14ac:dyDescent="0.35">
      <c r="A8" s="238" t="s">
        <v>187</v>
      </c>
      <c r="B8" s="335" t="s">
        <v>193</v>
      </c>
      <c r="C8" s="335" t="s">
        <v>188</v>
      </c>
      <c r="D8" s="335" t="s">
        <v>138</v>
      </c>
      <c r="E8" s="51">
        <v>35</v>
      </c>
      <c r="F8" s="164">
        <v>220</v>
      </c>
      <c r="G8" s="335" t="s">
        <v>189</v>
      </c>
      <c r="H8" s="335" t="s">
        <v>397</v>
      </c>
      <c r="I8" s="335">
        <v>3</v>
      </c>
      <c r="J8" s="335" t="s">
        <v>152</v>
      </c>
      <c r="K8" s="287">
        <v>10</v>
      </c>
      <c r="L8" s="335" t="s">
        <v>129</v>
      </c>
      <c r="M8" s="335" t="s">
        <v>130</v>
      </c>
      <c r="N8" s="286">
        <v>73</v>
      </c>
      <c r="O8" s="285">
        <v>1</v>
      </c>
      <c r="P8" s="51">
        <v>1.04</v>
      </c>
      <c r="Q8" s="166">
        <f t="shared" si="0"/>
        <v>75.92</v>
      </c>
      <c r="R8" s="73" t="s">
        <v>145</v>
      </c>
    </row>
    <row r="9" spans="1:18" x14ac:dyDescent="0.35">
      <c r="A9" s="238" t="s">
        <v>187</v>
      </c>
      <c r="B9" s="335" t="s">
        <v>188</v>
      </c>
      <c r="C9" s="335" t="s">
        <v>414</v>
      </c>
      <c r="D9" s="335" t="s">
        <v>138</v>
      </c>
      <c r="E9" s="51">
        <v>1.82</v>
      </c>
      <c r="F9" s="164">
        <v>220</v>
      </c>
      <c r="G9" s="335" t="s">
        <v>190</v>
      </c>
      <c r="H9" s="335" t="s">
        <v>397</v>
      </c>
      <c r="I9" s="335">
        <v>3</v>
      </c>
      <c r="J9" s="335" t="s">
        <v>152</v>
      </c>
      <c r="K9" s="287">
        <v>2.5</v>
      </c>
      <c r="L9" s="335" t="s">
        <v>129</v>
      </c>
      <c r="M9" s="335" t="s">
        <v>130</v>
      </c>
      <c r="N9" s="286">
        <v>31</v>
      </c>
      <c r="O9" s="285">
        <v>0.7</v>
      </c>
      <c r="P9" s="51">
        <v>1.04</v>
      </c>
      <c r="Q9" s="166">
        <f t="shared" si="0"/>
        <v>22.568000000000001</v>
      </c>
      <c r="R9" s="73" t="s">
        <v>145</v>
      </c>
    </row>
    <row r="10" spans="1:18" x14ac:dyDescent="0.35">
      <c r="A10" s="238" t="s">
        <v>187</v>
      </c>
      <c r="B10" s="335" t="s">
        <v>188</v>
      </c>
      <c r="C10" s="335" t="s">
        <v>415</v>
      </c>
      <c r="D10" s="335" t="s">
        <v>138</v>
      </c>
      <c r="E10" s="51">
        <v>4.55</v>
      </c>
      <c r="F10" s="164">
        <v>220</v>
      </c>
      <c r="G10" s="335" t="s">
        <v>190</v>
      </c>
      <c r="H10" s="335" t="s">
        <v>397</v>
      </c>
      <c r="I10" s="335">
        <v>3</v>
      </c>
      <c r="J10" s="335" t="s">
        <v>152</v>
      </c>
      <c r="K10" s="287">
        <v>2.5</v>
      </c>
      <c r="L10" s="335" t="s">
        <v>129</v>
      </c>
      <c r="M10" s="335" t="s">
        <v>130</v>
      </c>
      <c r="N10" s="286">
        <v>31</v>
      </c>
      <c r="O10" s="285">
        <v>0.7</v>
      </c>
      <c r="P10" s="51">
        <v>1.04</v>
      </c>
      <c r="Q10" s="166">
        <f t="shared" si="0"/>
        <v>22.568000000000001</v>
      </c>
      <c r="R10" s="73" t="s">
        <v>145</v>
      </c>
    </row>
    <row r="11" spans="1:18" x14ac:dyDescent="0.35">
      <c r="A11" s="238" t="s">
        <v>187</v>
      </c>
      <c r="B11" s="335" t="s">
        <v>188</v>
      </c>
      <c r="C11" s="335" t="s">
        <v>191</v>
      </c>
      <c r="D11" s="335" t="s">
        <v>138</v>
      </c>
      <c r="E11" s="51">
        <v>24.545454545454543</v>
      </c>
      <c r="F11" s="164">
        <v>220</v>
      </c>
      <c r="G11" s="335" t="s">
        <v>190</v>
      </c>
      <c r="H11" s="335" t="s">
        <v>397</v>
      </c>
      <c r="I11" s="335">
        <v>3</v>
      </c>
      <c r="J11" s="335" t="s">
        <v>152</v>
      </c>
      <c r="K11" s="287">
        <v>4</v>
      </c>
      <c r="L11" s="335" t="s">
        <v>129</v>
      </c>
      <c r="M11" s="335" t="s">
        <v>130</v>
      </c>
      <c r="N11" s="286">
        <v>38</v>
      </c>
      <c r="O11" s="285">
        <v>0.7</v>
      </c>
      <c r="P11" s="51">
        <v>1.04</v>
      </c>
      <c r="Q11" s="166">
        <f t="shared" si="0"/>
        <v>27.663999999999998</v>
      </c>
      <c r="R11" s="73" t="s">
        <v>145</v>
      </c>
    </row>
    <row r="12" spans="1:18" x14ac:dyDescent="0.35">
      <c r="A12" s="238" t="s">
        <v>187</v>
      </c>
      <c r="B12" s="335" t="s">
        <v>188</v>
      </c>
      <c r="C12" s="335" t="s">
        <v>192</v>
      </c>
      <c r="D12" s="335" t="s">
        <v>138</v>
      </c>
      <c r="E12" s="51">
        <v>3.1818181818181817</v>
      </c>
      <c r="F12" s="164">
        <v>220</v>
      </c>
      <c r="G12" s="335" t="s">
        <v>190</v>
      </c>
      <c r="H12" s="335" t="s">
        <v>397</v>
      </c>
      <c r="I12" s="335">
        <v>3</v>
      </c>
      <c r="J12" s="335" t="s">
        <v>152</v>
      </c>
      <c r="K12" s="287">
        <v>2.5</v>
      </c>
      <c r="L12" s="335" t="s">
        <v>129</v>
      </c>
      <c r="M12" s="335" t="s">
        <v>130</v>
      </c>
      <c r="N12" s="286">
        <v>31</v>
      </c>
      <c r="O12" s="285">
        <v>0.7</v>
      </c>
      <c r="P12" s="51">
        <v>1.04</v>
      </c>
      <c r="Q12" s="166">
        <f t="shared" si="0"/>
        <v>22.568000000000001</v>
      </c>
      <c r="R12" s="73" t="s">
        <v>145</v>
      </c>
    </row>
    <row r="13" spans="1:18" x14ac:dyDescent="0.35">
      <c r="A13" s="238" t="s">
        <v>187</v>
      </c>
      <c r="B13" s="335" t="s">
        <v>188</v>
      </c>
      <c r="C13" s="335" t="s">
        <v>417</v>
      </c>
      <c r="D13" s="335" t="s">
        <v>138</v>
      </c>
      <c r="E13" s="365">
        <v>6.82</v>
      </c>
      <c r="F13" s="164">
        <v>220</v>
      </c>
      <c r="G13" s="335" t="s">
        <v>190</v>
      </c>
      <c r="H13" s="335" t="s">
        <v>397</v>
      </c>
      <c r="I13" s="335">
        <v>3</v>
      </c>
      <c r="J13" s="335" t="s">
        <v>152</v>
      </c>
      <c r="K13" s="287">
        <v>2.5</v>
      </c>
      <c r="L13" s="335" t="s">
        <v>129</v>
      </c>
      <c r="M13" s="335" t="s">
        <v>416</v>
      </c>
      <c r="N13" s="286">
        <v>31</v>
      </c>
      <c r="O13" s="285">
        <v>0.7</v>
      </c>
      <c r="P13" s="51">
        <v>1.04</v>
      </c>
      <c r="Q13" s="166">
        <f t="shared" si="0"/>
        <v>22.568000000000001</v>
      </c>
      <c r="R13" s="73" t="s">
        <v>145</v>
      </c>
    </row>
    <row r="14" spans="1:18" ht="21.75" thickBot="1" x14ac:dyDescent="0.4">
      <c r="A14" s="239" t="s">
        <v>187</v>
      </c>
      <c r="B14" s="132" t="s">
        <v>188</v>
      </c>
      <c r="C14" s="132" t="s">
        <v>418</v>
      </c>
      <c r="D14" s="132" t="s">
        <v>138</v>
      </c>
      <c r="E14" s="366">
        <v>6.82</v>
      </c>
      <c r="F14" s="241">
        <v>220</v>
      </c>
      <c r="G14" s="132" t="s">
        <v>190</v>
      </c>
      <c r="H14" s="132" t="s">
        <v>397</v>
      </c>
      <c r="I14" s="132">
        <v>3</v>
      </c>
      <c r="J14" s="132" t="s">
        <v>152</v>
      </c>
      <c r="K14" s="290">
        <v>2.5</v>
      </c>
      <c r="L14" s="132" t="s">
        <v>129</v>
      </c>
      <c r="M14" s="132" t="s">
        <v>416</v>
      </c>
      <c r="N14" s="291">
        <v>31</v>
      </c>
      <c r="O14" s="292">
        <v>0.7</v>
      </c>
      <c r="P14" s="240">
        <v>1.04</v>
      </c>
      <c r="Q14" s="242">
        <f>N14*O14*P14</f>
        <v>22.568000000000001</v>
      </c>
      <c r="R14" s="95" t="s">
        <v>145</v>
      </c>
    </row>
  </sheetData>
  <mergeCells count="1">
    <mergeCell ref="A1:R1"/>
  </mergeCells>
  <phoneticPr fontId="5" type="noConversion"/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D0D8-20CD-4C7F-8AEB-64F66BC59B86}">
  <dimension ref="A1:H42"/>
  <sheetViews>
    <sheetView zoomScale="75" zoomScaleNormal="75" workbookViewId="0">
      <selection activeCell="A18" sqref="A18:A23"/>
    </sheetView>
  </sheetViews>
  <sheetFormatPr defaultColWidth="11.453125" defaultRowHeight="21" x14ac:dyDescent="0.35"/>
  <cols>
    <col min="2" max="2" width="16.7265625" customWidth="1"/>
    <col min="6" max="6" width="15.81640625" customWidth="1"/>
    <col min="8" max="8" width="13.453125" customWidth="1"/>
  </cols>
  <sheetData>
    <row r="1" spans="1:8" ht="21.75" thickBot="1" x14ac:dyDescent="0.4">
      <c r="A1" s="451" t="s">
        <v>161</v>
      </c>
      <c r="B1" s="503"/>
      <c r="C1" s="503"/>
      <c r="D1" s="503"/>
      <c r="E1" s="503"/>
      <c r="F1" s="503"/>
      <c r="G1" s="503"/>
      <c r="H1" s="452"/>
    </row>
    <row r="2" spans="1:8" ht="32.25" thickBot="1" x14ac:dyDescent="0.4">
      <c r="A2" s="504" t="s">
        <v>162</v>
      </c>
      <c r="B2" s="193" t="s">
        <v>170</v>
      </c>
      <c r="C2" s="194" t="s">
        <v>163</v>
      </c>
      <c r="D2" s="194" t="s">
        <v>164</v>
      </c>
      <c r="E2" s="195" t="s">
        <v>169</v>
      </c>
      <c r="F2" s="194" t="s">
        <v>119</v>
      </c>
      <c r="G2" s="195" t="s">
        <v>118</v>
      </c>
      <c r="H2" s="216" t="s">
        <v>175</v>
      </c>
    </row>
    <row r="3" spans="1:8" x14ac:dyDescent="0.35">
      <c r="A3" s="505"/>
      <c r="B3" s="196">
        <v>1</v>
      </c>
      <c r="C3" s="197" t="s">
        <v>165</v>
      </c>
      <c r="D3" s="197" t="s">
        <v>166</v>
      </c>
      <c r="E3" s="198">
        <v>1200</v>
      </c>
      <c r="F3" s="198">
        <v>220</v>
      </c>
      <c r="G3" s="199">
        <f t="shared" ref="G3:G8" si="0">E3/F3</f>
        <v>5.4545454545454541</v>
      </c>
      <c r="H3" s="200">
        <v>2.5</v>
      </c>
    </row>
    <row r="4" spans="1:8" x14ac:dyDescent="0.35">
      <c r="A4" s="505"/>
      <c r="B4" s="201">
        <v>2</v>
      </c>
      <c r="C4" s="202" t="s">
        <v>167</v>
      </c>
      <c r="D4" s="202" t="s">
        <v>166</v>
      </c>
      <c r="E4" s="203">
        <v>300</v>
      </c>
      <c r="F4" s="198">
        <v>220</v>
      </c>
      <c r="G4" s="199">
        <f t="shared" si="0"/>
        <v>1.3636363636363635</v>
      </c>
      <c r="H4" s="204">
        <v>2.5</v>
      </c>
    </row>
    <row r="5" spans="1:8" x14ac:dyDescent="0.35">
      <c r="A5" s="505"/>
      <c r="B5" s="201">
        <v>3</v>
      </c>
      <c r="C5" s="202" t="s">
        <v>165</v>
      </c>
      <c r="D5" s="202" t="s">
        <v>166</v>
      </c>
      <c r="E5" s="203">
        <v>1200</v>
      </c>
      <c r="F5" s="198">
        <v>220</v>
      </c>
      <c r="G5" s="199">
        <f t="shared" si="0"/>
        <v>5.4545454545454541</v>
      </c>
      <c r="H5" s="204">
        <v>2.5</v>
      </c>
    </row>
    <row r="6" spans="1:8" x14ac:dyDescent="0.35">
      <c r="A6" s="505"/>
      <c r="B6" s="201">
        <v>4</v>
      </c>
      <c r="C6" s="202" t="s">
        <v>167</v>
      </c>
      <c r="D6" s="202" t="s">
        <v>166</v>
      </c>
      <c r="E6" s="203">
        <v>300</v>
      </c>
      <c r="F6" s="198">
        <v>220</v>
      </c>
      <c r="G6" s="199">
        <f t="shared" si="0"/>
        <v>1.3636363636363635</v>
      </c>
      <c r="H6" s="204">
        <v>2.5</v>
      </c>
    </row>
    <row r="7" spans="1:8" x14ac:dyDescent="0.35">
      <c r="A7" s="505"/>
      <c r="B7" s="201">
        <v>5</v>
      </c>
      <c r="C7" s="202" t="s">
        <v>165</v>
      </c>
      <c r="D7" s="202" t="s">
        <v>171</v>
      </c>
      <c r="E7" s="203">
        <v>1200</v>
      </c>
      <c r="F7" s="198">
        <v>220</v>
      </c>
      <c r="G7" s="199">
        <f t="shared" si="0"/>
        <v>5.4545454545454541</v>
      </c>
      <c r="H7" s="204">
        <v>2.5</v>
      </c>
    </row>
    <row r="8" spans="1:8" ht="21.75" thickBot="1" x14ac:dyDescent="0.4">
      <c r="A8" s="505"/>
      <c r="B8" s="205">
        <v>6</v>
      </c>
      <c r="C8" s="206" t="s">
        <v>165</v>
      </c>
      <c r="D8" s="206" t="s">
        <v>171</v>
      </c>
      <c r="E8" s="207">
        <v>1200</v>
      </c>
      <c r="F8" s="198">
        <v>220</v>
      </c>
      <c r="G8" s="199">
        <f t="shared" si="0"/>
        <v>5.4545454545454541</v>
      </c>
      <c r="H8" s="208">
        <v>2.5</v>
      </c>
    </row>
    <row r="9" spans="1:8" ht="21.75" thickBot="1" x14ac:dyDescent="0.4">
      <c r="A9" s="506"/>
      <c r="B9" s="507" t="s">
        <v>168</v>
      </c>
      <c r="C9" s="508"/>
      <c r="D9" s="508"/>
      <c r="E9" s="223">
        <f>SUM(E3:E8)</f>
        <v>5400</v>
      </c>
      <c r="F9" s="331" t="s">
        <v>200</v>
      </c>
      <c r="G9" s="509">
        <f>SUM(G3:G8)</f>
        <v>24.545454545454543</v>
      </c>
      <c r="H9" s="510"/>
    </row>
    <row r="10" spans="1:8" ht="21.75" thickBot="1" x14ac:dyDescent="0.4">
      <c r="A10" s="220"/>
      <c r="B10" s="337"/>
      <c r="C10" s="337"/>
      <c r="D10" s="337"/>
      <c r="E10" s="337"/>
      <c r="F10" s="337"/>
      <c r="G10" s="338"/>
      <c r="H10" s="338"/>
    </row>
    <row r="11" spans="1:8" ht="32.25" customHeight="1" thickBot="1" x14ac:dyDescent="0.4">
      <c r="A11" s="515" t="s">
        <v>412</v>
      </c>
      <c r="B11" s="172" t="s">
        <v>172</v>
      </c>
      <c r="C11" s="173" t="s">
        <v>163</v>
      </c>
      <c r="D11" s="173" t="s">
        <v>164</v>
      </c>
      <c r="E11" s="174" t="s">
        <v>173</v>
      </c>
      <c r="F11" s="174" t="s">
        <v>119</v>
      </c>
      <c r="G11" s="174" t="s">
        <v>118</v>
      </c>
      <c r="H11" s="175" t="s">
        <v>175</v>
      </c>
    </row>
    <row r="12" spans="1:8" x14ac:dyDescent="0.35">
      <c r="A12" s="518"/>
      <c r="B12" s="176">
        <v>1</v>
      </c>
      <c r="C12" s="177" t="s">
        <v>396</v>
      </c>
      <c r="D12" s="177" t="s">
        <v>166</v>
      </c>
      <c r="E12" s="178">
        <v>100</v>
      </c>
      <c r="F12" s="178">
        <v>220</v>
      </c>
      <c r="G12" s="224">
        <f t="shared" ref="G12:G22" si="1">E12/F12</f>
        <v>0.45454545454545453</v>
      </c>
      <c r="H12" s="179">
        <v>2.5</v>
      </c>
    </row>
    <row r="13" spans="1:8" x14ac:dyDescent="0.35">
      <c r="A13" s="518"/>
      <c r="B13" s="180">
        <v>2</v>
      </c>
      <c r="C13" s="177" t="s">
        <v>396</v>
      </c>
      <c r="D13" s="181" t="s">
        <v>166</v>
      </c>
      <c r="E13" s="182">
        <v>100</v>
      </c>
      <c r="F13" s="178">
        <v>220</v>
      </c>
      <c r="G13" s="224">
        <f t="shared" si="1"/>
        <v>0.45454545454545453</v>
      </c>
      <c r="H13" s="183">
        <v>2.5</v>
      </c>
    </row>
    <row r="14" spans="1:8" x14ac:dyDescent="0.35">
      <c r="A14" s="518"/>
      <c r="B14" s="176">
        <v>1</v>
      </c>
      <c r="C14" s="177" t="s">
        <v>396</v>
      </c>
      <c r="D14" s="177" t="s">
        <v>166</v>
      </c>
      <c r="E14" s="178">
        <v>100</v>
      </c>
      <c r="F14" s="178">
        <v>220</v>
      </c>
      <c r="G14" s="224">
        <f>E14/F14</f>
        <v>0.45454545454545453</v>
      </c>
      <c r="H14" s="179">
        <v>2.5</v>
      </c>
    </row>
    <row r="15" spans="1:8" ht="21.75" thickBot="1" x14ac:dyDescent="0.4">
      <c r="A15" s="518"/>
      <c r="B15" s="180">
        <v>2</v>
      </c>
      <c r="C15" s="177" t="s">
        <v>396</v>
      </c>
      <c r="D15" s="181" t="s">
        <v>166</v>
      </c>
      <c r="E15" s="182">
        <v>100</v>
      </c>
      <c r="F15" s="178">
        <v>220</v>
      </c>
      <c r="G15" s="224">
        <f>E15/F15</f>
        <v>0.45454545454545453</v>
      </c>
      <c r="H15" s="183">
        <v>2.5</v>
      </c>
    </row>
    <row r="16" spans="1:8" ht="21.75" thickBot="1" x14ac:dyDescent="0.4">
      <c r="A16" s="519"/>
      <c r="B16" s="511" t="s">
        <v>168</v>
      </c>
      <c r="C16" s="512"/>
      <c r="D16" s="512"/>
      <c r="E16" s="233">
        <f>SUM(E12:E15)</f>
        <v>400</v>
      </c>
      <c r="F16" s="332" t="s">
        <v>200</v>
      </c>
      <c r="G16" s="513">
        <f>SUM(G12:G15)</f>
        <v>1.8181818181818181</v>
      </c>
      <c r="H16" s="514"/>
    </row>
    <row r="17" spans="1:8" s="296" customFormat="1" ht="21.75" thickBot="1" x14ac:dyDescent="0.4">
      <c r="A17" s="220"/>
      <c r="B17" s="229"/>
      <c r="C17" s="229"/>
      <c r="D17" s="229"/>
      <c r="E17" s="363"/>
      <c r="F17" s="363"/>
      <c r="G17" s="364"/>
      <c r="H17" s="364"/>
    </row>
    <row r="18" spans="1:8" ht="32.25" thickBot="1" x14ac:dyDescent="0.4">
      <c r="A18" s="515" t="s">
        <v>413</v>
      </c>
      <c r="B18" s="172" t="s">
        <v>172</v>
      </c>
      <c r="C18" s="173" t="s">
        <v>163</v>
      </c>
      <c r="D18" s="173" t="s">
        <v>164</v>
      </c>
      <c r="E18" s="174" t="s">
        <v>173</v>
      </c>
      <c r="F18" s="174" t="s">
        <v>119</v>
      </c>
      <c r="G18" s="174" t="s">
        <v>118</v>
      </c>
      <c r="H18" s="175" t="s">
        <v>175</v>
      </c>
    </row>
    <row r="19" spans="1:8" x14ac:dyDescent="0.35">
      <c r="A19" s="516"/>
      <c r="B19" s="180">
        <v>3</v>
      </c>
      <c r="C19" s="181" t="s">
        <v>174</v>
      </c>
      <c r="D19" s="181" t="s">
        <v>171</v>
      </c>
      <c r="E19" s="182">
        <v>250</v>
      </c>
      <c r="F19" s="178">
        <v>220</v>
      </c>
      <c r="G19" s="224">
        <f t="shared" si="1"/>
        <v>1.1363636363636365</v>
      </c>
      <c r="H19" s="183">
        <v>2.5</v>
      </c>
    </row>
    <row r="20" spans="1:8" x14ac:dyDescent="0.35">
      <c r="A20" s="516"/>
      <c r="B20" s="180">
        <v>4</v>
      </c>
      <c r="C20" s="181" t="s">
        <v>174</v>
      </c>
      <c r="D20" s="181" t="s">
        <v>171</v>
      </c>
      <c r="E20" s="182">
        <v>250</v>
      </c>
      <c r="F20" s="178">
        <v>220</v>
      </c>
      <c r="G20" s="224">
        <f t="shared" si="1"/>
        <v>1.1363636363636365</v>
      </c>
      <c r="H20" s="183">
        <v>2.5</v>
      </c>
    </row>
    <row r="21" spans="1:8" x14ac:dyDescent="0.35">
      <c r="A21" s="516"/>
      <c r="B21" s="180">
        <v>5</v>
      </c>
      <c r="C21" s="181" t="s">
        <v>174</v>
      </c>
      <c r="D21" s="181" t="s">
        <v>171</v>
      </c>
      <c r="E21" s="182">
        <v>250</v>
      </c>
      <c r="F21" s="178">
        <v>220</v>
      </c>
      <c r="G21" s="224">
        <f t="shared" si="1"/>
        <v>1.1363636363636365</v>
      </c>
      <c r="H21" s="183">
        <v>2.5</v>
      </c>
    </row>
    <row r="22" spans="1:8" ht="21.75" thickBot="1" x14ac:dyDescent="0.4">
      <c r="A22" s="516"/>
      <c r="B22" s="184">
        <v>6</v>
      </c>
      <c r="C22" s="185" t="s">
        <v>174</v>
      </c>
      <c r="D22" s="185" t="s">
        <v>171</v>
      </c>
      <c r="E22" s="186">
        <v>250</v>
      </c>
      <c r="F22" s="178">
        <v>220</v>
      </c>
      <c r="G22" s="224">
        <f t="shared" si="1"/>
        <v>1.1363636363636365</v>
      </c>
      <c r="H22" s="187">
        <v>2.5</v>
      </c>
    </row>
    <row r="23" spans="1:8" ht="21.75" thickBot="1" x14ac:dyDescent="0.4">
      <c r="A23" s="517"/>
      <c r="B23" s="511" t="s">
        <v>168</v>
      </c>
      <c r="C23" s="512"/>
      <c r="D23" s="512"/>
      <c r="E23" s="233">
        <f>SUM(E19:E22)</f>
        <v>1000</v>
      </c>
      <c r="F23" s="332" t="s">
        <v>200</v>
      </c>
      <c r="G23" s="513">
        <f>SUM(G19:G22)</f>
        <v>4.5454545454545459</v>
      </c>
      <c r="H23" s="514"/>
    </row>
    <row r="24" spans="1:8" ht="21.75" thickBot="1" x14ac:dyDescent="0.4">
      <c r="A24" s="220"/>
      <c r="B24" s="337"/>
      <c r="C24" s="337"/>
      <c r="D24" s="337"/>
      <c r="E24" s="226"/>
      <c r="F24" s="227"/>
      <c r="G24" s="228"/>
      <c r="H24" s="228"/>
    </row>
    <row r="25" spans="1:8" ht="32.25" thickBot="1" x14ac:dyDescent="0.4">
      <c r="A25" s="497" t="s">
        <v>180</v>
      </c>
      <c r="B25" s="273" t="s">
        <v>181</v>
      </c>
      <c r="C25" s="266" t="s">
        <v>182</v>
      </c>
      <c r="D25" s="274" t="s">
        <v>168</v>
      </c>
      <c r="E25" s="336" t="s">
        <v>119</v>
      </c>
      <c r="F25" s="266" t="s">
        <v>118</v>
      </c>
      <c r="G25" s="266" t="s">
        <v>164</v>
      </c>
      <c r="H25" s="275" t="s">
        <v>203</v>
      </c>
    </row>
    <row r="26" spans="1:8" ht="21.75" thickBot="1" x14ac:dyDescent="0.4">
      <c r="A26" s="498"/>
      <c r="B26" s="269">
        <v>6</v>
      </c>
      <c r="C26" s="270">
        <v>50</v>
      </c>
      <c r="D26" s="270">
        <f>B26*C26</f>
        <v>300</v>
      </c>
      <c r="E26" s="270">
        <v>220</v>
      </c>
      <c r="F26" s="271">
        <f>D26/E26</f>
        <v>1.3636363636363635</v>
      </c>
      <c r="G26" s="270" t="s">
        <v>202</v>
      </c>
      <c r="H26" s="272" t="s">
        <v>204</v>
      </c>
    </row>
    <row r="27" spans="1:8" ht="21.75" thickBot="1" x14ac:dyDescent="0.4">
      <c r="A27" s="499"/>
      <c r="B27" s="500" t="s">
        <v>168</v>
      </c>
      <c r="C27" s="501"/>
      <c r="D27" s="267">
        <f>D26</f>
        <v>300</v>
      </c>
      <c r="E27" s="266"/>
      <c r="F27" s="502" t="str">
        <f>F23</f>
        <v>Corrente total (A)</v>
      </c>
      <c r="G27" s="501"/>
      <c r="H27" s="268">
        <f>F26</f>
        <v>1.3636363636363635</v>
      </c>
    </row>
    <row r="28" spans="1:8" ht="21.75" thickBot="1" x14ac:dyDescent="0.4">
      <c r="A28" s="220"/>
      <c r="B28" s="229"/>
      <c r="C28" s="229"/>
      <c r="D28" s="229"/>
      <c r="E28" s="229"/>
      <c r="F28" s="229"/>
      <c r="G28" s="229"/>
      <c r="H28" s="229"/>
    </row>
    <row r="29" spans="1:8" ht="21.75" thickBot="1" x14ac:dyDescent="0.4">
      <c r="A29" s="520" t="s">
        <v>183</v>
      </c>
      <c r="B29" s="188" t="s">
        <v>176</v>
      </c>
      <c r="C29" s="209" t="s">
        <v>177</v>
      </c>
      <c r="D29" s="209" t="s">
        <v>184</v>
      </c>
      <c r="E29" s="209" t="s">
        <v>182</v>
      </c>
      <c r="F29" s="209" t="s">
        <v>119</v>
      </c>
      <c r="G29" s="209" t="s">
        <v>118</v>
      </c>
      <c r="H29" s="230"/>
    </row>
    <row r="30" spans="1:8" x14ac:dyDescent="0.35">
      <c r="A30" s="521"/>
      <c r="B30" s="189" t="s">
        <v>179</v>
      </c>
      <c r="C30" s="210">
        <v>1</v>
      </c>
      <c r="D30" s="210" t="s">
        <v>186</v>
      </c>
      <c r="E30" s="210">
        <v>100</v>
      </c>
      <c r="F30" s="210">
        <v>220</v>
      </c>
      <c r="G30" s="231">
        <f>E30/F30</f>
        <v>0.45454545454545453</v>
      </c>
      <c r="H30" s="211"/>
    </row>
    <row r="31" spans="1:8" x14ac:dyDescent="0.35">
      <c r="A31" s="521"/>
      <c r="B31" s="190" t="s">
        <v>185</v>
      </c>
      <c r="C31" s="212">
        <v>2</v>
      </c>
      <c r="D31" s="212" t="s">
        <v>186</v>
      </c>
      <c r="E31" s="212">
        <v>100</v>
      </c>
      <c r="F31" s="210">
        <v>220</v>
      </c>
      <c r="G31" s="231">
        <f>E31/F31</f>
        <v>0.45454545454545453</v>
      </c>
      <c r="H31" s="213"/>
    </row>
    <row r="32" spans="1:8" x14ac:dyDescent="0.35">
      <c r="A32" s="521"/>
      <c r="B32" s="190" t="s">
        <v>201</v>
      </c>
      <c r="C32" s="212">
        <v>1</v>
      </c>
      <c r="D32" s="212" t="s">
        <v>186</v>
      </c>
      <c r="E32" s="212">
        <v>100</v>
      </c>
      <c r="F32" s="210">
        <v>220</v>
      </c>
      <c r="G32" s="231">
        <f>E32/F32</f>
        <v>0.45454545454545453</v>
      </c>
      <c r="H32" s="213"/>
    </row>
    <row r="33" spans="1:8" ht="21.75" thickBot="1" x14ac:dyDescent="0.4">
      <c r="A33" s="521"/>
      <c r="B33" s="191" t="s">
        <v>178</v>
      </c>
      <c r="C33" s="214">
        <v>1</v>
      </c>
      <c r="D33" s="214" t="s">
        <v>186</v>
      </c>
      <c r="E33" s="214">
        <v>100</v>
      </c>
      <c r="F33" s="210">
        <v>220</v>
      </c>
      <c r="G33" s="231">
        <f>E33/F33</f>
        <v>0.45454545454545453</v>
      </c>
      <c r="H33" s="215"/>
    </row>
    <row r="34" spans="1:8" ht="21.75" thickBot="1" x14ac:dyDescent="0.4">
      <c r="A34" s="522"/>
      <c r="B34" s="523" t="s">
        <v>168</v>
      </c>
      <c r="C34" s="524"/>
      <c r="D34" s="524"/>
      <c r="E34" s="192">
        <f>SUM(E30:E33)</f>
        <v>400</v>
      </c>
      <c r="F34" s="333" t="s">
        <v>200</v>
      </c>
      <c r="G34" s="234">
        <f>SUM(G30:G33)</f>
        <v>1.8181818181818181</v>
      </c>
      <c r="H34" s="218"/>
    </row>
    <row r="35" spans="1:8" s="296" customFormat="1" ht="21.75" thickBot="1" x14ac:dyDescent="0.4">
      <c r="A35" s="220"/>
      <c r="B35" s="337"/>
      <c r="C35" s="337"/>
      <c r="D35" s="337"/>
      <c r="E35" s="229"/>
      <c r="F35" s="337"/>
      <c r="G35" s="228"/>
      <c r="H35" s="337"/>
    </row>
    <row r="36" spans="1:8" s="296" customFormat="1" ht="21.75" thickBot="1" x14ac:dyDescent="0.4">
      <c r="A36" s="537" t="s">
        <v>408</v>
      </c>
      <c r="B36" s="349" t="s">
        <v>409</v>
      </c>
      <c r="C36" s="528" t="s">
        <v>182</v>
      </c>
      <c r="D36" s="529"/>
      <c r="E36" s="530" t="s">
        <v>119</v>
      </c>
      <c r="F36" s="531"/>
      <c r="G36" s="350" t="s">
        <v>118</v>
      </c>
      <c r="H36" s="351" t="s">
        <v>203</v>
      </c>
    </row>
    <row r="37" spans="1:8" s="296" customFormat="1" x14ac:dyDescent="0.35">
      <c r="A37" s="538"/>
      <c r="B37" s="352">
        <v>1</v>
      </c>
      <c r="C37" s="532">
        <v>1500</v>
      </c>
      <c r="D37" s="532"/>
      <c r="E37" s="532">
        <v>220</v>
      </c>
      <c r="F37" s="532"/>
      <c r="G37" s="353">
        <f>C37/E37</f>
        <v>6.8181818181818183</v>
      </c>
      <c r="H37" s="354" t="s">
        <v>410</v>
      </c>
    </row>
    <row r="38" spans="1:8" s="296" customFormat="1" ht="21.75" thickBot="1" x14ac:dyDescent="0.4">
      <c r="A38" s="538"/>
      <c r="B38" s="355">
        <v>2</v>
      </c>
      <c r="C38" s="533">
        <v>1500</v>
      </c>
      <c r="D38" s="533"/>
      <c r="E38" s="533">
        <v>220</v>
      </c>
      <c r="F38" s="533"/>
      <c r="G38" s="356">
        <f>C38/E38</f>
        <v>6.8181818181818183</v>
      </c>
      <c r="H38" s="357" t="s">
        <v>410</v>
      </c>
    </row>
    <row r="39" spans="1:8" s="296" customFormat="1" ht="21.75" thickBot="1" x14ac:dyDescent="0.4">
      <c r="A39" s="538"/>
      <c r="B39" s="358" t="s">
        <v>168</v>
      </c>
      <c r="C39" s="534">
        <f>C37+C38</f>
        <v>3000</v>
      </c>
      <c r="D39" s="535"/>
      <c r="E39" s="536" t="s">
        <v>200</v>
      </c>
      <c r="F39" s="534"/>
      <c r="G39" s="359">
        <f>G37+G38</f>
        <v>13.636363636363637</v>
      </c>
      <c r="H39" s="360"/>
    </row>
    <row r="40" spans="1:8" s="296" customFormat="1" ht="21.75" thickBot="1" x14ac:dyDescent="0.4">
      <c r="A40" s="220"/>
      <c r="B40" s="337"/>
      <c r="C40" s="337"/>
      <c r="D40" s="337"/>
      <c r="E40" s="229"/>
      <c r="F40" s="337"/>
      <c r="G40" s="228"/>
      <c r="H40" s="337"/>
    </row>
    <row r="41" spans="1:8" ht="28.5" customHeight="1" thickBot="1" x14ac:dyDescent="0.4">
      <c r="A41" s="427" t="s">
        <v>206</v>
      </c>
      <c r="B41" s="428"/>
      <c r="C41" s="428"/>
      <c r="D41" s="428"/>
      <c r="E41" s="428"/>
      <c r="F41" s="428"/>
      <c r="G41" s="429"/>
      <c r="H41" s="361">
        <f>SUM(E34+D26+E23+E9)+C39</f>
        <v>10100</v>
      </c>
    </row>
    <row r="42" spans="1:8" ht="28.5" customHeight="1" thickBot="1" x14ac:dyDescent="0.4">
      <c r="A42" s="525" t="s">
        <v>205</v>
      </c>
      <c r="B42" s="526"/>
      <c r="C42" s="526"/>
      <c r="D42" s="526"/>
      <c r="E42" s="526"/>
      <c r="F42" s="526"/>
      <c r="G42" s="527"/>
      <c r="H42" s="362">
        <f>G34+F26+G23+G9+G39</f>
        <v>45.909090909090907</v>
      </c>
    </row>
  </sheetData>
  <mergeCells count="26">
    <mergeCell ref="A29:A34"/>
    <mergeCell ref="B34:D34"/>
    <mergeCell ref="A42:G42"/>
    <mergeCell ref="C36:D36"/>
    <mergeCell ref="E36:F36"/>
    <mergeCell ref="C37:D37"/>
    <mergeCell ref="C38:D38"/>
    <mergeCell ref="E37:F37"/>
    <mergeCell ref="E38:F38"/>
    <mergeCell ref="C39:D39"/>
    <mergeCell ref="A41:G41"/>
    <mergeCell ref="E39:F39"/>
    <mergeCell ref="A36:A39"/>
    <mergeCell ref="A25:A27"/>
    <mergeCell ref="B27:C27"/>
    <mergeCell ref="F27:G27"/>
    <mergeCell ref="A1:H1"/>
    <mergeCell ref="A2:A9"/>
    <mergeCell ref="B9:D9"/>
    <mergeCell ref="G9:H9"/>
    <mergeCell ref="B23:D23"/>
    <mergeCell ref="G23:H23"/>
    <mergeCell ref="A18:A23"/>
    <mergeCell ref="B16:D16"/>
    <mergeCell ref="G16:H16"/>
    <mergeCell ref="A11:A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CONTAS DE ENERGIA</vt:lpstr>
      <vt:lpstr>CUSTOS</vt:lpstr>
      <vt:lpstr>PVSYST</vt:lpstr>
      <vt:lpstr>TARIFAS E TAXAS</vt:lpstr>
      <vt:lpstr>IRADIAÇÕES</vt:lpstr>
      <vt:lpstr>TEMPERATURA</vt:lpstr>
      <vt:lpstr>FLUXO</vt:lpstr>
      <vt:lpstr>CABOS</vt:lpstr>
      <vt:lpstr>POTÊNCIA</vt:lpstr>
      <vt:lpstr>COMPONENTES1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Justino</dc:creator>
  <cp:lastModifiedBy>Mateus Justino</cp:lastModifiedBy>
  <cp:lastPrinted>2025-08-15T15:02:51Z</cp:lastPrinted>
  <dcterms:created xsi:type="dcterms:W3CDTF">2025-03-16T12:20:47Z</dcterms:created>
  <dcterms:modified xsi:type="dcterms:W3CDTF">2025-09-13T15:05:08Z</dcterms:modified>
</cp:coreProperties>
</file>