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Demais Documentos do Projeto\"/>
    </mc:Choice>
  </mc:AlternateContent>
  <xr:revisionPtr revIDLastSave="0" documentId="13_ncr:1_{D16F45BB-A251-4A2D-B9F5-7163B627A4C2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Backlog_old" sheetId="1" state="hidden" r:id="rId1"/>
    <sheet name="Backlog" sheetId="11" r:id="rId2"/>
    <sheet name="Acomp_Grafico_Gantt" sheetId="6" r:id="rId3"/>
    <sheet name="sintético" sheetId="4" r:id="rId4"/>
    <sheet name="Planilha2" sheetId="10" state="hidden" r:id="rId5"/>
    <sheet name="Planilha1" sheetId="9" state="hidden" r:id="rId6"/>
    <sheet name="Camp|Org| Planos disp. &amp; Pausa." sheetId="7" state="hidden" r:id="rId7"/>
    <sheet name="login" sheetId="8" state="hidden" r:id="rId8"/>
    <sheet name="aux" sheetId="5" state="hidden" r:id="rId9"/>
  </sheets>
  <externalReferences>
    <externalReference r:id="rId10"/>
  </externalReferences>
  <definedNames>
    <definedName name="_xlnm._FilterDatabase" localSheetId="1" hidden="1">Backlog!$A$9:$Q$51</definedName>
    <definedName name="_xlnm._FilterDatabase" localSheetId="0" hidden="1">Backlog_old!$A$9:$Q$43</definedName>
    <definedName name="clAtrasado">'[1]Dados do plano de marketing'!$F$7</definedName>
    <definedName name="clConcluído">'[1]Dados do plano de marketing'!$G$7</definedName>
    <definedName name="clEmAndamento">'[1]Dados do plano de marketing'!$E$7</definedName>
    <definedName name="clNãoIniciado">'[1]Dados do plano de marketing'!$D$7</definedName>
    <definedName name="clPersonalizado1">'[1]Dados do plano de marketing'!$H$7</definedName>
    <definedName name="clPersonalizado2">'[1]Dados do plano de marketing'!$I$7</definedName>
    <definedName name="clPersonalizado3">'[1]Dados do plano de marketing'!$J$7</definedName>
    <definedName name="clPersonalizado4">'[1]Dados do plano de marketing'!$K$7</definedName>
    <definedName name="DataInício">#REF!</definedName>
    <definedName name="DayRails">JanelaDataInício+ROW(#REF!)-1</definedName>
    <definedName name="DeslocamentoJanela">#REF!</definedName>
    <definedName name="DiasJanela">#REF!</definedName>
    <definedName name="GradeCálc">IFERROR(#REF!/SUMPRODUCT( (#REF!=#REF!)*(#REF!&lt;=#REF!)*((#REF!&gt;=#REF!)+(LEN(#REF!)=0)*(#REF!=#REF!)) ),NA())</definedName>
    <definedName name="JanelaDataInício">#REF!</definedName>
    <definedName name="Nomes">[1]!tblPessoas[NOME]</definedName>
    <definedName name="periodo_selecionado">sintético!#REF!</definedName>
    <definedName name="PeriodoInPlanejado">sintético!#REF!=MEDIAN(sintético!#REF!,sintético!$P1,sintético!$P1+sintético!$Q1-1)</definedName>
    <definedName name="PeriodoInReal">sintético!#REF!=MEDIAN(sintético!#REF!,sintético!#REF!,sintético!#REF!+sintético!#REF!-1)</definedName>
    <definedName name="Plano">PeriodoInPlanejado*(sintético!$P1&gt;0)</definedName>
    <definedName name="PorcentagemConcluída">PorcentagemConcluídaPosterior*PeriodoInPlanejado</definedName>
    <definedName name="PorcentagemConcluídaPosterior">(sintético!#REF!=MEDIAN(sintético!#REF!,sintético!#REF!,sintético!#REF!+sintético!#REF!)*(sintético!#REF!&gt;0))*((sintético!#REF!&lt;(INT(sintético!#REF!+sintético!#REF!*sintético!#REF!)))+(sintético!#REF!=sintético!#REF!))*(sintético!#REF!&gt;0)</definedName>
    <definedName name="Real">(PeriodoInReal*(sintético!#REF!&gt;0))*PeriodoInPlanejado</definedName>
    <definedName name="RealPosterior">PeriodoInReal*(sintético!#REF!&gt;0)</definedName>
    <definedName name="txtPersonalizado1">'[1]Dados do plano de marketing'!$H$6</definedName>
    <definedName name="txtPersonalizado2">'[1]Dados do plano de marketing'!$I$6</definedName>
    <definedName name="txtPersonalizado3">'[1]Dados do plano de marketing'!$J$6</definedName>
    <definedName name="txtPersonalizado4">'[1]Dados do plano de marketing'!$K$6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11" l="1"/>
  <c r="J23" i="11" s="1"/>
  <c r="M23" i="11" s="1"/>
  <c r="J24" i="11" s="1"/>
  <c r="M24" i="11" s="1"/>
  <c r="J25" i="11" s="1"/>
  <c r="A22" i="11"/>
  <c r="B22" i="11"/>
  <c r="Q22" i="11"/>
  <c r="A28" i="11"/>
  <c r="B28" i="11"/>
  <c r="C9" i="4"/>
  <c r="B10" i="4"/>
  <c r="B11" i="11"/>
  <c r="B12" i="11"/>
  <c r="B13" i="11"/>
  <c r="B14" i="11"/>
  <c r="B15" i="11"/>
  <c r="B16" i="11"/>
  <c r="B17" i="11"/>
  <c r="B18" i="11"/>
  <c r="B19" i="11"/>
  <c r="B20" i="11"/>
  <c r="B21" i="11"/>
  <c r="B23" i="11"/>
  <c r="B24" i="11"/>
  <c r="B25" i="11"/>
  <c r="B26" i="11"/>
  <c r="B27" i="11"/>
  <c r="B29" i="11"/>
  <c r="B30" i="11"/>
  <c r="B31" i="11"/>
  <c r="B32" i="11"/>
  <c r="B33" i="11"/>
  <c r="B34" i="11"/>
  <c r="B35" i="11"/>
  <c r="B36" i="11"/>
  <c r="B37" i="11"/>
  <c r="B38" i="11"/>
  <c r="B39" i="11"/>
  <c r="C10" i="4" s="1"/>
  <c r="B40" i="11"/>
  <c r="A21" i="11"/>
  <c r="B7" i="4" s="1"/>
  <c r="A20" i="11"/>
  <c r="A19" i="11"/>
  <c r="A18" i="11"/>
  <c r="A17" i="11"/>
  <c r="A16" i="11"/>
  <c r="A15" i="11"/>
  <c r="A14" i="11"/>
  <c r="A13" i="11"/>
  <c r="C2" i="9"/>
  <c r="B2" i="9"/>
  <c r="N20" i="11"/>
  <c r="N19" i="11"/>
  <c r="N18" i="11"/>
  <c r="N17" i="11"/>
  <c r="N16" i="11"/>
  <c r="N15" i="11"/>
  <c r="N14" i="11"/>
  <c r="N13" i="11"/>
  <c r="N12" i="11"/>
  <c r="M11" i="11"/>
  <c r="M10" i="11"/>
  <c r="A51" i="11"/>
  <c r="A50" i="11"/>
  <c r="A49" i="11"/>
  <c r="A48" i="11"/>
  <c r="A40" i="11"/>
  <c r="A39" i="11"/>
  <c r="A38" i="11"/>
  <c r="A37" i="11"/>
  <c r="B9" i="4" s="1"/>
  <c r="A36" i="11"/>
  <c r="A35" i="11"/>
  <c r="A34" i="11"/>
  <c r="A33" i="11"/>
  <c r="A32" i="11"/>
  <c r="A31" i="11"/>
  <c r="A30" i="11"/>
  <c r="A29" i="11"/>
  <c r="A27" i="11"/>
  <c r="A26" i="11"/>
  <c r="A25" i="11"/>
  <c r="A24" i="11"/>
  <c r="A23" i="11"/>
  <c r="Q21" i="11"/>
  <c r="N21" i="11"/>
  <c r="A12" i="11"/>
  <c r="Q11" i="11"/>
  <c r="N11" i="11"/>
  <c r="A11" i="11"/>
  <c r="N10" i="11"/>
  <c r="B10" i="11"/>
  <c r="A10" i="11"/>
  <c r="J32" i="1"/>
  <c r="M31" i="1"/>
  <c r="J31" i="1"/>
  <c r="M30" i="1"/>
  <c r="J30" i="1"/>
  <c r="M29" i="1"/>
  <c r="J29" i="1"/>
  <c r="M28" i="1"/>
  <c r="J28" i="1"/>
  <c r="J27" i="1"/>
  <c r="M26" i="1"/>
  <c r="M25" i="1"/>
  <c r="M24" i="1"/>
  <c r="J24" i="1"/>
  <c r="M23" i="1"/>
  <c r="M22" i="1"/>
  <c r="J22" i="1"/>
  <c r="M21" i="1"/>
  <c r="J19" i="1"/>
  <c r="M18" i="1"/>
  <c r="M17" i="1"/>
  <c r="J17" i="1"/>
  <c r="M16" i="1"/>
  <c r="N16" i="1"/>
  <c r="J16" i="1"/>
  <c r="M15" i="1"/>
  <c r="B1" i="10"/>
  <c r="B4" i="10" s="1"/>
  <c r="B5" i="10" s="1"/>
  <c r="B7" i="10" s="1"/>
  <c r="N15" i="1"/>
  <c r="N20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C8" i="4" l="1"/>
  <c r="C6" i="4"/>
  <c r="B8" i="4"/>
  <c r="C7" i="4"/>
  <c r="B6" i="4"/>
  <c r="M25" i="11"/>
  <c r="N23" i="11"/>
  <c r="M32" i="1"/>
  <c r="M19" i="1"/>
  <c r="J18" i="1"/>
  <c r="J26" i="11" l="1"/>
  <c r="M26" i="11" s="1"/>
  <c r="J27" i="11" s="1"/>
  <c r="M27" i="11" s="1"/>
  <c r="N24" i="11"/>
  <c r="N17" i="1"/>
  <c r="B32" i="1"/>
  <c r="B31" i="1"/>
  <c r="B30" i="1"/>
  <c r="B29" i="1"/>
  <c r="B14" i="1"/>
  <c r="B13" i="1"/>
  <c r="B12" i="1"/>
  <c r="B11" i="1"/>
  <c r="B10" i="1"/>
  <c r="A32" i="1"/>
  <c r="A31" i="1"/>
  <c r="A30" i="1"/>
  <c r="A29" i="1"/>
  <c r="A14" i="1"/>
  <c r="A13" i="1"/>
  <c r="A12" i="1"/>
  <c r="A11" i="1"/>
  <c r="A4" i="9"/>
  <c r="N14" i="1"/>
  <c r="N29" i="1"/>
  <c r="N30" i="1"/>
  <c r="N31" i="1"/>
  <c r="N32" i="1"/>
  <c r="N13" i="1"/>
  <c r="N11" i="1"/>
  <c r="N12" i="1"/>
  <c r="N10" i="1"/>
  <c r="A3" i="9"/>
  <c r="A2" i="9"/>
  <c r="C12" i="4"/>
  <c r="B12" i="4"/>
  <c r="J29" i="11" l="1"/>
  <c r="M22" i="11"/>
  <c r="N22" i="11" s="1"/>
  <c r="J28" i="11"/>
  <c r="M29" i="11"/>
  <c r="J30" i="11" s="1"/>
  <c r="M30" i="11" s="1"/>
  <c r="J31" i="11" s="1"/>
  <c r="N25" i="11"/>
  <c r="J21" i="1"/>
  <c r="N18" i="1"/>
  <c r="D2" i="9"/>
  <c r="C3" i="9" l="1"/>
  <c r="N26" i="11"/>
  <c r="N21" i="1"/>
  <c r="N19" i="1"/>
  <c r="B9" i="10" s="1"/>
  <c r="B3" i="9"/>
  <c r="M31" i="11" l="1"/>
  <c r="J32" i="11" s="1"/>
  <c r="B4" i="9"/>
  <c r="N27" i="11"/>
  <c r="J23" i="1"/>
  <c r="D3" i="9"/>
  <c r="C13" i="4"/>
  <c r="Q11" i="1"/>
  <c r="Q13" i="1"/>
  <c r="Q14" i="1"/>
  <c r="C22" i="7"/>
  <c r="C20" i="7"/>
  <c r="C19" i="7"/>
  <c r="C18" i="7"/>
  <c r="C17" i="7"/>
  <c r="C16" i="7"/>
  <c r="C8" i="7"/>
  <c r="A43" i="1"/>
  <c r="A42" i="1"/>
  <c r="A41" i="1"/>
  <c r="A40" i="1"/>
  <c r="B13" i="4" s="1"/>
  <c r="N29" i="11" l="1"/>
  <c r="N22" i="1"/>
  <c r="A10" i="1"/>
  <c r="M32" i="11" l="1"/>
  <c r="N30" i="11"/>
  <c r="N23" i="1"/>
  <c r="J25" i="1"/>
  <c r="C4" i="9" l="1"/>
  <c r="D4" i="9" s="1"/>
  <c r="J33" i="11"/>
  <c r="M33" i="11" s="1"/>
  <c r="J34" i="11" s="1"/>
  <c r="N31" i="11"/>
  <c r="N24" i="1"/>
  <c r="N25" i="1"/>
  <c r="J26" i="1"/>
  <c r="B11" i="4"/>
  <c r="M34" i="11" l="1"/>
  <c r="J35" i="11" s="1"/>
  <c r="M35" i="11" s="1"/>
  <c r="N32" i="11"/>
  <c r="N26" i="1"/>
  <c r="C11" i="4"/>
  <c r="E10" i="4"/>
  <c r="E6" i="4"/>
  <c r="F6" i="4" s="1"/>
  <c r="E8" i="4"/>
  <c r="E9" i="4"/>
  <c r="E7" i="4"/>
  <c r="J36" i="11" l="1"/>
  <c r="M36" i="11" s="1"/>
  <c r="N33" i="11"/>
  <c r="M27" i="1"/>
  <c r="F10" i="4"/>
  <c r="G10" i="4" s="1"/>
  <c r="H10" i="4" s="1"/>
  <c r="I10" i="4" s="1"/>
  <c r="J10" i="4" s="1"/>
  <c r="K10" i="4" s="1"/>
  <c r="L10" i="4" s="1"/>
  <c r="M10" i="4" s="1"/>
  <c r="N10" i="4" s="1"/>
  <c r="O10" i="4" s="1"/>
  <c r="F9" i="4"/>
  <c r="G9" i="4" s="1"/>
  <c r="H9" i="4" s="1"/>
  <c r="I9" i="4" s="1"/>
  <c r="J9" i="4" s="1"/>
  <c r="K9" i="4" s="1"/>
  <c r="L9" i="4" s="1"/>
  <c r="M9" i="4" s="1"/>
  <c r="N9" i="4" s="1"/>
  <c r="O9" i="4" s="1"/>
  <c r="F8" i="4"/>
  <c r="G8" i="4" s="1"/>
  <c r="H8" i="4" s="1"/>
  <c r="I8" i="4" s="1"/>
  <c r="J8" i="4" s="1"/>
  <c r="K8" i="4" s="1"/>
  <c r="L8" i="4" s="1"/>
  <c r="M8" i="4" s="1"/>
  <c r="N8" i="4" s="1"/>
  <c r="O8" i="4" s="1"/>
  <c r="F7" i="4"/>
  <c r="G7" i="4" s="1"/>
  <c r="H7" i="4" s="1"/>
  <c r="I7" i="4" s="1"/>
  <c r="J7" i="4" s="1"/>
  <c r="K7" i="4" s="1"/>
  <c r="L7" i="4" s="1"/>
  <c r="M7" i="4" s="1"/>
  <c r="N7" i="4" s="1"/>
  <c r="O7" i="4" s="1"/>
  <c r="G6" i="4"/>
  <c r="H6" i="4" s="1"/>
  <c r="I6" i="4" s="1"/>
  <c r="J6" i="4" s="1"/>
  <c r="K6" i="4" s="1"/>
  <c r="L6" i="4" s="1"/>
  <c r="M6" i="4" s="1"/>
  <c r="J37" i="11" l="1"/>
  <c r="M37" i="11" s="1"/>
  <c r="M28" i="11"/>
  <c r="N28" i="11" s="1"/>
  <c r="N34" i="11"/>
  <c r="N27" i="1"/>
  <c r="N28" i="1"/>
  <c r="N6" i="4"/>
  <c r="O6" i="4" s="1"/>
  <c r="N35" i="11" l="1"/>
  <c r="B10" i="10"/>
  <c r="B11" i="10" s="1"/>
  <c r="J38" i="11" l="1"/>
  <c r="M38" i="11" s="1"/>
  <c r="N36" i="11"/>
  <c r="J39" i="11" l="1"/>
  <c r="J40" i="11" l="1"/>
  <c r="M40" i="11" s="1"/>
  <c r="N40" i="11" s="1"/>
  <c r="M39" i="11"/>
  <c r="N39" i="11" s="1"/>
  <c r="N37" i="11"/>
  <c r="N38" i="11"/>
</calcChain>
</file>

<file path=xl/sharedStrings.xml><?xml version="1.0" encoding="utf-8"?>
<sst xmlns="http://schemas.openxmlformats.org/spreadsheetml/2006/main" count="514" uniqueCount="173">
  <si>
    <t>ETAPA</t>
  </si>
  <si>
    <t>ATIVIDADE</t>
  </si>
  <si>
    <t>STATUS</t>
  </si>
  <si>
    <t>OK</t>
  </si>
  <si>
    <t>EM ANDAMENTO</t>
  </si>
  <si>
    <t>NÃO INICIADO</t>
  </si>
  <si>
    <t>% CONCLUSÃO</t>
  </si>
  <si>
    <t>DENTRO</t>
  </si>
  <si>
    <t>FORA</t>
  </si>
  <si>
    <t>FASE 1</t>
  </si>
  <si>
    <t>FASE 2</t>
  </si>
  <si>
    <t>FASE 3</t>
  </si>
  <si>
    <t>FASE 4</t>
  </si>
  <si>
    <t>FASE 5</t>
  </si>
  <si>
    <t>FASE 6</t>
  </si>
  <si>
    <t>FASE 7</t>
  </si>
  <si>
    <t>TESTES NA PA</t>
  </si>
  <si>
    <t>ESTUDO DA CARTEIRA</t>
  </si>
  <si>
    <t>ABERTURA DE SOLICITAÇÕES</t>
  </si>
  <si>
    <t>ADAPTAÇÃO DO DISCADOR A NECESSIDADE</t>
  </si>
  <si>
    <t>ROLL OUT DA CARTEIRA</t>
  </si>
  <si>
    <t>HOMOLOGAÇÃO</t>
  </si>
  <si>
    <t>CARTEIRA</t>
  </si>
  <si>
    <t>SEGMENTO</t>
  </si>
  <si>
    <t>CAMPANHA</t>
  </si>
  <si>
    <t>TIPO</t>
  </si>
  <si>
    <t>&lt;&gt;""</t>
  </si>
  <si>
    <t>OBS</t>
  </si>
  <si>
    <t>RESPONSÁVEL</t>
  </si>
  <si>
    <t>ATIVIDADES</t>
  </si>
  <si>
    <t>TREINAMENTO</t>
  </si>
  <si>
    <t>FASE 8</t>
  </si>
  <si>
    <t>ANÁLISE DOS RECURSOS TÉCNICOS</t>
  </si>
  <si>
    <t>Descrição</t>
  </si>
  <si>
    <t>-</t>
  </si>
  <si>
    <t>cont.fase</t>
  </si>
  <si>
    <t>soma.fase</t>
  </si>
  <si>
    <t>CONCLUSÃO</t>
  </si>
  <si>
    <t>DIAS</t>
  </si>
  <si>
    <t>INICIO</t>
  </si>
  <si>
    <t>Implantação Carteira</t>
  </si>
  <si>
    <t>MGC</t>
  </si>
  <si>
    <t>Organização</t>
  </si>
  <si>
    <t>status</t>
  </si>
  <si>
    <t>MGC HOLDING</t>
  </si>
  <si>
    <t>Plano de disposição</t>
  </si>
  <si>
    <t>Plano de pausa</t>
  </si>
  <si>
    <t>MGC_HOLDING</t>
  </si>
  <si>
    <t>OLS_</t>
  </si>
  <si>
    <t>PREDITIVO</t>
  </si>
  <si>
    <t>OLSA_</t>
  </si>
  <si>
    <t>AGENDAMENTO</t>
  </si>
  <si>
    <t>OLSI_</t>
  </si>
  <si>
    <t>RECEPTIVO</t>
  </si>
  <si>
    <t>OLSM_</t>
  </si>
  <si>
    <t>MANUAL</t>
  </si>
  <si>
    <t>OLSW_</t>
  </si>
  <si>
    <t>WAY</t>
  </si>
  <si>
    <t>WAY_RECEP</t>
  </si>
  <si>
    <t>OLSW_CAMPANHA_MGC_WAY_RECEPTIVO</t>
  </si>
  <si>
    <t>OLSP_</t>
  </si>
  <si>
    <t>PREVIEW</t>
  </si>
  <si>
    <t>TRIARE</t>
  </si>
  <si>
    <t>NOME</t>
  </si>
  <si>
    <t>CPF</t>
  </si>
  <si>
    <t>CARGO</t>
  </si>
  <si>
    <t>EMPRESA</t>
  </si>
  <si>
    <t>EPI</t>
  </si>
  <si>
    <t>SETOR</t>
  </si>
  <si>
    <t>PEDRO YURI NUNES VIEIRA</t>
  </si>
  <si>
    <t>622.205.753-57</t>
  </si>
  <si>
    <t>ESTAGIÁRIO REC DE CRÉDITO</t>
  </si>
  <si>
    <t>CRC</t>
  </si>
  <si>
    <t>S</t>
  </si>
  <si>
    <t>FRANCISCO GABRIEL</t>
  </si>
  <si>
    <t>630.998.173-09</t>
  </si>
  <si>
    <t>PAULO YAGO ANJO DA SILVA</t>
  </si>
  <si>
    <t>092.157.343-09</t>
  </si>
  <si>
    <t>JOYCE LIMA ALVES</t>
  </si>
  <si>
    <t>077.981.663-35</t>
  </si>
  <si>
    <t>LIVIA ALMEIDA DA SILVA</t>
  </si>
  <si>
    <t>615.266.113-76</t>
  </si>
  <si>
    <t>FELIPE GABRIEL FEITOSA DA SILVA</t>
  </si>
  <si>
    <t>088.409.013-29</t>
  </si>
  <si>
    <t>1.1</t>
  </si>
  <si>
    <t>1.2</t>
  </si>
  <si>
    <t>2.3</t>
  </si>
  <si>
    <t>ETAPA - DESCRIÇÃO</t>
  </si>
  <si>
    <t>3.1</t>
  </si>
  <si>
    <t>Nº</t>
  </si>
  <si>
    <t>Design e Modelagem de Dados</t>
  </si>
  <si>
    <t>Avaliar diferentes alternativas de armazenamento, como data lake e data mart, para atender às necessidades de armazenamento e consulta.</t>
  </si>
  <si>
    <t>Projetar um modelo dimensional flexível e escalável.</t>
  </si>
  <si>
    <t>Criar um esquema de banco de dados que suporte consultas eficientes.</t>
  </si>
  <si>
    <t>Implementar processos de ETL para alimentar o DW com dados de diversas fontes, escaláveis e tolerantes a falhas.</t>
  </si>
  <si>
    <t>Monitoramento de todo processo de atualização de dados</t>
  </si>
  <si>
    <t>Criar documentação de todo processo</t>
  </si>
  <si>
    <t>Executar a implantação do DW no ambiente de produção.</t>
  </si>
  <si>
    <t>Oferecer treinamento para os usuários finais.</t>
  </si>
  <si>
    <t>1.0</t>
  </si>
  <si>
    <t>2.0</t>
  </si>
  <si>
    <t>3.0</t>
  </si>
  <si>
    <t>DBA / MIS</t>
  </si>
  <si>
    <t>Sprint 1</t>
  </si>
  <si>
    <t>Sprint 2</t>
  </si>
  <si>
    <t>Sprint 3</t>
  </si>
  <si>
    <t>Sprint 4</t>
  </si>
  <si>
    <t>Sprint 5</t>
  </si>
  <si>
    <t>Desenvolvimento e Implementação</t>
  </si>
  <si>
    <t>Implantação</t>
  </si>
  <si>
    <t>Desenvolvimento Tabelas Data Lake</t>
  </si>
  <si>
    <t>Desenvolvimento Tabelas DW</t>
  </si>
  <si>
    <t>MIS</t>
  </si>
  <si>
    <t>2.4</t>
  </si>
  <si>
    <r>
      <rPr>
        <b/>
        <sz val="16"/>
        <color theme="9" tint="-0.249977111117893"/>
        <rFont val="Calibri"/>
        <family val="2"/>
        <scheme val="minor"/>
      </rPr>
      <t xml:space="preserve">CRONOGRAMA IMPLANTAÇÃO </t>
    </r>
    <r>
      <rPr>
        <b/>
        <sz val="16"/>
        <color theme="0" tint="-0.499984740745262"/>
        <rFont val="Calibri"/>
        <family val="2"/>
        <scheme val="minor"/>
      </rPr>
      <t>|</t>
    </r>
    <r>
      <rPr>
        <b/>
        <sz val="16"/>
        <color theme="9" tint="-0.249977111117893"/>
        <rFont val="Calibri"/>
        <family val="2"/>
        <scheme val="minor"/>
      </rPr>
      <t xml:space="preserve"> DW </t>
    </r>
    <r>
      <rPr>
        <b/>
        <sz val="20"/>
        <color theme="1" tint="0.499984740745262"/>
        <rFont val="Calibri"/>
        <family val="2"/>
        <scheme val="minor"/>
      </rPr>
      <t xml:space="preserve">
</t>
    </r>
    <r>
      <rPr>
        <i/>
        <sz val="11"/>
        <color theme="1" tint="0.499984740745262"/>
        <rFont val="Calibri"/>
        <family val="2"/>
        <scheme val="minor"/>
      </rPr>
      <t>Andamento do Cronograma</t>
    </r>
  </si>
  <si>
    <r>
      <rPr>
        <b/>
        <sz val="16"/>
        <color theme="9" tint="-0.249977111117893"/>
        <rFont val="Calibri"/>
        <family val="2"/>
        <scheme val="minor"/>
      </rPr>
      <t xml:space="preserve">BACKLOG SPRINT </t>
    </r>
    <r>
      <rPr>
        <b/>
        <sz val="16"/>
        <color theme="0" tint="-0.499984740745262"/>
        <rFont val="Calibri"/>
        <family val="2"/>
        <scheme val="minor"/>
      </rPr>
      <t>|</t>
    </r>
    <r>
      <rPr>
        <b/>
        <sz val="16"/>
        <color theme="9" tint="-0.249977111117893"/>
        <rFont val="Calibri"/>
        <family val="2"/>
        <scheme val="minor"/>
      </rPr>
      <t xml:space="preserve"> DW </t>
    </r>
    <r>
      <rPr>
        <b/>
        <sz val="20"/>
        <color theme="1" tint="0.499984740745262"/>
        <rFont val="Calibri"/>
        <family val="2"/>
        <scheme val="minor"/>
      </rPr>
      <t xml:space="preserve">
</t>
    </r>
    <r>
      <rPr>
        <i/>
        <sz val="11"/>
        <color theme="1" tint="0.499984740745262"/>
        <rFont val="Calibri"/>
        <family val="2"/>
        <scheme val="minor"/>
      </rPr>
      <t>FASES E ETAPAS</t>
    </r>
  </si>
  <si>
    <t>2.1.0</t>
  </si>
  <si>
    <t>2.1.1</t>
  </si>
  <si>
    <t>2.1.2</t>
  </si>
  <si>
    <t>2.1.3</t>
  </si>
  <si>
    <t>2.1.4</t>
  </si>
  <si>
    <t>2.2.0</t>
  </si>
  <si>
    <t>2.2.1</t>
  </si>
  <si>
    <t>2.2.2</t>
  </si>
  <si>
    <t>2.2.3</t>
  </si>
  <si>
    <t>2.2.4</t>
  </si>
  <si>
    <t>2.2.5</t>
  </si>
  <si>
    <t>2.2.6</t>
  </si>
  <si>
    <t>Tabela Cadastro</t>
  </si>
  <si>
    <t>Tabela Acionamentos do Discador</t>
  </si>
  <si>
    <t>Tabela Acionamentos do Crm</t>
  </si>
  <si>
    <t>Tabela Telefones</t>
  </si>
  <si>
    <t>Tabela Email</t>
  </si>
  <si>
    <t>Tabela De X Para</t>
  </si>
  <si>
    <t>Tabela Acordos</t>
  </si>
  <si>
    <t>Tabela Carteira (Clientes)</t>
  </si>
  <si>
    <t>Tabela Pagamentos</t>
  </si>
  <si>
    <t>Tabela Multicanais</t>
  </si>
  <si>
    <t>Tabela Tempos</t>
  </si>
  <si>
    <t>Tabela Pausas</t>
  </si>
  <si>
    <t>Tabela Pesquisa Satisfação</t>
  </si>
  <si>
    <t>2.2.7</t>
  </si>
  <si>
    <t>2.2.8</t>
  </si>
  <si>
    <t>2.1.5</t>
  </si>
  <si>
    <t>início</t>
  </si>
  <si>
    <t>fim</t>
  </si>
  <si>
    <t>sabados e domingos</t>
  </si>
  <si>
    <t>início até o fim</t>
  </si>
  <si>
    <t>dias sem fds para trab</t>
  </si>
  <si>
    <t>qtd tabelas</t>
  </si>
  <si>
    <t>dias por tabela</t>
  </si>
  <si>
    <t>lake</t>
  </si>
  <si>
    <t>dw</t>
  </si>
  <si>
    <t>total</t>
  </si>
  <si>
    <t>Mapeamento das fontes de dados da Plataforma : 2CX</t>
  </si>
  <si>
    <t>Mapeamento das fontes de dados da Plataforma : ACTYON</t>
  </si>
  <si>
    <t>Mapeamento das fontes de dados da Plataforma : ASPECT</t>
  </si>
  <si>
    <t>Mapeamento das fontes de dados da Plataforma : OLOS</t>
  </si>
  <si>
    <t>Mapeamento das fontes de dados da Plataforma : SINERGYTECH</t>
  </si>
  <si>
    <t>Mapeamento das fontes de dados da Plataforma : VCOM</t>
  </si>
  <si>
    <t>Mapeamento das fontes de dados Dispersas, Arquivos Etc</t>
  </si>
  <si>
    <t>Criação do documento de Designer e Modelagem de dados (Governança, Catálogo, Dicionário , Metadados)</t>
  </si>
  <si>
    <t>1.3</t>
  </si>
  <si>
    <t>1.4</t>
  </si>
  <si>
    <t>1.5</t>
  </si>
  <si>
    <t>1.6</t>
  </si>
  <si>
    <t>1.7</t>
  </si>
  <si>
    <t>1.8</t>
  </si>
  <si>
    <t>1.9</t>
  </si>
  <si>
    <t>1.10</t>
  </si>
  <si>
    <t>Bruno Lima (DBA-TI)</t>
  </si>
  <si>
    <t>Matheus Alexander (DA-MIS)</t>
  </si>
  <si>
    <t>DBA / 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</si>
</sst>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dd/mm\ \-\ ddd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2"/>
      <color theme="7"/>
      <name val="Cambria"/>
      <family val="2"/>
      <scheme val="major"/>
    </font>
    <font>
      <sz val="11"/>
      <color theme="1" tint="0.24994659260841701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3"/>
      <name val="Calibri"/>
      <family val="2"/>
    </font>
    <font>
      <b/>
      <sz val="13"/>
      <color theme="0"/>
      <name val="Calibri"/>
      <family val="2"/>
    </font>
    <font>
      <b/>
      <sz val="13"/>
      <color theme="1"/>
      <name val="Calibri"/>
      <family val="2"/>
    </font>
    <font>
      <sz val="11"/>
      <color theme="0"/>
      <name val="Cambria"/>
      <family val="2"/>
      <scheme val="major"/>
    </font>
    <font>
      <sz val="9"/>
      <color theme="1"/>
      <name val="Calibri"/>
      <family val="2"/>
      <scheme val="minor"/>
    </font>
    <font>
      <b/>
      <sz val="9"/>
      <color theme="3" tint="-0.249977111117893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sz val="9"/>
      <color rgb="FF366092"/>
      <name val="Calibri"/>
      <family val="2"/>
    </font>
    <font>
      <b/>
      <sz val="11"/>
      <color theme="4" tint="-0.249977111117893"/>
      <name val="Calibri"/>
      <family val="2"/>
      <scheme val="minor"/>
    </font>
    <font>
      <b/>
      <sz val="8"/>
      <color theme="1" tint="0.24994659260841701"/>
      <name val="Calibri"/>
      <family val="2"/>
    </font>
    <font>
      <b/>
      <sz val="20"/>
      <color theme="9" tint="-0.249977111117893"/>
      <name val="Calibri"/>
      <family val="2"/>
      <scheme val="minor"/>
    </font>
    <font>
      <b/>
      <sz val="13"/>
      <color theme="1" tint="0.499984740745262"/>
      <name val="Calibri"/>
      <family val="2"/>
    </font>
    <font>
      <b/>
      <sz val="9"/>
      <color theme="0" tint="-0.499984740745262"/>
      <name val="Calibri"/>
      <family val="2"/>
    </font>
    <font>
      <b/>
      <sz val="20"/>
      <color theme="1" tint="0.499984740745262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3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</font>
    <font>
      <sz val="8"/>
      <color theme="4" tint="-0.249977111117893"/>
      <name val="Calibri"/>
      <family val="2"/>
      <scheme val="minor"/>
    </font>
    <font>
      <b/>
      <sz val="8"/>
      <name val="Calibri"/>
      <family val="2"/>
    </font>
    <font>
      <b/>
      <sz val="8"/>
      <color theme="1"/>
      <name val="Calibri"/>
      <family val="2"/>
    </font>
    <font>
      <sz val="12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color theme="1"/>
      <name val="Cambria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3" tint="0.39994506668294322"/>
      </top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3" tint="0.39991454817346722"/>
      </left>
      <right/>
      <top style="thin">
        <color theme="3" tint="0.39994506668294322"/>
      </top>
      <bottom style="thin">
        <color theme="0" tint="-0.14996795556505021"/>
      </bottom>
      <diagonal/>
    </border>
    <border>
      <left/>
      <right style="thin">
        <color theme="3" tint="0.39991454817346722"/>
      </right>
      <top style="thin">
        <color theme="3" tint="0.39994506668294322"/>
      </top>
      <bottom style="thin">
        <color theme="0" tint="-0.14996795556505021"/>
      </bottom>
      <diagonal/>
    </border>
    <border>
      <left/>
      <right/>
      <top style="thin">
        <color theme="3" tint="0.39994506668294322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>
      <alignment vertical="center"/>
    </xf>
    <xf numFmtId="0" fontId="4" fillId="2" borderId="2" applyNumberFormat="0" applyProtection="0">
      <alignment horizontal="left" vertical="center"/>
    </xf>
    <xf numFmtId="0" fontId="5" fillId="0" borderId="0" applyNumberFormat="0" applyFill="0" applyBorder="0" applyProtection="0">
      <alignment horizontal="left" vertical="center"/>
    </xf>
    <xf numFmtId="0" fontId="7" fillId="0" borderId="0" applyFill="0" applyBorder="0" applyProtection="0">
      <alignment horizontal="left"/>
    </xf>
    <xf numFmtId="9" fontId="8" fillId="0" borderId="0" applyFill="0" applyBorder="0" applyProtection="0">
      <alignment horizontal="center" vertical="center"/>
    </xf>
    <xf numFmtId="0" fontId="9" fillId="0" borderId="0" applyFill="0" applyBorder="0" applyProtection="0">
      <alignment horizontal="center"/>
    </xf>
    <xf numFmtId="3" fontId="9" fillId="0" borderId="3" applyFill="0" applyProtection="0">
      <alignment horizontal="center"/>
    </xf>
  </cellStyleXfs>
  <cellXfs count="78">
    <xf numFmtId="0" fontId="0" fillId="0" borderId="0" xfId="0"/>
    <xf numFmtId="0" fontId="3" fillId="0" borderId="0" xfId="3" applyAlignment="1">
      <alignment horizontal="center"/>
    </xf>
    <xf numFmtId="0" fontId="3" fillId="0" borderId="0" xfId="3">
      <alignment vertical="center"/>
    </xf>
    <xf numFmtId="0" fontId="7" fillId="0" borderId="0" xfId="6">
      <alignment horizontal="left"/>
    </xf>
    <xf numFmtId="0" fontId="10" fillId="0" borderId="0" xfId="6" applyFont="1">
      <alignment horizontal="left"/>
    </xf>
    <xf numFmtId="0" fontId="6" fillId="0" borderId="0" xfId="3" applyFont="1" applyAlignment="1">
      <alignment horizontal="center"/>
    </xf>
    <xf numFmtId="0" fontId="3" fillId="0" borderId="0" xfId="3" applyBorder="1">
      <alignment vertical="center"/>
    </xf>
    <xf numFmtId="0" fontId="10" fillId="0" borderId="0" xfId="6" applyFont="1" applyBorder="1">
      <alignment horizontal="left"/>
    </xf>
    <xf numFmtId="0" fontId="6" fillId="0" borderId="0" xfId="3" applyFont="1" applyBorder="1" applyAlignment="1">
      <alignment horizontal="center"/>
    </xf>
    <xf numFmtId="0" fontId="3" fillId="0" borderId="0" xfId="3" applyBorder="1" applyAlignment="1">
      <alignment horizontal="center"/>
    </xf>
    <xf numFmtId="0" fontId="7" fillId="0" borderId="0" xfId="6" applyBorder="1">
      <alignment horizontal="left"/>
    </xf>
    <xf numFmtId="9" fontId="13" fillId="0" borderId="5" xfId="1" applyFont="1" applyBorder="1" applyAlignment="1">
      <alignment horizontal="center" vertical="center"/>
    </xf>
    <xf numFmtId="0" fontId="11" fillId="0" borderId="5" xfId="6" applyFont="1" applyBorder="1" applyAlignment="1">
      <alignment horizontal="left" vertical="center"/>
    </xf>
    <xf numFmtId="9" fontId="12" fillId="0" borderId="0" xfId="1" applyFont="1" applyAlignment="1">
      <alignment horizontal="left"/>
    </xf>
    <xf numFmtId="0" fontId="14" fillId="0" borderId="0" xfId="3" applyFont="1">
      <alignment vertical="center"/>
    </xf>
    <xf numFmtId="0" fontId="14" fillId="0" borderId="0" xfId="3" applyFont="1" applyBorder="1">
      <alignment vertical="center"/>
    </xf>
    <xf numFmtId="0" fontId="15" fillId="0" borderId="0" xfId="0" applyFont="1"/>
    <xf numFmtId="0" fontId="16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19" fillId="4" borderId="0" xfId="0" applyFont="1" applyFill="1" applyAlignment="1">
      <alignment horizontal="center" vertical="center"/>
    </xf>
    <xf numFmtId="9" fontId="20" fillId="0" borderId="5" xfId="1" applyFont="1" applyFill="1" applyBorder="1" applyAlignment="1">
      <alignment horizontal="center"/>
    </xf>
    <xf numFmtId="0" fontId="23" fillId="5" borderId="4" xfId="6" applyFont="1" applyFill="1" applyBorder="1" applyAlignment="1">
      <alignment horizontal="center" vertical="center"/>
    </xf>
    <xf numFmtId="0" fontId="22" fillId="7" borderId="4" xfId="6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32" fillId="0" borderId="7" xfId="0" applyFont="1" applyBorder="1" applyAlignment="1">
      <alignment horizontal="center"/>
    </xf>
    <xf numFmtId="0" fontId="34" fillId="0" borderId="6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16" fontId="31" fillId="0" borderId="6" xfId="0" applyNumberFormat="1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2" fillId="0" borderId="8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9" fillId="6" borderId="11" xfId="0" applyFont="1" applyFill="1" applyBorder="1" applyAlignment="1">
      <alignment horizontal="center"/>
    </xf>
    <xf numFmtId="0" fontId="30" fillId="8" borderId="1" xfId="0" applyFont="1" applyFill="1" applyBorder="1" applyAlignment="1">
      <alignment horizontal="center"/>
    </xf>
    <xf numFmtId="0" fontId="30" fillId="8" borderId="9" xfId="0" applyFont="1" applyFill="1" applyBorder="1" applyAlignment="1">
      <alignment horizontal="center"/>
    </xf>
    <xf numFmtId="0" fontId="30" fillId="8" borderId="10" xfId="0" applyFont="1" applyFill="1" applyBorder="1" applyAlignment="1">
      <alignment horizontal="center"/>
    </xf>
    <xf numFmtId="0" fontId="33" fillId="0" borderId="6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/>
    </xf>
    <xf numFmtId="9" fontId="36" fillId="0" borderId="5" xfId="1" applyFont="1" applyFill="1" applyBorder="1" applyAlignment="1">
      <alignment horizontal="center"/>
    </xf>
    <xf numFmtId="0" fontId="37" fillId="0" borderId="0" xfId="3" applyFont="1" applyAlignment="1">
      <alignment horizontal="center"/>
    </xf>
    <xf numFmtId="165" fontId="27" fillId="0" borderId="0" xfId="1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8" fillId="9" borderId="12" xfId="0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21" fillId="0" borderId="0" xfId="2" applyFont="1" applyAlignment="1">
      <alignment wrapText="1"/>
    </xf>
    <xf numFmtId="164" fontId="42" fillId="0" borderId="0" xfId="0" applyNumberFormat="1" applyFont="1" applyAlignment="1">
      <alignment horizontal="center"/>
    </xf>
    <xf numFmtId="166" fontId="31" fillId="0" borderId="6" xfId="0" applyNumberFormat="1" applyFont="1" applyBorder="1" applyAlignment="1">
      <alignment horizontal="center"/>
    </xf>
    <xf numFmtId="166" fontId="35" fillId="0" borderId="6" xfId="0" applyNumberFormat="1" applyFont="1" applyBorder="1" applyAlignment="1">
      <alignment horizontal="center" vertical="center"/>
    </xf>
    <xf numFmtId="166" fontId="33" fillId="0" borderId="6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43" fillId="0" borderId="0" xfId="3" applyFont="1">
      <alignment vertical="center"/>
    </xf>
    <xf numFmtId="14" fontId="0" fillId="0" borderId="0" xfId="0" applyNumberFormat="1"/>
    <xf numFmtId="164" fontId="0" fillId="0" borderId="0" xfId="0" applyNumberFormat="1"/>
    <xf numFmtId="166" fontId="31" fillId="3" borderId="6" xfId="0" applyNumberFormat="1" applyFont="1" applyFill="1" applyBorder="1" applyAlignment="1">
      <alignment horizontal="center"/>
    </xf>
    <xf numFmtId="0" fontId="0" fillId="3" borderId="0" xfId="0" applyFill="1"/>
    <xf numFmtId="0" fontId="32" fillId="11" borderId="7" xfId="0" applyFont="1" applyFill="1" applyBorder="1" applyAlignment="1">
      <alignment horizontal="center"/>
    </xf>
    <xf numFmtId="0" fontId="32" fillId="11" borderId="8" xfId="0" applyFont="1" applyFill="1" applyBorder="1" applyAlignment="1">
      <alignment horizontal="center"/>
    </xf>
    <xf numFmtId="0" fontId="32" fillId="11" borderId="6" xfId="0" applyFont="1" applyFill="1" applyBorder="1" applyAlignment="1">
      <alignment horizontal="center"/>
    </xf>
    <xf numFmtId="0" fontId="34" fillId="11" borderId="6" xfId="0" applyFont="1" applyFill="1" applyBorder="1" applyAlignment="1">
      <alignment horizontal="center"/>
    </xf>
    <xf numFmtId="0" fontId="28" fillId="11" borderId="6" xfId="0" applyFont="1" applyFill="1" applyBorder="1" applyAlignment="1">
      <alignment horizontal="center"/>
    </xf>
    <xf numFmtId="166" fontId="31" fillId="11" borderId="6" xfId="0" applyNumberFormat="1" applyFont="1" applyFill="1" applyBorder="1" applyAlignment="1">
      <alignment horizontal="center"/>
    </xf>
    <xf numFmtId="0" fontId="31" fillId="11" borderId="6" xfId="0" applyFont="1" applyFill="1" applyBorder="1" applyAlignment="1">
      <alignment horizontal="center"/>
    </xf>
    <xf numFmtId="0" fontId="35" fillId="11" borderId="6" xfId="0" applyFont="1" applyFill="1" applyBorder="1" applyAlignment="1">
      <alignment horizontal="center" vertical="center"/>
    </xf>
    <xf numFmtId="166" fontId="33" fillId="11" borderId="6" xfId="0" applyNumberFormat="1" applyFont="1" applyFill="1" applyBorder="1" applyAlignment="1">
      <alignment horizontal="center" vertical="center"/>
    </xf>
    <xf numFmtId="0" fontId="21" fillId="10" borderId="0" xfId="2" applyFont="1" applyFill="1" applyAlignment="1">
      <alignment horizontal="center" wrapText="1"/>
    </xf>
    <xf numFmtId="0" fontId="22" fillId="7" borderId="4" xfId="6" applyFont="1" applyFill="1" applyBorder="1" applyAlignment="1">
      <alignment horizontal="center" vertical="center"/>
    </xf>
    <xf numFmtId="0" fontId="21" fillId="0" borderId="0" xfId="2" applyFont="1" applyAlignment="1">
      <alignment horizontal="left" wrapText="1"/>
    </xf>
    <xf numFmtId="0" fontId="21" fillId="0" borderId="0" xfId="2" applyFont="1" applyAlignment="1">
      <alignment horizontal="left"/>
    </xf>
  </cellXfs>
  <cellStyles count="10">
    <cellStyle name="Activity" xfId="6" xr:uid="{00000000-0005-0000-0000-000000000000}"/>
    <cellStyle name="Label" xfId="5" xr:uid="{00000000-0005-0000-0000-000001000000}"/>
    <cellStyle name="Normal" xfId="0" builtinId="0"/>
    <cellStyle name="Normal 2" xfId="3" xr:uid="{00000000-0005-0000-0000-000003000000}"/>
    <cellStyle name="Percent Complete" xfId="7" xr:uid="{00000000-0005-0000-0000-000004000000}"/>
    <cellStyle name="Period Headers" xfId="9" xr:uid="{00000000-0005-0000-0000-000005000000}"/>
    <cellStyle name="Period Highlight Control" xfId="4" xr:uid="{00000000-0005-0000-0000-000006000000}"/>
    <cellStyle name="Porcentagem" xfId="1" builtinId="5"/>
    <cellStyle name="Project Headers" xfId="8" xr:uid="{00000000-0005-0000-0000-000008000000}"/>
    <cellStyle name="Título 1 2" xfId="2" xr:uid="{00000000-0005-0000-0000-000009000000}"/>
  </cellStyles>
  <dxfs count="2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 patternType="lightUp"/>
      </fill>
    </dxf>
    <dxf>
      <font>
        <color theme="0"/>
      </font>
      <fill>
        <patternFill>
          <bgColor theme="0"/>
        </patternFill>
      </fill>
    </dxf>
    <dxf>
      <border>
        <top style="thin">
          <color theme="7"/>
        </top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00B050"/>
      </font>
      <fill>
        <patternFill>
          <bgColor theme="6" tint="0.59996337778862885"/>
        </patternFill>
      </fill>
    </dxf>
    <dxf>
      <font>
        <b/>
        <i val="0"/>
        <color rgb="FFFFC000"/>
      </font>
      <fill>
        <patternFill>
          <bgColor rgb="FFFFFF99"/>
        </patternFill>
      </fill>
    </dxf>
    <dxf>
      <font>
        <b/>
        <i val="0"/>
        <color theme="1" tint="0.34998626667073579"/>
      </font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00B050"/>
      </font>
      <fill>
        <patternFill>
          <bgColor theme="6" tint="0.59996337778862885"/>
        </patternFill>
      </fill>
    </dxf>
    <dxf>
      <font>
        <b/>
        <i val="0"/>
        <color rgb="FFFFC000"/>
      </font>
      <fill>
        <patternFill>
          <bgColor rgb="FFFFFF99"/>
        </patternFill>
      </fill>
    </dxf>
    <dxf>
      <font>
        <b/>
        <i val="0"/>
        <color theme="1" tint="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SPINT BACKLOG - DW</a:t>
            </a:r>
          </a:p>
        </c:rich>
      </c:tx>
      <c:layout>
        <c:manualLayout>
          <c:xMode val="edge"/>
          <c:yMode val="edge"/>
          <c:x val="0.37657245401525347"/>
          <c:y val="2.03504768741667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407262181056439"/>
          <c:y val="0.16378662017570847"/>
          <c:w val="0.67899760847525281"/>
          <c:h val="0.814156703301085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Backlog_old!$J$9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Planilha1!$A$2:$A$9</c15:sqref>
                  </c15:fullRef>
                </c:ext>
              </c:extLst>
              <c:f>Planilha1!$A$2:$A$4</c:f>
              <c:strCache>
                <c:ptCount val="3"/>
                <c:pt idx="0">
                  <c:v>Design e Modelagem de Dados</c:v>
                </c:pt>
                <c:pt idx="1">
                  <c:v>Desenvolvimento e Implementação</c:v>
                </c:pt>
                <c:pt idx="2">
                  <c:v>Implantação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Planilha1!$B$2:$B$9</c15:sqref>
                  </c15:fullRef>
                </c:ext>
              </c:extLst>
              <c:f>Planilha1!$B$2:$B$4</c:f>
              <c:numCache>
                <c:formatCode>d\-mmm</c:formatCode>
                <c:ptCount val="3"/>
                <c:pt idx="0">
                  <c:v>45464</c:v>
                </c:pt>
                <c:pt idx="1">
                  <c:v>45463</c:v>
                </c:pt>
                <c:pt idx="2">
                  <c:v>45516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A-441D-A129-6B88D5109B09}"/>
            </c:ext>
          </c:extLst>
        </c:ser>
        <c:ser>
          <c:idx val="1"/>
          <c:order val="1"/>
          <c:tx>
            <c:strRef>
              <c:f>Backlog!$N$9</c:f>
              <c:strCache>
                <c:ptCount val="1"/>
                <c:pt idx="0">
                  <c:v>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6D4A-441D-A129-6B88D5109B0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6D4A-441D-A129-6B88D5109B09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6D4A-441D-A129-6B88D5109B09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6D4A-441D-A129-6B88D5109B09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6D4A-441D-A129-6B88D5109B09}"/>
              </c:ext>
            </c:extLst>
          </c:dPt>
          <c:dPt>
            <c:idx val="5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6D4A-441D-A129-6B88D5109B09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6D4A-441D-A129-6B88D5109B09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6D4A-441D-A129-6B88D5109B09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6D4A-441D-A129-6B88D5109B09}"/>
              </c:ext>
            </c:extLst>
          </c:dPt>
          <c:dPt>
            <c:idx val="9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6D4A-441D-A129-6B88D5109B0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Planilha1!$A$2:$A$9</c15:sqref>
                  </c15:fullRef>
                </c:ext>
              </c:extLst>
              <c:f>Planilha1!$A$2:$A$4</c:f>
              <c:strCache>
                <c:ptCount val="3"/>
                <c:pt idx="0">
                  <c:v>Design e Modelagem de Dados</c:v>
                </c:pt>
                <c:pt idx="1">
                  <c:v>Desenvolvimento e Implementação</c:v>
                </c:pt>
                <c:pt idx="2">
                  <c:v>Implantação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Planilha1!$D$2:$D$9</c15:sqref>
                  </c15:fullRef>
                </c:ext>
              </c:extLst>
              <c:f>Planilha1!$D$2:$D$4</c:f>
              <c:numCache>
                <c:formatCode>General</c:formatCode>
                <c:ptCount val="3"/>
                <c:pt idx="0">
                  <c:v>19</c:v>
                </c:pt>
                <c:pt idx="1">
                  <c:v>50</c:v>
                </c:pt>
                <c:pt idx="2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Planilha1!$D$5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Planilha1!$D$6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Planilha1!$D$7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Planilha1!$D$8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Planilha1!$D$9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F-6D4A-441D-A129-6B88D5109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385664"/>
        <c:axId val="1405494704"/>
      </c:barChart>
      <c:catAx>
        <c:axId val="140438566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="1"/>
            </a:pPr>
            <a:endParaRPr lang="pt-BR"/>
          </a:p>
        </c:txPr>
        <c:crossAx val="1405494704"/>
        <c:crosses val="autoZero"/>
        <c:auto val="1"/>
        <c:lblAlgn val="ctr"/>
        <c:lblOffset val="100"/>
        <c:noMultiLvlLbl val="0"/>
      </c:catAx>
      <c:valAx>
        <c:axId val="1405494704"/>
        <c:scaling>
          <c:orientation val="minMax"/>
          <c:max val="45565"/>
          <c:min val="45450"/>
        </c:scaling>
        <c:delete val="0"/>
        <c:axPos val="t"/>
        <c:majorGridlines/>
        <c:numFmt formatCode="d/m;@" sourceLinked="0"/>
        <c:majorTickMark val="out"/>
        <c:minorTickMark val="none"/>
        <c:tickLblPos val="nextTo"/>
        <c:crossAx val="1404385664"/>
        <c:crosses val="autoZero"/>
        <c:crossBetween val="between"/>
        <c:majorUnit val="3"/>
      </c:valAx>
    </c:plotArea>
    <c:plotVisOnly val="1"/>
    <c:dispBlanksAs val="gap"/>
    <c:showDLblsOverMax val="0"/>
  </c:chart>
  <c:spPr>
    <a:noFill/>
    <a:ln>
      <a:noFill/>
    </a:ln>
    <a:scene3d>
      <a:camera prst="orthographicFront"/>
      <a:lightRig rig="threePt" dir="t"/>
    </a:scene3d>
    <a:sp3d>
      <a:bevelB/>
    </a:sp3d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</xdr:row>
      <xdr:rowOff>17144</xdr:rowOff>
    </xdr:from>
    <xdr:to>
      <xdr:col>27</xdr:col>
      <xdr:colOff>101600</xdr:colOff>
      <xdr:row>36</xdr:row>
      <xdr:rowOff>91440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o%20de%20projeto%20de%20marketing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 do plano de marketing"/>
      <sheetName val="Dados da lista"/>
      <sheetName val="Plano de projeto de marketing1"/>
    </sheetNames>
    <sheetDataSet>
      <sheetData sheetId="0">
        <row r="6">
          <cell r="H6" t="str">
            <v>Personalizado 1</v>
          </cell>
          <cell r="I6" t="str">
            <v>Personalizado 2</v>
          </cell>
          <cell r="J6" t="str">
            <v>Personalizado 3</v>
          </cell>
          <cell r="K6" t="str">
            <v>Personalizado 4</v>
          </cell>
        </row>
        <row r="7">
          <cell r="D7" t="str">
            <v>Ativado</v>
          </cell>
          <cell r="E7" t="str">
            <v>Ativado</v>
          </cell>
          <cell r="F7" t="str">
            <v>Desativado</v>
          </cell>
          <cell r="G7" t="str">
            <v>Ativado</v>
          </cell>
          <cell r="H7" t="str">
            <v>Desativado</v>
          </cell>
          <cell r="I7" t="str">
            <v>Desativado</v>
          </cell>
          <cell r="J7" t="str">
            <v>Desativado</v>
          </cell>
          <cell r="K7" t="str">
            <v>Desativado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"/>
  <sheetViews>
    <sheetView showGridLines="0" topLeftCell="F1" zoomScale="115" zoomScaleNormal="115" workbookViewId="0">
      <pane ySplit="9" topLeftCell="A10" activePane="bottomLeft" state="frozen"/>
      <selection activeCell="C1" sqref="C1"/>
      <selection pane="bottomLeft" activeCell="J12" sqref="I12:J12"/>
    </sheetView>
  </sheetViews>
  <sheetFormatPr defaultColWidth="9.109375" defaultRowHeight="10.199999999999999"/>
  <cols>
    <col min="1" max="2" width="0.6640625" style="32" customWidth="1"/>
    <col min="3" max="3" width="0.5546875" style="51" customWidth="1"/>
    <col min="4" max="4" width="6.109375" style="25" bestFit="1" customWidth="1"/>
    <col min="5" max="5" width="4.44140625" style="25" bestFit="1" customWidth="1"/>
    <col min="6" max="6" width="25" style="25" bestFit="1" customWidth="1"/>
    <col min="7" max="7" width="99.33203125" style="25" bestFit="1" customWidth="1"/>
    <col min="8" max="8" width="10.44140625" style="25" bestFit="1" customWidth="1"/>
    <col min="9" max="9" width="10.33203125" style="25" bestFit="1" customWidth="1"/>
    <col min="10" max="10" width="9.109375" style="25" bestFit="1" customWidth="1"/>
    <col min="11" max="11" width="3.5546875" style="25" bestFit="1" customWidth="1"/>
    <col min="12" max="12" width="7.44140625" style="25" bestFit="1" customWidth="1"/>
    <col min="13" max="13" width="9.109375" style="25" bestFit="1" customWidth="1"/>
    <col min="14" max="14" width="5.6640625" style="25" bestFit="1" customWidth="1"/>
    <col min="15" max="15" width="4.109375" style="32" bestFit="1" customWidth="1"/>
    <col min="16" max="16" width="3.5546875" style="32" bestFit="1" customWidth="1"/>
    <col min="17" max="17" width="11.6640625" style="32" bestFit="1" customWidth="1"/>
    <col min="18" max="18" width="25" style="25" bestFit="1" customWidth="1"/>
    <col min="19" max="16384" width="9.109375" style="25"/>
  </cols>
  <sheetData>
    <row r="1" spans="1:20" ht="4.3499999999999996" customHeight="1">
      <c r="D1" s="74" t="s">
        <v>115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52"/>
      <c r="Q1" s="52"/>
    </row>
    <row r="2" spans="1:20" ht="3.15" customHeight="1"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52"/>
      <c r="Q2" s="52"/>
    </row>
    <row r="3" spans="1:20" ht="3.15" customHeight="1"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20" ht="3.15" customHeight="1"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1:20" ht="6.6" customHeight="1"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20" ht="7.2" customHeight="1"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Q6" s="51" t="s">
        <v>34</v>
      </c>
    </row>
    <row r="7" spans="1:20" s="51" customFormat="1" ht="14.4" customHeight="1">
      <c r="A7" s="32"/>
      <c r="B7" s="3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Q7" s="51" t="s">
        <v>3</v>
      </c>
    </row>
    <row r="8" spans="1:20" ht="7.5" customHeight="1"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Q8" s="51" t="s">
        <v>4</v>
      </c>
    </row>
    <row r="9" spans="1:20">
      <c r="A9" s="32" t="s">
        <v>35</v>
      </c>
      <c r="B9" s="32" t="s">
        <v>36</v>
      </c>
      <c r="D9" s="33" t="s">
        <v>0</v>
      </c>
      <c r="E9" s="33" t="s">
        <v>89</v>
      </c>
      <c r="F9" s="33" t="s">
        <v>87</v>
      </c>
      <c r="G9" s="34" t="s">
        <v>1</v>
      </c>
      <c r="H9" s="34" t="s">
        <v>2</v>
      </c>
      <c r="I9" s="35" t="s">
        <v>28</v>
      </c>
      <c r="J9" s="34" t="s">
        <v>39</v>
      </c>
      <c r="K9" s="34" t="s">
        <v>27</v>
      </c>
      <c r="L9" s="36" t="s">
        <v>33</v>
      </c>
      <c r="M9" s="34" t="s">
        <v>37</v>
      </c>
      <c r="N9" s="34" t="s">
        <v>38</v>
      </c>
      <c r="O9" s="34" t="s">
        <v>38</v>
      </c>
      <c r="P9" s="25"/>
      <c r="Q9" s="51" t="s">
        <v>5</v>
      </c>
    </row>
    <row r="10" spans="1:20">
      <c r="A10" s="58">
        <f t="shared" ref="A10" si="0">IF(H10="-",0,1)</f>
        <v>1</v>
      </c>
      <c r="B10" s="58">
        <f>INDEX($P$10:$P$12,MATCH(H10,$Q$7:$Q$9,0))</f>
        <v>0</v>
      </c>
      <c r="C10" s="53"/>
      <c r="D10" s="26" t="s">
        <v>103</v>
      </c>
      <c r="E10" s="31" t="s">
        <v>99</v>
      </c>
      <c r="F10" s="31" t="s">
        <v>90</v>
      </c>
      <c r="G10" s="37" t="s">
        <v>91</v>
      </c>
      <c r="H10" s="27" t="s">
        <v>5</v>
      </c>
      <c r="I10" s="28" t="s">
        <v>102</v>
      </c>
      <c r="J10" s="54">
        <v>45450</v>
      </c>
      <c r="K10" s="55"/>
      <c r="L10" s="56"/>
      <c r="M10" s="54">
        <v>45453</v>
      </c>
      <c r="N10" s="38">
        <f>IFERROR(NETWORKDAYS(J10,M10),0)</f>
        <v>2</v>
      </c>
      <c r="O10" s="38"/>
      <c r="P10" s="25">
        <v>1</v>
      </c>
      <c r="Q10" s="25"/>
      <c r="T10" s="59"/>
    </row>
    <row r="11" spans="1:20">
      <c r="A11" s="58">
        <f t="shared" ref="A11:A32" si="1">IF(H11="-",0,1)</f>
        <v>1</v>
      </c>
      <c r="B11" s="58">
        <f t="shared" ref="B11:B32" si="2">INDEX($P$10:$P$12,MATCH(H11,$Q$7:$Q$9,0))</f>
        <v>0</v>
      </c>
      <c r="C11" s="53"/>
      <c r="D11" s="26" t="s">
        <v>103</v>
      </c>
      <c r="E11" s="31" t="s">
        <v>84</v>
      </c>
      <c r="F11" s="31" t="s">
        <v>90</v>
      </c>
      <c r="G11" s="37" t="s">
        <v>92</v>
      </c>
      <c r="H11" s="27" t="s">
        <v>5</v>
      </c>
      <c r="I11" s="28" t="s">
        <v>102</v>
      </c>
      <c r="J11" s="54">
        <v>45454</v>
      </c>
      <c r="K11" s="56"/>
      <c r="L11" s="56"/>
      <c r="M11" s="54">
        <v>45457</v>
      </c>
      <c r="N11" s="38">
        <f t="shared" ref="N11:N28" si="3">IFERROR(NETWORKDAYS(J11,M11),0)</f>
        <v>4</v>
      </c>
      <c r="O11" s="38"/>
      <c r="P11" s="25">
        <v>0.5</v>
      </c>
      <c r="Q11" s="32">
        <f>COUNTIF(Q7,H:H)</f>
        <v>0</v>
      </c>
      <c r="T11" s="59"/>
    </row>
    <row r="12" spans="1:20">
      <c r="A12" s="58">
        <f t="shared" si="1"/>
        <v>1</v>
      </c>
      <c r="B12" s="58">
        <f t="shared" si="2"/>
        <v>0</v>
      </c>
      <c r="C12" s="53"/>
      <c r="D12" s="26" t="s">
        <v>103</v>
      </c>
      <c r="E12" s="31" t="s">
        <v>85</v>
      </c>
      <c r="F12" s="31" t="s">
        <v>90</v>
      </c>
      <c r="G12" s="37" t="s">
        <v>93</v>
      </c>
      <c r="H12" s="27" t="s">
        <v>5</v>
      </c>
      <c r="I12" s="28" t="s">
        <v>102</v>
      </c>
      <c r="J12" s="54">
        <v>45460</v>
      </c>
      <c r="K12" s="56"/>
      <c r="L12" s="56"/>
      <c r="M12" s="54">
        <v>45462</v>
      </c>
      <c r="N12" s="38">
        <f t="shared" si="3"/>
        <v>3</v>
      </c>
      <c r="O12" s="38"/>
      <c r="P12" s="25">
        <v>0</v>
      </c>
      <c r="T12" s="59"/>
    </row>
    <row r="13" spans="1:20" ht="10.199999999999999" customHeight="1">
      <c r="A13" s="58">
        <f t="shared" si="1"/>
        <v>1</v>
      </c>
      <c r="B13" s="58">
        <f t="shared" si="2"/>
        <v>0</v>
      </c>
      <c r="C13" s="53"/>
      <c r="D13" s="26" t="s">
        <v>104</v>
      </c>
      <c r="E13" s="31" t="s">
        <v>100</v>
      </c>
      <c r="F13" s="31" t="s">
        <v>108</v>
      </c>
      <c r="G13" s="37" t="s">
        <v>94</v>
      </c>
      <c r="H13" s="27" t="s">
        <v>5</v>
      </c>
      <c r="I13" s="28" t="s">
        <v>112</v>
      </c>
      <c r="J13" s="54">
        <v>45463</v>
      </c>
      <c r="K13" s="56"/>
      <c r="L13" s="56"/>
      <c r="M13" s="54">
        <v>45513</v>
      </c>
      <c r="N13" s="38">
        <f t="shared" si="3"/>
        <v>37</v>
      </c>
      <c r="O13" s="38"/>
      <c r="P13" s="25"/>
      <c r="Q13" s="32">
        <f>COUNTIF(Q8,H:H)</f>
        <v>0</v>
      </c>
      <c r="T13" s="59"/>
    </row>
    <row r="14" spans="1:20" ht="10.199999999999999" customHeight="1">
      <c r="A14" s="58">
        <f t="shared" si="1"/>
        <v>1</v>
      </c>
      <c r="B14" s="58">
        <f t="shared" si="2"/>
        <v>0</v>
      </c>
      <c r="C14" s="53"/>
      <c r="D14" s="65" t="s">
        <v>104</v>
      </c>
      <c r="E14" s="66" t="s">
        <v>116</v>
      </c>
      <c r="F14" s="66" t="s">
        <v>108</v>
      </c>
      <c r="G14" s="67" t="s">
        <v>110</v>
      </c>
      <c r="H14" s="68" t="s">
        <v>5</v>
      </c>
      <c r="I14" s="69" t="s">
        <v>112</v>
      </c>
      <c r="J14" s="70">
        <v>45463</v>
      </c>
      <c r="K14" s="70"/>
      <c r="L14" s="70"/>
      <c r="M14" s="70">
        <v>45484</v>
      </c>
      <c r="N14" s="71">
        <f t="shared" si="3"/>
        <v>16</v>
      </c>
      <c r="O14" s="71"/>
      <c r="P14" s="25"/>
      <c r="Q14" s="32">
        <f>COUNTIF(Q9,H:H)</f>
        <v>1</v>
      </c>
      <c r="T14" s="59"/>
    </row>
    <row r="15" spans="1:20" ht="10.199999999999999" customHeight="1">
      <c r="A15" s="58">
        <f t="shared" ref="A15:A28" si="4">IF(H15="-",0,1)</f>
        <v>1</v>
      </c>
      <c r="B15" s="58">
        <f t="shared" ref="B15:B28" si="5">INDEX($P$10:$P$12,MATCH(H15,$Q$7:$Q$9,0))</f>
        <v>0</v>
      </c>
      <c r="C15" s="53"/>
      <c r="D15" s="26" t="s">
        <v>104</v>
      </c>
      <c r="E15" s="31" t="s">
        <v>117</v>
      </c>
      <c r="F15" s="31" t="s">
        <v>108</v>
      </c>
      <c r="G15" s="38" t="s">
        <v>129</v>
      </c>
      <c r="H15" s="27" t="s">
        <v>5</v>
      </c>
      <c r="I15" s="28" t="s">
        <v>112</v>
      </c>
      <c r="J15" s="63">
        <v>45467</v>
      </c>
      <c r="K15" s="54"/>
      <c r="L15" s="54"/>
      <c r="M15" s="54">
        <f>J15+4</f>
        <v>45471</v>
      </c>
      <c r="N15" s="38">
        <f t="shared" si="3"/>
        <v>5</v>
      </c>
      <c r="O15" s="38"/>
      <c r="P15" s="25"/>
      <c r="T15" s="59"/>
    </row>
    <row r="16" spans="1:20" ht="10.199999999999999" customHeight="1">
      <c r="A16" s="58">
        <f t="shared" si="4"/>
        <v>1</v>
      </c>
      <c r="B16" s="58">
        <f t="shared" si="5"/>
        <v>0</v>
      </c>
      <c r="C16" s="53"/>
      <c r="D16" s="26" t="s">
        <v>104</v>
      </c>
      <c r="E16" s="31" t="s">
        <v>118</v>
      </c>
      <c r="F16" s="31" t="s">
        <v>108</v>
      </c>
      <c r="G16" s="38" t="s">
        <v>130</v>
      </c>
      <c r="H16" s="27" t="s">
        <v>5</v>
      </c>
      <c r="I16" s="28" t="s">
        <v>112</v>
      </c>
      <c r="J16" s="54">
        <f>M15+3</f>
        <v>45474</v>
      </c>
      <c r="K16" s="54"/>
      <c r="L16" s="54"/>
      <c r="M16" s="54">
        <f>J16+2</f>
        <v>45476</v>
      </c>
      <c r="N16" s="38">
        <f t="shared" si="3"/>
        <v>3</v>
      </c>
      <c r="O16" s="38"/>
      <c r="P16" s="25"/>
      <c r="T16" s="59"/>
    </row>
    <row r="17" spans="1:20" ht="10.199999999999999" customHeight="1">
      <c r="A17" s="58">
        <f t="shared" si="4"/>
        <v>1</v>
      </c>
      <c r="B17" s="58">
        <f t="shared" si="5"/>
        <v>0</v>
      </c>
      <c r="C17" s="53"/>
      <c r="D17" s="26" t="s">
        <v>104</v>
      </c>
      <c r="E17" s="31" t="s">
        <v>119</v>
      </c>
      <c r="F17" s="31" t="s">
        <v>108</v>
      </c>
      <c r="G17" s="38" t="s">
        <v>131</v>
      </c>
      <c r="H17" s="27" t="s">
        <v>5</v>
      </c>
      <c r="I17" s="28" t="s">
        <v>112</v>
      </c>
      <c r="J17" s="54">
        <f>M16+1</f>
        <v>45477</v>
      </c>
      <c r="K17" s="54"/>
      <c r="L17" s="54"/>
      <c r="M17" s="54">
        <f>J17+4</f>
        <v>45481</v>
      </c>
      <c r="N17" s="38">
        <f t="shared" si="3"/>
        <v>3</v>
      </c>
      <c r="O17" s="38"/>
      <c r="P17" s="25"/>
      <c r="T17" s="59"/>
    </row>
    <row r="18" spans="1:20" ht="10.199999999999999" customHeight="1">
      <c r="A18" s="58">
        <f t="shared" si="4"/>
        <v>1</v>
      </c>
      <c r="B18" s="58">
        <f t="shared" si="5"/>
        <v>0</v>
      </c>
      <c r="C18" s="53"/>
      <c r="D18" s="26" t="s">
        <v>104</v>
      </c>
      <c r="E18" s="31" t="s">
        <v>120</v>
      </c>
      <c r="F18" s="31" t="s">
        <v>108</v>
      </c>
      <c r="G18" s="38" t="s">
        <v>132</v>
      </c>
      <c r="H18" s="27" t="s">
        <v>5</v>
      </c>
      <c r="I18" s="28" t="s">
        <v>112</v>
      </c>
      <c r="J18" s="54">
        <f>M17+1</f>
        <v>45482</v>
      </c>
      <c r="K18" s="54"/>
      <c r="L18" s="54"/>
      <c r="M18" s="54">
        <f>J18+2</f>
        <v>45484</v>
      </c>
      <c r="N18" s="38">
        <f t="shared" si="3"/>
        <v>3</v>
      </c>
      <c r="O18" s="38"/>
      <c r="P18" s="25"/>
      <c r="T18" s="59"/>
    </row>
    <row r="19" spans="1:20" ht="10.199999999999999" customHeight="1">
      <c r="A19" s="58">
        <f t="shared" si="4"/>
        <v>1</v>
      </c>
      <c r="B19" s="58">
        <f t="shared" si="5"/>
        <v>0</v>
      </c>
      <c r="C19" s="53"/>
      <c r="D19" s="26" t="s">
        <v>104</v>
      </c>
      <c r="E19" s="31" t="s">
        <v>143</v>
      </c>
      <c r="F19" s="31" t="s">
        <v>108</v>
      </c>
      <c r="G19" s="38" t="s">
        <v>137</v>
      </c>
      <c r="H19" s="27" t="s">
        <v>5</v>
      </c>
      <c r="I19" s="28" t="s">
        <v>112</v>
      </c>
      <c r="J19" s="54">
        <f>M18+4</f>
        <v>45488</v>
      </c>
      <c r="K19" s="54"/>
      <c r="L19" s="54"/>
      <c r="M19" s="63">
        <f>J19+2</f>
        <v>45490</v>
      </c>
      <c r="N19" s="38">
        <f t="shared" si="3"/>
        <v>3</v>
      </c>
      <c r="O19" s="38"/>
      <c r="P19" s="25"/>
      <c r="T19" s="59"/>
    </row>
    <row r="20" spans="1:20" ht="10.199999999999999" customHeight="1">
      <c r="A20" s="58">
        <f t="shared" si="4"/>
        <v>1</v>
      </c>
      <c r="B20" s="58">
        <f t="shared" si="5"/>
        <v>0</v>
      </c>
      <c r="C20" s="53"/>
      <c r="D20" s="65" t="s">
        <v>105</v>
      </c>
      <c r="E20" s="66" t="s">
        <v>121</v>
      </c>
      <c r="F20" s="66" t="s">
        <v>108</v>
      </c>
      <c r="G20" s="72" t="s">
        <v>111</v>
      </c>
      <c r="H20" s="68" t="s">
        <v>5</v>
      </c>
      <c r="I20" s="69" t="s">
        <v>112</v>
      </c>
      <c r="J20" s="70">
        <v>45485</v>
      </c>
      <c r="K20" s="70"/>
      <c r="L20" s="73"/>
      <c r="M20" s="70">
        <v>45513</v>
      </c>
      <c r="N20" s="71">
        <f t="shared" si="3"/>
        <v>21</v>
      </c>
      <c r="O20" s="71"/>
      <c r="P20" s="25"/>
      <c r="Q20" s="41"/>
      <c r="T20" s="59"/>
    </row>
    <row r="21" spans="1:20" ht="10.199999999999999" customHeight="1">
      <c r="A21" s="58">
        <f t="shared" si="4"/>
        <v>1</v>
      </c>
      <c r="B21" s="58">
        <f t="shared" si="5"/>
        <v>0</v>
      </c>
      <c r="C21" s="53"/>
      <c r="D21" s="26" t="s">
        <v>105</v>
      </c>
      <c r="E21" s="31" t="s">
        <v>122</v>
      </c>
      <c r="F21" s="31" t="s">
        <v>108</v>
      </c>
      <c r="G21" s="37" t="s">
        <v>128</v>
      </c>
      <c r="H21" s="27" t="s">
        <v>5</v>
      </c>
      <c r="I21" s="28" t="s">
        <v>112</v>
      </c>
      <c r="J21" s="63">
        <f>M19+1</f>
        <v>45491</v>
      </c>
      <c r="K21" s="54"/>
      <c r="L21" s="56"/>
      <c r="M21" s="54">
        <f>J21+4</f>
        <v>45495</v>
      </c>
      <c r="N21" s="38">
        <f t="shared" si="3"/>
        <v>3</v>
      </c>
      <c r="O21" s="38"/>
      <c r="P21" s="25"/>
      <c r="Q21" s="41"/>
      <c r="T21" s="59"/>
    </row>
    <row r="22" spans="1:20" ht="10.199999999999999" customHeight="1">
      <c r="A22" s="58">
        <f t="shared" si="4"/>
        <v>1</v>
      </c>
      <c r="B22" s="58">
        <f t="shared" si="5"/>
        <v>0</v>
      </c>
      <c r="C22" s="53"/>
      <c r="D22" s="26" t="s">
        <v>105</v>
      </c>
      <c r="E22" s="31" t="s">
        <v>123</v>
      </c>
      <c r="F22" s="31" t="s">
        <v>108</v>
      </c>
      <c r="G22" s="37" t="s">
        <v>135</v>
      </c>
      <c r="H22" s="27" t="s">
        <v>5</v>
      </c>
      <c r="I22" s="28" t="s">
        <v>112</v>
      </c>
      <c r="J22" s="54">
        <f t="shared" ref="J22:J27" si="6">M21+1</f>
        <v>45496</v>
      </c>
      <c r="K22" s="54"/>
      <c r="L22" s="56"/>
      <c r="M22" s="54">
        <f>J22+6</f>
        <v>45502</v>
      </c>
      <c r="N22" s="38">
        <f t="shared" si="3"/>
        <v>5</v>
      </c>
      <c r="O22" s="38"/>
      <c r="P22" s="25"/>
      <c r="Q22" s="41"/>
      <c r="T22" s="59"/>
    </row>
    <row r="23" spans="1:20" ht="10.199999999999999" customHeight="1">
      <c r="A23" s="58">
        <f t="shared" si="4"/>
        <v>1</v>
      </c>
      <c r="B23" s="58">
        <f t="shared" si="5"/>
        <v>0</v>
      </c>
      <c r="C23" s="53"/>
      <c r="D23" s="26" t="s">
        <v>105</v>
      </c>
      <c r="E23" s="31" t="s">
        <v>124</v>
      </c>
      <c r="F23" s="31" t="s">
        <v>108</v>
      </c>
      <c r="G23" s="37" t="s">
        <v>133</v>
      </c>
      <c r="H23" s="27" t="s">
        <v>5</v>
      </c>
      <c r="I23" s="28" t="s">
        <v>112</v>
      </c>
      <c r="J23" s="54">
        <f t="shared" si="6"/>
        <v>45503</v>
      </c>
      <c r="K23" s="54"/>
      <c r="L23" s="56"/>
      <c r="M23" s="54">
        <f>J23+1</f>
        <v>45504</v>
      </c>
      <c r="N23" s="38">
        <f t="shared" si="3"/>
        <v>2</v>
      </c>
      <c r="O23" s="38"/>
      <c r="P23" s="25"/>
      <c r="Q23" s="41"/>
      <c r="T23" s="59"/>
    </row>
    <row r="24" spans="1:20" ht="10.199999999999999" customHeight="1">
      <c r="A24" s="58">
        <f t="shared" si="4"/>
        <v>1</v>
      </c>
      <c r="B24" s="58">
        <f t="shared" si="5"/>
        <v>0</v>
      </c>
      <c r="C24" s="53"/>
      <c r="D24" s="26" t="s">
        <v>105</v>
      </c>
      <c r="E24" s="31" t="s">
        <v>125</v>
      </c>
      <c r="F24" s="31" t="s">
        <v>108</v>
      </c>
      <c r="G24" s="37" t="s">
        <v>134</v>
      </c>
      <c r="H24" s="27" t="s">
        <v>5</v>
      </c>
      <c r="I24" s="28" t="s">
        <v>112</v>
      </c>
      <c r="J24" s="54">
        <f t="shared" si="6"/>
        <v>45505</v>
      </c>
      <c r="K24" s="54"/>
      <c r="L24" s="56"/>
      <c r="M24" s="54">
        <f>J24+4</f>
        <v>45509</v>
      </c>
      <c r="N24" s="38">
        <f t="shared" si="3"/>
        <v>3</v>
      </c>
      <c r="O24" s="38"/>
      <c r="P24" s="25"/>
      <c r="Q24" s="41"/>
      <c r="T24" s="59"/>
    </row>
    <row r="25" spans="1:20" ht="10.199999999999999" customHeight="1">
      <c r="A25" s="58">
        <f t="shared" si="4"/>
        <v>1</v>
      </c>
      <c r="B25" s="58">
        <f t="shared" si="5"/>
        <v>0</v>
      </c>
      <c r="C25" s="53"/>
      <c r="D25" s="26" t="s">
        <v>105</v>
      </c>
      <c r="E25" s="31" t="s">
        <v>126</v>
      </c>
      <c r="F25" s="31" t="s">
        <v>108</v>
      </c>
      <c r="G25" s="37" t="s">
        <v>136</v>
      </c>
      <c r="H25" s="27" t="s">
        <v>5</v>
      </c>
      <c r="I25" s="28" t="s">
        <v>112</v>
      </c>
      <c r="J25" s="54">
        <f t="shared" si="6"/>
        <v>45510</v>
      </c>
      <c r="K25" s="54"/>
      <c r="L25" s="56"/>
      <c r="M25" s="54">
        <f>J25+2</f>
        <v>45512</v>
      </c>
      <c r="N25" s="38">
        <f t="shared" si="3"/>
        <v>3</v>
      </c>
      <c r="O25" s="38"/>
      <c r="P25" s="25"/>
      <c r="Q25" s="41"/>
      <c r="T25" s="59"/>
    </row>
    <row r="26" spans="1:20" ht="10.199999999999999" customHeight="1">
      <c r="A26" s="58">
        <f t="shared" si="4"/>
        <v>1</v>
      </c>
      <c r="B26" s="58">
        <f t="shared" si="5"/>
        <v>0</v>
      </c>
      <c r="C26" s="53"/>
      <c r="D26" s="26" t="s">
        <v>105</v>
      </c>
      <c r="E26" s="31" t="s">
        <v>127</v>
      </c>
      <c r="F26" s="31" t="s">
        <v>108</v>
      </c>
      <c r="G26" s="38" t="s">
        <v>138</v>
      </c>
      <c r="H26" s="27" t="s">
        <v>5</v>
      </c>
      <c r="I26" s="28" t="s">
        <v>112</v>
      </c>
      <c r="J26" s="54">
        <f t="shared" si="6"/>
        <v>45513</v>
      </c>
      <c r="K26" s="54"/>
      <c r="L26" s="56"/>
      <c r="M26" s="54">
        <f>J26+4</f>
        <v>45517</v>
      </c>
      <c r="N26" s="38">
        <f t="shared" si="3"/>
        <v>3</v>
      </c>
      <c r="O26" s="38"/>
      <c r="P26" s="25"/>
      <c r="Q26" s="41"/>
      <c r="T26" s="59"/>
    </row>
    <row r="27" spans="1:20" ht="10.199999999999999" customHeight="1">
      <c r="A27" s="58">
        <f t="shared" si="4"/>
        <v>1</v>
      </c>
      <c r="B27" s="58">
        <f t="shared" si="5"/>
        <v>0</v>
      </c>
      <c r="C27" s="53"/>
      <c r="D27" s="26" t="s">
        <v>105</v>
      </c>
      <c r="E27" s="31" t="s">
        <v>141</v>
      </c>
      <c r="F27" s="31" t="s">
        <v>108</v>
      </c>
      <c r="G27" s="38" t="s">
        <v>139</v>
      </c>
      <c r="H27" s="27" t="s">
        <v>5</v>
      </c>
      <c r="I27" s="28" t="s">
        <v>112</v>
      </c>
      <c r="J27" s="54">
        <f t="shared" si="6"/>
        <v>45518</v>
      </c>
      <c r="K27" s="54"/>
      <c r="L27" s="56"/>
      <c r="M27" s="54">
        <f>J27+2</f>
        <v>45520</v>
      </c>
      <c r="N27" s="38">
        <f t="shared" si="3"/>
        <v>3</v>
      </c>
      <c r="O27" s="38"/>
      <c r="P27" s="25"/>
      <c r="Q27" s="41"/>
      <c r="T27" s="59"/>
    </row>
    <row r="28" spans="1:20" ht="10.199999999999999" customHeight="1">
      <c r="A28" s="58">
        <f t="shared" si="4"/>
        <v>1</v>
      </c>
      <c r="B28" s="58">
        <f t="shared" si="5"/>
        <v>0</v>
      </c>
      <c r="C28" s="53"/>
      <c r="D28" s="26" t="s">
        <v>105</v>
      </c>
      <c r="E28" s="31" t="s">
        <v>142</v>
      </c>
      <c r="F28" s="31" t="s">
        <v>108</v>
      </c>
      <c r="G28" s="38" t="s">
        <v>140</v>
      </c>
      <c r="H28" s="27" t="s">
        <v>5</v>
      </c>
      <c r="I28" s="28" t="s">
        <v>112</v>
      </c>
      <c r="J28" s="54">
        <f>M27+3</f>
        <v>45523</v>
      </c>
      <c r="K28" s="54"/>
      <c r="L28" s="56"/>
      <c r="M28" s="63">
        <f>J28+2</f>
        <v>45525</v>
      </c>
      <c r="N28" s="38">
        <f t="shared" si="3"/>
        <v>3</v>
      </c>
      <c r="O28" s="38"/>
      <c r="P28" s="25"/>
      <c r="Q28" s="41"/>
      <c r="T28" s="59"/>
    </row>
    <row r="29" spans="1:20" ht="10.199999999999999" customHeight="1">
      <c r="A29" s="58">
        <f t="shared" si="1"/>
        <v>1</v>
      </c>
      <c r="B29" s="58">
        <f t="shared" si="2"/>
        <v>0</v>
      </c>
      <c r="C29" s="53"/>
      <c r="D29" s="26" t="s">
        <v>106</v>
      </c>
      <c r="E29" s="31" t="s">
        <v>86</v>
      </c>
      <c r="F29" s="31" t="s">
        <v>108</v>
      </c>
      <c r="G29" s="38" t="s">
        <v>95</v>
      </c>
      <c r="H29" s="27" t="s">
        <v>5</v>
      </c>
      <c r="I29" s="28" t="s">
        <v>102</v>
      </c>
      <c r="J29" s="54">
        <f>M28+1</f>
        <v>45526</v>
      </c>
      <c r="K29" s="54"/>
      <c r="L29" s="54"/>
      <c r="M29" s="54">
        <f>J29+8</f>
        <v>45534</v>
      </c>
      <c r="N29" s="38">
        <f>IFERROR(NETWORKDAYS(J29,M29),0)</f>
        <v>7</v>
      </c>
      <c r="O29" s="38"/>
      <c r="P29" s="25"/>
      <c r="Q29" s="41"/>
      <c r="T29" s="59"/>
    </row>
    <row r="30" spans="1:20" ht="10.199999999999999" customHeight="1">
      <c r="A30" s="58">
        <f t="shared" si="1"/>
        <v>1</v>
      </c>
      <c r="B30" s="58">
        <f t="shared" si="2"/>
        <v>0</v>
      </c>
      <c r="C30" s="53"/>
      <c r="D30" s="26" t="s">
        <v>106</v>
      </c>
      <c r="E30" s="31" t="s">
        <v>113</v>
      </c>
      <c r="F30" s="31" t="s">
        <v>108</v>
      </c>
      <c r="G30" s="38" t="s">
        <v>96</v>
      </c>
      <c r="H30" s="27" t="s">
        <v>5</v>
      </c>
      <c r="I30" s="28" t="s">
        <v>102</v>
      </c>
      <c r="J30" s="54">
        <f>J29</f>
        <v>45526</v>
      </c>
      <c r="K30" s="54"/>
      <c r="L30" s="54"/>
      <c r="M30" s="54">
        <f>J30+6</f>
        <v>45532</v>
      </c>
      <c r="N30" s="38">
        <f>IFERROR(NETWORKDAYS(J30,M30),0)</f>
        <v>5</v>
      </c>
      <c r="O30" s="38"/>
      <c r="P30" s="59"/>
      <c r="T30" s="59"/>
    </row>
    <row r="31" spans="1:20">
      <c r="A31" s="58">
        <f t="shared" si="1"/>
        <v>1</v>
      </c>
      <c r="B31" s="58">
        <f t="shared" si="2"/>
        <v>0</v>
      </c>
      <c r="C31" s="53"/>
      <c r="D31" s="26" t="s">
        <v>107</v>
      </c>
      <c r="E31" s="31" t="s">
        <v>101</v>
      </c>
      <c r="F31" s="31" t="s">
        <v>109</v>
      </c>
      <c r="G31" s="38" t="s">
        <v>97</v>
      </c>
      <c r="H31" s="27" t="s">
        <v>5</v>
      </c>
      <c r="I31" s="28" t="s">
        <v>102</v>
      </c>
      <c r="J31" s="54">
        <f>M29</f>
        <v>45534</v>
      </c>
      <c r="K31" s="54"/>
      <c r="L31" s="54"/>
      <c r="M31" s="54">
        <f>J31+7</f>
        <v>45541</v>
      </c>
      <c r="N31" s="38">
        <f>IFERROR(NETWORKDAYS(J31,M31),0)</f>
        <v>6</v>
      </c>
      <c r="O31" s="38"/>
      <c r="P31" s="59"/>
      <c r="T31" s="59"/>
    </row>
    <row r="32" spans="1:20">
      <c r="A32" s="58">
        <f t="shared" si="1"/>
        <v>1</v>
      </c>
      <c r="B32" s="58">
        <f t="shared" si="2"/>
        <v>0</v>
      </c>
      <c r="C32" s="53"/>
      <c r="D32" s="26" t="s">
        <v>107</v>
      </c>
      <c r="E32" s="31" t="s">
        <v>88</v>
      </c>
      <c r="F32" s="31" t="s">
        <v>109</v>
      </c>
      <c r="G32" s="38" t="s">
        <v>98</v>
      </c>
      <c r="H32" s="27" t="s">
        <v>5</v>
      </c>
      <c r="I32" s="28" t="s">
        <v>102</v>
      </c>
      <c r="J32" s="54">
        <f>M30+1</f>
        <v>45533</v>
      </c>
      <c r="K32" s="54"/>
      <c r="L32" s="54"/>
      <c r="M32" s="54">
        <f>J32+1</f>
        <v>45534</v>
      </c>
      <c r="N32" s="38">
        <f>IFERROR(NETWORKDAYS(J32,M32),0)</f>
        <v>2</v>
      </c>
      <c r="O32" s="38"/>
      <c r="P32" s="59"/>
      <c r="T32" s="59"/>
    </row>
    <row r="33" spans="1:20">
      <c r="A33" s="57"/>
      <c r="B33" s="57"/>
      <c r="C33" s="53"/>
      <c r="O33" s="38"/>
      <c r="P33" s="59"/>
      <c r="T33" s="59"/>
    </row>
    <row r="34" spans="1:20">
      <c r="A34" s="57"/>
      <c r="B34" s="57"/>
      <c r="C34" s="53"/>
      <c r="O34" s="38"/>
      <c r="P34" s="42"/>
      <c r="T34" s="59"/>
    </row>
    <row r="35" spans="1:20">
      <c r="A35" s="57"/>
      <c r="B35" s="57"/>
      <c r="C35" s="53"/>
      <c r="O35" s="38"/>
      <c r="P35" s="42"/>
      <c r="T35" s="59"/>
    </row>
    <row r="36" spans="1:20">
      <c r="A36" s="57"/>
      <c r="B36" s="57"/>
      <c r="C36" s="53"/>
      <c r="O36" s="38"/>
      <c r="P36" s="42"/>
      <c r="T36" s="59"/>
    </row>
    <row r="37" spans="1:20">
      <c r="A37" s="57"/>
      <c r="G37" s="30"/>
      <c r="H37" s="30"/>
      <c r="K37" s="30"/>
      <c r="L37" s="30"/>
      <c r="O37" s="38"/>
      <c r="P37" s="42"/>
      <c r="T37" s="59"/>
    </row>
    <row r="38" spans="1:20">
      <c r="A38" s="57"/>
      <c r="G38" s="30"/>
      <c r="K38" s="30"/>
      <c r="L38" s="30"/>
      <c r="O38" s="38"/>
      <c r="P38" s="42"/>
      <c r="Q38" s="51" t="s">
        <v>103</v>
      </c>
      <c r="R38" s="31" t="s">
        <v>90</v>
      </c>
      <c r="T38" s="59"/>
    </row>
    <row r="39" spans="1:20">
      <c r="A39" s="57"/>
      <c r="G39" s="30"/>
      <c r="K39" s="30"/>
      <c r="L39" s="30"/>
      <c r="O39" s="38"/>
      <c r="P39" s="42"/>
      <c r="Q39" s="51" t="s">
        <v>104</v>
      </c>
      <c r="R39" s="31" t="s">
        <v>108</v>
      </c>
      <c r="T39" s="59"/>
    </row>
    <row r="40" spans="1:20">
      <c r="A40" s="57">
        <f>IF(H29="-",0,1)</f>
        <v>1</v>
      </c>
      <c r="O40" s="38"/>
      <c r="P40" s="42"/>
      <c r="Q40" s="51" t="s">
        <v>105</v>
      </c>
      <c r="R40" s="31" t="s">
        <v>108</v>
      </c>
      <c r="T40" s="59"/>
    </row>
    <row r="41" spans="1:20">
      <c r="A41" s="57">
        <f>IF(H30="-",0,1)</f>
        <v>1</v>
      </c>
      <c r="O41" s="38"/>
      <c r="P41" s="42"/>
      <c r="Q41" s="51" t="s">
        <v>106</v>
      </c>
      <c r="R41" s="31" t="s">
        <v>108</v>
      </c>
      <c r="T41" s="59"/>
    </row>
    <row r="42" spans="1:20">
      <c r="A42" s="57">
        <f>IF(H31="-",0,1)</f>
        <v>1</v>
      </c>
      <c r="O42" s="38"/>
      <c r="P42" s="42"/>
      <c r="Q42" s="51" t="s">
        <v>107</v>
      </c>
      <c r="R42" s="31" t="s">
        <v>109</v>
      </c>
      <c r="T42" s="59"/>
    </row>
    <row r="43" spans="1:20">
      <c r="A43" s="57">
        <f>IF(H32="-",0,1)</f>
        <v>1</v>
      </c>
      <c r="O43" s="38"/>
      <c r="Q43" s="51"/>
      <c r="T43" s="59"/>
    </row>
  </sheetData>
  <mergeCells count="1">
    <mergeCell ref="D1:O7"/>
  </mergeCells>
  <phoneticPr fontId="31" type="noConversion"/>
  <conditionalFormatting sqref="J10:J29 M10:M29 J29:L29 J30:M30 J31:J32 M31:M32 J32:L32">
    <cfRule type="cellIs" dxfId="19" priority="28" operator="equal">
      <formula>$M$9</formula>
    </cfRule>
    <cfRule type="cellIs" dxfId="18" priority="29" operator="lessThan">
      <formula>$M$9</formula>
    </cfRule>
    <cfRule type="cellIs" dxfId="17" priority="30" operator="greaterThan">
      <formula>$M$9</formula>
    </cfRule>
  </conditionalFormatting>
  <dataValidations count="1">
    <dataValidation type="list" allowBlank="1" showInputMessage="1" showErrorMessage="1" sqref="H10:H32" xr:uid="{D5D197FD-45E5-40EB-A2F5-55946C37AB85}">
      <formula1>$Q$7:$Q$9</formula1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M16:M17 M25:M26 J28 J3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5" operator="equal" id="{2FB6705F-DE26-438E-B5E9-98C6CD511A85}">
            <xm:f>aux!$E$3</xm:f>
            <x14:dxf>
              <font>
                <b/>
                <i val="0"/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14:cfRule type="cellIs" priority="176" operator="equal" id="{8F6A7785-9C05-4AC1-B3AB-4E43F0278987}">
            <xm:f>aux!$E$2</xm:f>
            <x14:dxf>
              <font>
                <b/>
                <i val="0"/>
                <color rgb="FFFFC000"/>
              </font>
              <fill>
                <patternFill>
                  <bgColor rgb="FFFFFF99"/>
                </patternFill>
              </fill>
            </x14:dxf>
          </x14:cfRule>
          <x14:cfRule type="cellIs" priority="177" operator="equal" id="{CCD72253-383C-4101-AE0B-2F36F184B036}">
            <xm:f>aux!$E$1</xm:f>
            <x14:dxf>
              <font>
                <b/>
                <i val="0"/>
                <color rgb="FF00B050"/>
              </font>
              <fill>
                <patternFill>
                  <bgColor theme="6" tint="0.59996337778862885"/>
                </patternFill>
              </fill>
            </x14:dxf>
          </x14:cfRule>
          <xm:sqref>H10:H32 H37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aux!$E$1:$E$3</xm:f>
          </x14:formula1>
          <xm:sqref>H37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B0BB-9507-4135-B959-50A7099FB851}">
  <dimension ref="A1:T51"/>
  <sheetViews>
    <sheetView showGridLines="0" tabSelected="1" topLeftCell="D1" zoomScale="85" zoomScaleNormal="85" workbookViewId="0">
      <pane ySplit="9" topLeftCell="A10" activePane="bottomLeft" state="frozen"/>
      <selection activeCell="C1" sqref="C1"/>
      <selection pane="bottomLeft" activeCell="M23" sqref="G23:M23"/>
    </sheetView>
  </sheetViews>
  <sheetFormatPr defaultColWidth="9.109375" defaultRowHeight="10.199999999999999"/>
  <cols>
    <col min="1" max="1" width="4.5546875" style="32" hidden="1" customWidth="1"/>
    <col min="2" max="2" width="3.5546875" style="32" hidden="1" customWidth="1"/>
    <col min="3" max="3" width="4" style="51" hidden="1" customWidth="1"/>
    <col min="4" max="4" width="6.109375" style="25" bestFit="1" customWidth="1"/>
    <col min="5" max="5" width="4.44140625" style="25" bestFit="1" customWidth="1"/>
    <col min="6" max="6" width="25" style="25" bestFit="1" customWidth="1"/>
    <col min="7" max="7" width="99.33203125" style="25" bestFit="1" customWidth="1"/>
    <col min="8" max="8" width="11.21875" style="25" bestFit="1" customWidth="1"/>
    <col min="9" max="9" width="18.77734375" style="25" bestFit="1" customWidth="1"/>
    <col min="10" max="10" width="9.109375" style="25" bestFit="1" customWidth="1"/>
    <col min="11" max="11" width="7.21875" style="25" bestFit="1" customWidth="1"/>
    <col min="12" max="12" width="7.44140625" style="25" bestFit="1" customWidth="1"/>
    <col min="13" max="13" width="9.109375" style="25" bestFit="1" customWidth="1"/>
    <col min="14" max="14" width="5.6640625" style="25" bestFit="1" customWidth="1"/>
    <col min="15" max="15" width="7.77734375" style="32" bestFit="1" customWidth="1"/>
    <col min="16" max="16" width="3.5546875" style="32" bestFit="1" customWidth="1"/>
    <col min="17" max="17" width="11.6640625" style="32" bestFit="1" customWidth="1"/>
    <col min="18" max="18" width="25" style="25" bestFit="1" customWidth="1"/>
    <col min="19" max="16384" width="9.109375" style="25"/>
  </cols>
  <sheetData>
    <row r="1" spans="1:20" ht="4.3499999999999996" customHeight="1">
      <c r="D1" s="74" t="s">
        <v>115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52"/>
      <c r="Q1" s="52"/>
    </row>
    <row r="2" spans="1:20" ht="3.15" customHeight="1"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52"/>
      <c r="Q2" s="52"/>
    </row>
    <row r="3" spans="1:20" ht="3.15" customHeight="1"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20" ht="3.15" customHeight="1"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1:20" ht="6.6" customHeight="1"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20" ht="7.2" customHeight="1"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Q6" s="51" t="s">
        <v>34</v>
      </c>
    </row>
    <row r="7" spans="1:20" s="51" customFormat="1" ht="14.4" customHeight="1">
      <c r="A7" s="32"/>
      <c r="B7" s="3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Q7" s="51" t="s">
        <v>3</v>
      </c>
    </row>
    <row r="8" spans="1:20" ht="7.5" customHeight="1"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Q8" s="51" t="s">
        <v>4</v>
      </c>
    </row>
    <row r="9" spans="1:20">
      <c r="A9" s="32" t="s">
        <v>35</v>
      </c>
      <c r="B9" s="32" t="s">
        <v>36</v>
      </c>
      <c r="D9" s="33" t="s">
        <v>0</v>
      </c>
      <c r="E9" s="33" t="s">
        <v>89</v>
      </c>
      <c r="F9" s="33" t="s">
        <v>87</v>
      </c>
      <c r="G9" s="34" t="s">
        <v>1</v>
      </c>
      <c r="H9" s="34" t="s">
        <v>2</v>
      </c>
      <c r="I9" s="35" t="s">
        <v>28</v>
      </c>
      <c r="J9" s="34" t="s">
        <v>39</v>
      </c>
      <c r="K9" s="34" t="s">
        <v>27</v>
      </c>
      <c r="L9" s="36" t="s">
        <v>33</v>
      </c>
      <c r="M9" s="34" t="s">
        <v>37</v>
      </c>
      <c r="N9" s="34" t="s">
        <v>38</v>
      </c>
      <c r="O9" s="34" t="s">
        <v>38</v>
      </c>
      <c r="P9" s="25"/>
      <c r="Q9" s="51" t="s">
        <v>5</v>
      </c>
    </row>
    <row r="10" spans="1:20">
      <c r="A10" s="58">
        <f t="shared" ref="A10:A40" si="0">IF(H10="-",0,1)</f>
        <v>1</v>
      </c>
      <c r="B10" s="58">
        <f>INDEX($P$10:$P$12,MATCH(H10,$Q$7:$Q$9,0))</f>
        <v>1</v>
      </c>
      <c r="C10" s="53"/>
      <c r="D10" s="26" t="s">
        <v>103</v>
      </c>
      <c r="E10" s="31" t="s">
        <v>99</v>
      </c>
      <c r="F10" s="31" t="s">
        <v>90</v>
      </c>
      <c r="G10" s="37" t="s">
        <v>91</v>
      </c>
      <c r="H10" s="27" t="s">
        <v>3</v>
      </c>
      <c r="I10" s="28" t="s">
        <v>170</v>
      </c>
      <c r="J10" s="54">
        <v>45464</v>
      </c>
      <c r="K10" s="55"/>
      <c r="L10" s="56"/>
      <c r="M10" s="54">
        <f>J10+10</f>
        <v>45474</v>
      </c>
      <c r="N10" s="38">
        <f>IFERROR(NETWORKDAYS(J10,M10),0)</f>
        <v>7</v>
      </c>
      <c r="O10" s="38"/>
      <c r="P10" s="25">
        <v>1</v>
      </c>
      <c r="Q10" s="25"/>
      <c r="T10" s="59"/>
    </row>
    <row r="11" spans="1:20">
      <c r="A11" s="58">
        <f t="shared" si="0"/>
        <v>1</v>
      </c>
      <c r="B11" s="58">
        <f t="shared" ref="B11:B40" si="1">INDEX($P$10:$P$12,MATCH(H11,$Q$7:$Q$9,0))</f>
        <v>1</v>
      </c>
      <c r="C11" s="53"/>
      <c r="D11" s="26" t="s">
        <v>103</v>
      </c>
      <c r="E11" s="31" t="s">
        <v>84</v>
      </c>
      <c r="F11" s="31" t="s">
        <v>90</v>
      </c>
      <c r="G11" s="37" t="s">
        <v>92</v>
      </c>
      <c r="H11" s="27" t="s">
        <v>3</v>
      </c>
      <c r="I11" s="28" t="s">
        <v>170</v>
      </c>
      <c r="J11" s="54">
        <v>45469</v>
      </c>
      <c r="K11" s="56"/>
      <c r="L11" s="56"/>
      <c r="M11" s="54">
        <f>J11+9</f>
        <v>45478</v>
      </c>
      <c r="N11" s="38">
        <f t="shared" ref="N11:N36" si="2">IFERROR(NETWORKDAYS(J11,M11),0)</f>
        <v>8</v>
      </c>
      <c r="O11" s="38"/>
      <c r="P11" s="25">
        <v>0.5</v>
      </c>
      <c r="Q11" s="32">
        <f>COUNTIF(Q7,H:H)</f>
        <v>1</v>
      </c>
      <c r="T11" s="59"/>
    </row>
    <row r="12" spans="1:20">
      <c r="A12" s="58">
        <f t="shared" si="0"/>
        <v>1</v>
      </c>
      <c r="B12" s="58">
        <f t="shared" si="1"/>
        <v>0</v>
      </c>
      <c r="C12" s="53"/>
      <c r="D12" s="26" t="s">
        <v>103</v>
      </c>
      <c r="E12" s="31" t="s">
        <v>85</v>
      </c>
      <c r="F12" s="31" t="s">
        <v>90</v>
      </c>
      <c r="G12" s="37" t="s">
        <v>93</v>
      </c>
      <c r="H12" s="27" t="s">
        <v>5</v>
      </c>
      <c r="I12" s="28" t="s">
        <v>170</v>
      </c>
      <c r="J12" s="54">
        <v>45476</v>
      </c>
      <c r="K12" s="56"/>
      <c r="L12" s="56"/>
      <c r="M12" s="54">
        <f>J12+7</f>
        <v>45483</v>
      </c>
      <c r="N12" s="38">
        <f t="shared" si="2"/>
        <v>6</v>
      </c>
      <c r="O12" s="38"/>
      <c r="P12" s="25">
        <v>0</v>
      </c>
      <c r="T12" s="59"/>
    </row>
    <row r="13" spans="1:20">
      <c r="A13" s="58">
        <f t="shared" si="0"/>
        <v>1</v>
      </c>
      <c r="B13" s="58">
        <f t="shared" si="1"/>
        <v>1</v>
      </c>
      <c r="C13" s="53"/>
      <c r="D13" s="26" t="s">
        <v>103</v>
      </c>
      <c r="E13" s="31" t="s">
        <v>162</v>
      </c>
      <c r="F13" s="31" t="s">
        <v>90</v>
      </c>
      <c r="G13" s="37" t="s">
        <v>154</v>
      </c>
      <c r="H13" s="27" t="s">
        <v>3</v>
      </c>
      <c r="I13" s="28" t="s">
        <v>171</v>
      </c>
      <c r="J13" s="54">
        <v>45467</v>
      </c>
      <c r="K13" s="56"/>
      <c r="L13" s="56"/>
      <c r="M13" s="54">
        <v>45477</v>
      </c>
      <c r="N13" s="38">
        <f t="shared" si="2"/>
        <v>9</v>
      </c>
      <c r="O13" s="38"/>
      <c r="P13" s="25"/>
      <c r="T13" s="59"/>
    </row>
    <row r="14" spans="1:20">
      <c r="A14" s="58">
        <f t="shared" si="0"/>
        <v>1</v>
      </c>
      <c r="B14" s="58">
        <f t="shared" si="1"/>
        <v>1</v>
      </c>
      <c r="C14" s="53"/>
      <c r="D14" s="26" t="s">
        <v>103</v>
      </c>
      <c r="E14" s="31" t="s">
        <v>163</v>
      </c>
      <c r="F14" s="31" t="s">
        <v>90</v>
      </c>
      <c r="G14" s="37" t="s">
        <v>155</v>
      </c>
      <c r="H14" s="27" t="s">
        <v>3</v>
      </c>
      <c r="I14" s="28" t="s">
        <v>171</v>
      </c>
      <c r="J14" s="54">
        <v>45468</v>
      </c>
      <c r="K14" s="56"/>
      <c r="L14" s="56"/>
      <c r="M14" s="54">
        <v>45488</v>
      </c>
      <c r="N14" s="38">
        <f t="shared" si="2"/>
        <v>15</v>
      </c>
      <c r="O14" s="38"/>
      <c r="P14" s="25"/>
      <c r="T14" s="59"/>
    </row>
    <row r="15" spans="1:20">
      <c r="A15" s="58">
        <f t="shared" si="0"/>
        <v>1</v>
      </c>
      <c r="B15" s="58">
        <f t="shared" si="1"/>
        <v>0.5</v>
      </c>
      <c r="C15" s="53"/>
      <c r="D15" s="26" t="s">
        <v>103</v>
      </c>
      <c r="E15" s="31" t="s">
        <v>164</v>
      </c>
      <c r="F15" s="31" t="s">
        <v>90</v>
      </c>
      <c r="G15" s="37" t="s">
        <v>156</v>
      </c>
      <c r="H15" s="27" t="s">
        <v>4</v>
      </c>
      <c r="I15" s="28" t="s">
        <v>171</v>
      </c>
      <c r="J15" s="54">
        <v>45468</v>
      </c>
      <c r="K15" s="56"/>
      <c r="L15" s="56"/>
      <c r="M15" s="54">
        <v>45492</v>
      </c>
      <c r="N15" s="38">
        <f t="shared" si="2"/>
        <v>19</v>
      </c>
      <c r="O15" s="38"/>
      <c r="P15" s="25"/>
      <c r="T15" s="59"/>
    </row>
    <row r="16" spans="1:20">
      <c r="A16" s="58">
        <f t="shared" si="0"/>
        <v>1</v>
      </c>
      <c r="B16" s="58">
        <f t="shared" si="1"/>
        <v>0.5</v>
      </c>
      <c r="C16" s="53"/>
      <c r="D16" s="26" t="s">
        <v>103</v>
      </c>
      <c r="E16" s="31" t="s">
        <v>165</v>
      </c>
      <c r="F16" s="31" t="s">
        <v>90</v>
      </c>
      <c r="G16" s="37" t="s">
        <v>157</v>
      </c>
      <c r="H16" s="27" t="s">
        <v>4</v>
      </c>
      <c r="I16" s="28" t="s">
        <v>171</v>
      </c>
      <c r="J16" s="54">
        <v>45467</v>
      </c>
      <c r="K16" s="56"/>
      <c r="L16" s="56"/>
      <c r="M16" s="54">
        <v>45495</v>
      </c>
      <c r="N16" s="38">
        <f t="shared" si="2"/>
        <v>21</v>
      </c>
      <c r="O16" s="38"/>
      <c r="P16" s="25"/>
      <c r="T16" s="59"/>
    </row>
    <row r="17" spans="1:20">
      <c r="A17" s="58">
        <f t="shared" si="0"/>
        <v>1</v>
      </c>
      <c r="B17" s="58">
        <f t="shared" si="1"/>
        <v>1</v>
      </c>
      <c r="C17" s="53"/>
      <c r="D17" s="26" t="s">
        <v>103</v>
      </c>
      <c r="E17" s="31" t="s">
        <v>166</v>
      </c>
      <c r="F17" s="31" t="s">
        <v>90</v>
      </c>
      <c r="G17" s="37" t="s">
        <v>158</v>
      </c>
      <c r="H17" s="27" t="s">
        <v>3</v>
      </c>
      <c r="I17" s="28" t="s">
        <v>171</v>
      </c>
      <c r="J17" s="54">
        <v>45469</v>
      </c>
      <c r="K17" s="56"/>
      <c r="L17" s="56"/>
      <c r="M17" s="54">
        <v>45502</v>
      </c>
      <c r="N17" s="38">
        <f t="shared" si="2"/>
        <v>24</v>
      </c>
      <c r="O17" s="38"/>
      <c r="P17" s="25"/>
      <c r="T17" s="59"/>
    </row>
    <row r="18" spans="1:20">
      <c r="A18" s="58">
        <f t="shared" si="0"/>
        <v>1</v>
      </c>
      <c r="B18" s="58">
        <f t="shared" si="1"/>
        <v>1</v>
      </c>
      <c r="C18" s="53"/>
      <c r="D18" s="26" t="s">
        <v>103</v>
      </c>
      <c r="E18" s="31" t="s">
        <v>167</v>
      </c>
      <c r="F18" s="31" t="s">
        <v>90</v>
      </c>
      <c r="G18" s="37" t="s">
        <v>159</v>
      </c>
      <c r="H18" s="27" t="s">
        <v>3</v>
      </c>
      <c r="I18" s="28" t="s">
        <v>171</v>
      </c>
      <c r="J18" s="54">
        <v>45469</v>
      </c>
      <c r="K18" s="56"/>
      <c r="L18" s="56"/>
      <c r="M18" s="54">
        <v>45485</v>
      </c>
      <c r="N18" s="38">
        <f t="shared" si="2"/>
        <v>13</v>
      </c>
      <c r="O18" s="38"/>
      <c r="P18" s="25"/>
      <c r="T18" s="59"/>
    </row>
    <row r="19" spans="1:20">
      <c r="A19" s="58">
        <f t="shared" si="0"/>
        <v>1</v>
      </c>
      <c r="B19" s="58">
        <f t="shared" si="1"/>
        <v>0</v>
      </c>
      <c r="C19" s="53"/>
      <c r="D19" s="26" t="s">
        <v>103</v>
      </c>
      <c r="E19" s="31" t="s">
        <v>168</v>
      </c>
      <c r="F19" s="31" t="s">
        <v>90</v>
      </c>
      <c r="G19" s="37" t="s">
        <v>160</v>
      </c>
      <c r="H19" s="27" t="s">
        <v>5</v>
      </c>
      <c r="I19" s="28" t="s">
        <v>171</v>
      </c>
      <c r="J19" s="54">
        <v>45495</v>
      </c>
      <c r="K19" s="56"/>
      <c r="L19" s="56"/>
      <c r="M19" s="54">
        <v>45503</v>
      </c>
      <c r="N19" s="38">
        <f t="shared" si="2"/>
        <v>7</v>
      </c>
      <c r="O19" s="38"/>
      <c r="P19" s="25"/>
      <c r="T19" s="59"/>
    </row>
    <row r="20" spans="1:20">
      <c r="A20" s="58">
        <f t="shared" si="0"/>
        <v>1</v>
      </c>
      <c r="B20" s="58">
        <f t="shared" si="1"/>
        <v>0.5</v>
      </c>
      <c r="C20" s="53"/>
      <c r="D20" s="26" t="s">
        <v>103</v>
      </c>
      <c r="E20" s="31" t="s">
        <v>169</v>
      </c>
      <c r="F20" s="31" t="s">
        <v>90</v>
      </c>
      <c r="G20" s="37" t="s">
        <v>161</v>
      </c>
      <c r="H20" s="27" t="s">
        <v>4</v>
      </c>
      <c r="I20" s="28" t="s">
        <v>171</v>
      </c>
      <c r="J20" s="54">
        <v>45467</v>
      </c>
      <c r="K20" s="56"/>
      <c r="L20" s="56"/>
      <c r="M20" s="54">
        <v>45503</v>
      </c>
      <c r="N20" s="38">
        <f t="shared" si="2"/>
        <v>27</v>
      </c>
      <c r="O20" s="38"/>
      <c r="P20" s="25"/>
      <c r="T20" s="59"/>
    </row>
    <row r="21" spans="1:20" ht="10.199999999999999" customHeight="1">
      <c r="A21" s="58">
        <f t="shared" si="0"/>
        <v>1</v>
      </c>
      <c r="B21" s="58">
        <f t="shared" si="1"/>
        <v>0</v>
      </c>
      <c r="C21" s="53"/>
      <c r="D21" s="26" t="s">
        <v>104</v>
      </c>
      <c r="E21" s="31" t="s">
        <v>100</v>
      </c>
      <c r="F21" s="31" t="s">
        <v>108</v>
      </c>
      <c r="G21" s="37" t="s">
        <v>94</v>
      </c>
      <c r="H21" s="27" t="s">
        <v>5</v>
      </c>
      <c r="I21" s="28" t="s">
        <v>172</v>
      </c>
      <c r="J21" s="54">
        <v>45471</v>
      </c>
      <c r="K21" s="56"/>
      <c r="L21" s="56"/>
      <c r="M21" s="54">
        <v>45527</v>
      </c>
      <c r="N21" s="38">
        <f t="shared" si="2"/>
        <v>41</v>
      </c>
      <c r="O21" s="54"/>
      <c r="P21" s="25"/>
      <c r="Q21" s="32">
        <f>COUNTIF(Q8,H:H)</f>
        <v>0</v>
      </c>
      <c r="T21" s="59"/>
    </row>
    <row r="22" spans="1:20" ht="10.8" customHeight="1">
      <c r="A22" s="58">
        <f t="shared" si="0"/>
        <v>1</v>
      </c>
      <c r="B22" s="58">
        <f t="shared" si="1"/>
        <v>0</v>
      </c>
      <c r="C22" s="53"/>
      <c r="D22" s="65" t="s">
        <v>104</v>
      </c>
      <c r="E22" s="66" t="s">
        <v>116</v>
      </c>
      <c r="F22" s="66" t="s">
        <v>108</v>
      </c>
      <c r="G22" s="67" t="s">
        <v>110</v>
      </c>
      <c r="H22" s="68" t="s">
        <v>5</v>
      </c>
      <c r="I22" s="69" t="s">
        <v>172</v>
      </c>
      <c r="J22" s="70">
        <v>45463</v>
      </c>
      <c r="K22" s="70"/>
      <c r="L22" s="70"/>
      <c r="M22" s="70">
        <f>M27</f>
        <v>45504</v>
      </c>
      <c r="N22" s="71">
        <f t="shared" si="2"/>
        <v>30</v>
      </c>
      <c r="O22" s="71"/>
      <c r="P22" s="25"/>
      <c r="Q22" s="32">
        <f>COUNTIF(Q9,H:H)</f>
        <v>1</v>
      </c>
      <c r="T22" s="59"/>
    </row>
    <row r="23" spans="1:20" ht="10.199999999999999" customHeight="1">
      <c r="A23" s="58">
        <f t="shared" si="0"/>
        <v>1</v>
      </c>
      <c r="B23" s="58">
        <f t="shared" si="1"/>
        <v>0</v>
      </c>
      <c r="C23" s="53"/>
      <c r="D23" s="26" t="s">
        <v>104</v>
      </c>
      <c r="E23" s="31" t="s">
        <v>117</v>
      </c>
      <c r="F23" s="31" t="s">
        <v>108</v>
      </c>
      <c r="G23" s="38" t="s">
        <v>129</v>
      </c>
      <c r="H23" s="27" t="s">
        <v>5</v>
      </c>
      <c r="I23" s="28" t="s">
        <v>171</v>
      </c>
      <c r="J23" s="63">
        <f>M12+1</f>
        <v>45484</v>
      </c>
      <c r="K23" s="54"/>
      <c r="L23" s="54"/>
      <c r="M23" s="54">
        <f>J23+4</f>
        <v>45488</v>
      </c>
      <c r="N23" s="38">
        <f t="shared" si="2"/>
        <v>3</v>
      </c>
      <c r="O23" s="38"/>
      <c r="P23" s="25"/>
      <c r="T23" s="59"/>
    </row>
    <row r="24" spans="1:20" ht="10.199999999999999" customHeight="1">
      <c r="A24" s="58">
        <f t="shared" si="0"/>
        <v>1</v>
      </c>
      <c r="B24" s="58">
        <f t="shared" si="1"/>
        <v>0</v>
      </c>
      <c r="C24" s="53"/>
      <c r="D24" s="26" t="s">
        <v>104</v>
      </c>
      <c r="E24" s="31" t="s">
        <v>118</v>
      </c>
      <c r="F24" s="31" t="s">
        <v>108</v>
      </c>
      <c r="G24" s="38" t="s">
        <v>130</v>
      </c>
      <c r="H24" s="27" t="s">
        <v>5</v>
      </c>
      <c r="I24" s="28" t="s">
        <v>171</v>
      </c>
      <c r="J24" s="54">
        <f>M23+1</f>
        <v>45489</v>
      </c>
      <c r="K24" s="54"/>
      <c r="L24" s="54"/>
      <c r="M24" s="54">
        <f>J24+3</f>
        <v>45492</v>
      </c>
      <c r="N24" s="38">
        <f t="shared" si="2"/>
        <v>4</v>
      </c>
      <c r="O24" s="38"/>
      <c r="P24" s="25"/>
      <c r="T24" s="59"/>
    </row>
    <row r="25" spans="1:20" ht="10.199999999999999" customHeight="1">
      <c r="A25" s="58">
        <f t="shared" si="0"/>
        <v>1</v>
      </c>
      <c r="B25" s="58">
        <f t="shared" si="1"/>
        <v>0</v>
      </c>
      <c r="C25" s="53"/>
      <c r="D25" s="26" t="s">
        <v>104</v>
      </c>
      <c r="E25" s="31" t="s">
        <v>119</v>
      </c>
      <c r="F25" s="31" t="s">
        <v>108</v>
      </c>
      <c r="G25" s="38" t="s">
        <v>131</v>
      </c>
      <c r="H25" s="27" t="s">
        <v>5</v>
      </c>
      <c r="I25" s="28" t="s">
        <v>171</v>
      </c>
      <c r="J25" s="54">
        <f>M24+3</f>
        <v>45495</v>
      </c>
      <c r="K25" s="54"/>
      <c r="L25" s="54"/>
      <c r="M25" s="54">
        <f>J25+2</f>
        <v>45497</v>
      </c>
      <c r="N25" s="38">
        <f t="shared" si="2"/>
        <v>3</v>
      </c>
      <c r="O25" s="38"/>
      <c r="P25" s="25"/>
      <c r="T25" s="59"/>
    </row>
    <row r="26" spans="1:20" ht="10.199999999999999" customHeight="1">
      <c r="A26" s="58">
        <f t="shared" si="0"/>
        <v>1</v>
      </c>
      <c r="B26" s="58">
        <f t="shared" si="1"/>
        <v>0</v>
      </c>
      <c r="C26" s="53"/>
      <c r="D26" s="26" t="s">
        <v>104</v>
      </c>
      <c r="E26" s="31" t="s">
        <v>120</v>
      </c>
      <c r="F26" s="31" t="s">
        <v>108</v>
      </c>
      <c r="G26" s="38" t="s">
        <v>132</v>
      </c>
      <c r="H26" s="27" t="s">
        <v>5</v>
      </c>
      <c r="I26" s="28" t="s">
        <v>171</v>
      </c>
      <c r="J26" s="54">
        <f>M25+1</f>
        <v>45498</v>
      </c>
      <c r="K26" s="54"/>
      <c r="L26" s="54"/>
      <c r="M26" s="54">
        <f>J26+4</f>
        <v>45502</v>
      </c>
      <c r="N26" s="38">
        <f t="shared" si="2"/>
        <v>3</v>
      </c>
      <c r="O26" s="38"/>
      <c r="P26" s="25"/>
      <c r="T26" s="59"/>
    </row>
    <row r="27" spans="1:20" ht="10.199999999999999" customHeight="1">
      <c r="A27" s="58">
        <f t="shared" si="0"/>
        <v>1</v>
      </c>
      <c r="B27" s="58">
        <f t="shared" si="1"/>
        <v>0</v>
      </c>
      <c r="C27" s="53"/>
      <c r="D27" s="26" t="s">
        <v>104</v>
      </c>
      <c r="E27" s="31" t="s">
        <v>143</v>
      </c>
      <c r="F27" s="31" t="s">
        <v>108</v>
      </c>
      <c r="G27" s="38" t="s">
        <v>137</v>
      </c>
      <c r="H27" s="27" t="s">
        <v>5</v>
      </c>
      <c r="I27" s="28" t="s">
        <v>171</v>
      </c>
      <c r="J27" s="54">
        <f>M26+1</f>
        <v>45503</v>
      </c>
      <c r="K27" s="54"/>
      <c r="L27" s="54"/>
      <c r="M27" s="63">
        <f>J27+1</f>
        <v>45504</v>
      </c>
      <c r="N27" s="38">
        <f t="shared" si="2"/>
        <v>2</v>
      </c>
      <c r="O27" s="38"/>
      <c r="P27" s="25"/>
      <c r="T27" s="59"/>
    </row>
    <row r="28" spans="1:20" ht="10.199999999999999" customHeight="1">
      <c r="A28" s="58">
        <f t="shared" si="0"/>
        <v>1</v>
      </c>
      <c r="B28" s="58">
        <f t="shared" si="1"/>
        <v>0</v>
      </c>
      <c r="C28" s="53"/>
      <c r="D28" s="65" t="s">
        <v>105</v>
      </c>
      <c r="E28" s="66" t="s">
        <v>121</v>
      </c>
      <c r="F28" s="66" t="s">
        <v>108</v>
      </c>
      <c r="G28" s="72" t="s">
        <v>111</v>
      </c>
      <c r="H28" s="68" t="s">
        <v>5</v>
      </c>
      <c r="I28" s="69" t="s">
        <v>172</v>
      </c>
      <c r="J28" s="70">
        <f>M27+3</f>
        <v>45507</v>
      </c>
      <c r="K28" s="70"/>
      <c r="L28" s="73"/>
      <c r="M28" s="70">
        <f>M36</f>
        <v>45534</v>
      </c>
      <c r="N28" s="71">
        <f t="shared" si="2"/>
        <v>20</v>
      </c>
      <c r="O28" s="71"/>
      <c r="P28" s="25"/>
      <c r="Q28" s="41"/>
      <c r="T28" s="59"/>
    </row>
    <row r="29" spans="1:20" ht="10.199999999999999" customHeight="1">
      <c r="A29" s="58">
        <f t="shared" si="0"/>
        <v>1</v>
      </c>
      <c r="B29" s="58">
        <f t="shared" si="1"/>
        <v>0</v>
      </c>
      <c r="C29" s="53"/>
      <c r="D29" s="26" t="s">
        <v>105</v>
      </c>
      <c r="E29" s="31" t="s">
        <v>122</v>
      </c>
      <c r="F29" s="31" t="s">
        <v>108</v>
      </c>
      <c r="G29" s="37" t="s">
        <v>128</v>
      </c>
      <c r="H29" s="27" t="s">
        <v>5</v>
      </c>
      <c r="I29" s="28" t="s">
        <v>171</v>
      </c>
      <c r="J29" s="63">
        <f>M27+1</f>
        <v>45505</v>
      </c>
      <c r="K29" s="54"/>
      <c r="L29" s="56"/>
      <c r="M29" s="54">
        <f>J29+1</f>
        <v>45506</v>
      </c>
      <c r="N29" s="38">
        <f t="shared" si="2"/>
        <v>2</v>
      </c>
      <c r="O29" s="38"/>
      <c r="P29" s="25"/>
      <c r="Q29" s="41"/>
      <c r="T29" s="59"/>
    </row>
    <row r="30" spans="1:20" ht="10.199999999999999" customHeight="1">
      <c r="A30" s="58">
        <f t="shared" si="0"/>
        <v>1</v>
      </c>
      <c r="B30" s="58">
        <f t="shared" si="1"/>
        <v>0</v>
      </c>
      <c r="C30" s="53"/>
      <c r="D30" s="26" t="s">
        <v>105</v>
      </c>
      <c r="E30" s="31" t="s">
        <v>123</v>
      </c>
      <c r="F30" s="31" t="s">
        <v>108</v>
      </c>
      <c r="G30" s="37" t="s">
        <v>135</v>
      </c>
      <c r="H30" s="27" t="s">
        <v>5</v>
      </c>
      <c r="I30" s="28" t="s">
        <v>171</v>
      </c>
      <c r="J30" s="54">
        <f>M29+3</f>
        <v>45509</v>
      </c>
      <c r="K30" s="54"/>
      <c r="L30" s="56"/>
      <c r="M30" s="54">
        <f>J30+4</f>
        <v>45513</v>
      </c>
      <c r="N30" s="38">
        <f t="shared" si="2"/>
        <v>5</v>
      </c>
      <c r="O30" s="38"/>
      <c r="P30" s="25"/>
      <c r="Q30" s="41"/>
      <c r="T30" s="59"/>
    </row>
    <row r="31" spans="1:20" ht="10.199999999999999" customHeight="1">
      <c r="A31" s="58">
        <f t="shared" si="0"/>
        <v>1</v>
      </c>
      <c r="B31" s="58">
        <f t="shared" si="1"/>
        <v>0</v>
      </c>
      <c r="C31" s="53"/>
      <c r="D31" s="26" t="s">
        <v>105</v>
      </c>
      <c r="E31" s="31" t="s">
        <v>124</v>
      </c>
      <c r="F31" s="31" t="s">
        <v>108</v>
      </c>
      <c r="G31" s="37" t="s">
        <v>133</v>
      </c>
      <c r="H31" s="27" t="s">
        <v>5</v>
      </c>
      <c r="I31" s="28" t="s">
        <v>171</v>
      </c>
      <c r="J31" s="54">
        <f>M30+3</f>
        <v>45516</v>
      </c>
      <c r="K31" s="54"/>
      <c r="L31" s="56"/>
      <c r="M31" s="54">
        <f>J31+1</f>
        <v>45517</v>
      </c>
      <c r="N31" s="38">
        <f t="shared" si="2"/>
        <v>2</v>
      </c>
      <c r="O31" s="38"/>
      <c r="P31" s="25"/>
      <c r="Q31" s="41"/>
      <c r="T31" s="59"/>
    </row>
    <row r="32" spans="1:20" ht="10.199999999999999" customHeight="1">
      <c r="A32" s="58">
        <f t="shared" si="0"/>
        <v>1</v>
      </c>
      <c r="B32" s="58">
        <f t="shared" si="1"/>
        <v>0</v>
      </c>
      <c r="C32" s="53"/>
      <c r="D32" s="26" t="s">
        <v>105</v>
      </c>
      <c r="E32" s="31" t="s">
        <v>125</v>
      </c>
      <c r="F32" s="31" t="s">
        <v>108</v>
      </c>
      <c r="G32" s="37" t="s">
        <v>134</v>
      </c>
      <c r="H32" s="27" t="s">
        <v>5</v>
      </c>
      <c r="I32" s="28" t="s">
        <v>171</v>
      </c>
      <c r="J32" s="54">
        <f>M31+1</f>
        <v>45518</v>
      </c>
      <c r="K32" s="54"/>
      <c r="L32" s="56"/>
      <c r="M32" s="54">
        <f>J32+2</f>
        <v>45520</v>
      </c>
      <c r="N32" s="38">
        <f t="shared" si="2"/>
        <v>3</v>
      </c>
      <c r="O32" s="38"/>
      <c r="P32" s="25"/>
      <c r="Q32" s="41"/>
      <c r="T32" s="59"/>
    </row>
    <row r="33" spans="1:20" ht="10.199999999999999" customHeight="1">
      <c r="A33" s="58">
        <f t="shared" si="0"/>
        <v>1</v>
      </c>
      <c r="B33" s="58">
        <f t="shared" si="1"/>
        <v>0</v>
      </c>
      <c r="C33" s="53"/>
      <c r="D33" s="26" t="s">
        <v>105</v>
      </c>
      <c r="E33" s="31" t="s">
        <v>126</v>
      </c>
      <c r="F33" s="31" t="s">
        <v>108</v>
      </c>
      <c r="G33" s="37" t="s">
        <v>136</v>
      </c>
      <c r="H33" s="27" t="s">
        <v>5</v>
      </c>
      <c r="I33" s="28" t="s">
        <v>171</v>
      </c>
      <c r="J33" s="54">
        <f>M32+3</f>
        <v>45523</v>
      </c>
      <c r="K33" s="54"/>
      <c r="L33" s="56"/>
      <c r="M33" s="54">
        <f>J33+1</f>
        <v>45524</v>
      </c>
      <c r="N33" s="38">
        <f t="shared" si="2"/>
        <v>2</v>
      </c>
      <c r="O33" s="38"/>
      <c r="P33" s="25"/>
      <c r="Q33" s="41"/>
      <c r="T33" s="59"/>
    </row>
    <row r="34" spans="1:20" ht="10.199999999999999" customHeight="1">
      <c r="A34" s="58">
        <f t="shared" si="0"/>
        <v>1</v>
      </c>
      <c r="B34" s="58">
        <f t="shared" si="1"/>
        <v>0</v>
      </c>
      <c r="C34" s="53"/>
      <c r="D34" s="26" t="s">
        <v>105</v>
      </c>
      <c r="E34" s="31" t="s">
        <v>127</v>
      </c>
      <c r="F34" s="31" t="s">
        <v>108</v>
      </c>
      <c r="G34" s="38" t="s">
        <v>138</v>
      </c>
      <c r="H34" s="27" t="s">
        <v>5</v>
      </c>
      <c r="I34" s="28" t="s">
        <v>171</v>
      </c>
      <c r="J34" s="54">
        <f>M33+1</f>
        <v>45525</v>
      </c>
      <c r="K34" s="54"/>
      <c r="L34" s="56"/>
      <c r="M34" s="54">
        <f>J34+2</f>
        <v>45527</v>
      </c>
      <c r="N34" s="38">
        <f t="shared" si="2"/>
        <v>3</v>
      </c>
      <c r="O34" s="38"/>
      <c r="P34" s="25"/>
      <c r="Q34" s="41"/>
      <c r="T34" s="59"/>
    </row>
    <row r="35" spans="1:20" ht="10.199999999999999" customHeight="1">
      <c r="A35" s="58">
        <f t="shared" si="0"/>
        <v>1</v>
      </c>
      <c r="B35" s="58">
        <f t="shared" si="1"/>
        <v>0</v>
      </c>
      <c r="C35" s="53"/>
      <c r="D35" s="26" t="s">
        <v>105</v>
      </c>
      <c r="E35" s="31" t="s">
        <v>141</v>
      </c>
      <c r="F35" s="31" t="s">
        <v>108</v>
      </c>
      <c r="G35" s="38" t="s">
        <v>139</v>
      </c>
      <c r="H35" s="27" t="s">
        <v>5</v>
      </c>
      <c r="I35" s="28" t="s">
        <v>171</v>
      </c>
      <c r="J35" s="54">
        <f>M34+3</f>
        <v>45530</v>
      </c>
      <c r="K35" s="54"/>
      <c r="L35" s="56"/>
      <c r="M35" s="54">
        <f>J35+2</f>
        <v>45532</v>
      </c>
      <c r="N35" s="38">
        <f t="shared" si="2"/>
        <v>3</v>
      </c>
      <c r="O35" s="38"/>
      <c r="P35" s="25"/>
      <c r="Q35" s="41"/>
      <c r="T35" s="59"/>
    </row>
    <row r="36" spans="1:20" ht="10.199999999999999" customHeight="1">
      <c r="A36" s="58">
        <f t="shared" si="0"/>
        <v>1</v>
      </c>
      <c r="B36" s="58">
        <f t="shared" si="1"/>
        <v>0</v>
      </c>
      <c r="C36" s="53"/>
      <c r="D36" s="26" t="s">
        <v>105</v>
      </c>
      <c r="E36" s="31" t="s">
        <v>142</v>
      </c>
      <c r="F36" s="31" t="s">
        <v>108</v>
      </c>
      <c r="G36" s="38" t="s">
        <v>140</v>
      </c>
      <c r="H36" s="27" t="s">
        <v>5</v>
      </c>
      <c r="I36" s="28" t="s">
        <v>171</v>
      </c>
      <c r="J36" s="54">
        <f>M35+1</f>
        <v>45533</v>
      </c>
      <c r="K36" s="54"/>
      <c r="L36" s="56"/>
      <c r="M36" s="63">
        <f>J36+1</f>
        <v>45534</v>
      </c>
      <c r="N36" s="38">
        <f t="shared" si="2"/>
        <v>2</v>
      </c>
      <c r="O36" s="38"/>
      <c r="P36" s="25"/>
      <c r="Q36" s="41"/>
      <c r="T36" s="59"/>
    </row>
    <row r="37" spans="1:20" ht="10.199999999999999" customHeight="1">
      <c r="A37" s="58">
        <f t="shared" si="0"/>
        <v>1</v>
      </c>
      <c r="B37" s="58">
        <f t="shared" si="1"/>
        <v>0</v>
      </c>
      <c r="C37" s="53"/>
      <c r="D37" s="26" t="s">
        <v>106</v>
      </c>
      <c r="E37" s="31" t="s">
        <v>86</v>
      </c>
      <c r="F37" s="31" t="s">
        <v>108</v>
      </c>
      <c r="G37" s="38" t="s">
        <v>95</v>
      </c>
      <c r="H37" s="27" t="s">
        <v>5</v>
      </c>
      <c r="I37" s="28" t="s">
        <v>172</v>
      </c>
      <c r="J37" s="54">
        <f>M36</f>
        <v>45534</v>
      </c>
      <c r="K37" s="54"/>
      <c r="L37" s="54"/>
      <c r="M37" s="54">
        <f>J37+10</f>
        <v>45544</v>
      </c>
      <c r="N37" s="38">
        <f>IFERROR(NETWORKDAYS(J37,M37),0)</f>
        <v>7</v>
      </c>
      <c r="O37" s="38"/>
      <c r="P37" s="25"/>
      <c r="Q37" s="41"/>
      <c r="T37" s="59"/>
    </row>
    <row r="38" spans="1:20" ht="10.199999999999999" customHeight="1">
      <c r="A38" s="58">
        <f t="shared" si="0"/>
        <v>1</v>
      </c>
      <c r="B38" s="58">
        <f t="shared" si="1"/>
        <v>0</v>
      </c>
      <c r="C38" s="53"/>
      <c r="D38" s="26" t="s">
        <v>106</v>
      </c>
      <c r="E38" s="31" t="s">
        <v>113</v>
      </c>
      <c r="F38" s="31" t="s">
        <v>108</v>
      </c>
      <c r="G38" s="38" t="s">
        <v>96</v>
      </c>
      <c r="H38" s="27" t="s">
        <v>5</v>
      </c>
      <c r="I38" s="28" t="s">
        <v>172</v>
      </c>
      <c r="J38" s="54">
        <f>J37</f>
        <v>45534</v>
      </c>
      <c r="K38" s="54"/>
      <c r="L38" s="54"/>
      <c r="M38" s="54">
        <f>J38+5</f>
        <v>45539</v>
      </c>
      <c r="N38" s="38">
        <f>IFERROR(NETWORKDAYS(J38,M38),0)</f>
        <v>4</v>
      </c>
      <c r="O38" s="38"/>
      <c r="P38" s="59"/>
      <c r="T38" s="59"/>
    </row>
    <row r="39" spans="1:20">
      <c r="A39" s="58">
        <f t="shared" si="0"/>
        <v>1</v>
      </c>
      <c r="B39" s="58">
        <f t="shared" si="1"/>
        <v>0</v>
      </c>
      <c r="C39" s="53"/>
      <c r="D39" s="26" t="s">
        <v>107</v>
      </c>
      <c r="E39" s="31" t="s">
        <v>101</v>
      </c>
      <c r="F39" s="31" t="s">
        <v>109</v>
      </c>
      <c r="G39" s="38" t="s">
        <v>97</v>
      </c>
      <c r="H39" s="27" t="s">
        <v>5</v>
      </c>
      <c r="I39" s="28" t="s">
        <v>172</v>
      </c>
      <c r="J39" s="54">
        <f>M37</f>
        <v>45544</v>
      </c>
      <c r="K39" s="54"/>
      <c r="L39" s="54"/>
      <c r="M39" s="54">
        <f>J39+1</f>
        <v>45545</v>
      </c>
      <c r="N39" s="38">
        <f>IFERROR(NETWORKDAYS(J39,M39),0)</f>
        <v>2</v>
      </c>
      <c r="O39" s="38"/>
      <c r="P39" s="59"/>
      <c r="T39" s="59"/>
    </row>
    <row r="40" spans="1:20">
      <c r="A40" s="58">
        <f t="shared" si="0"/>
        <v>1</v>
      </c>
      <c r="B40" s="58">
        <f t="shared" si="1"/>
        <v>0</v>
      </c>
      <c r="C40" s="53"/>
      <c r="D40" s="26" t="s">
        <v>107</v>
      </c>
      <c r="E40" s="31" t="s">
        <v>88</v>
      </c>
      <c r="F40" s="31" t="s">
        <v>109</v>
      </c>
      <c r="G40" s="38" t="s">
        <v>98</v>
      </c>
      <c r="H40" s="27" t="s">
        <v>5</v>
      </c>
      <c r="I40" s="28" t="s">
        <v>172</v>
      </c>
      <c r="J40" s="54">
        <f>J39+1</f>
        <v>45545</v>
      </c>
      <c r="K40" s="54"/>
      <c r="L40" s="54"/>
      <c r="M40" s="54">
        <f>J40+1</f>
        <v>45546</v>
      </c>
      <c r="N40" s="38">
        <f>IFERROR(NETWORKDAYS(J40,M40),0)</f>
        <v>2</v>
      </c>
      <c r="O40" s="38"/>
      <c r="P40" s="59"/>
      <c r="T40" s="59"/>
    </row>
    <row r="41" spans="1:20">
      <c r="A41" s="57"/>
      <c r="B41" s="57"/>
      <c r="C41" s="53"/>
      <c r="O41" s="38"/>
      <c r="P41" s="59"/>
      <c r="T41" s="59"/>
    </row>
    <row r="42" spans="1:20">
      <c r="A42" s="57"/>
      <c r="B42" s="57"/>
      <c r="C42" s="53"/>
      <c r="O42" s="38"/>
      <c r="P42" s="42"/>
      <c r="T42" s="59"/>
    </row>
    <row r="43" spans="1:20">
      <c r="A43" s="57"/>
      <c r="B43" s="57"/>
      <c r="C43" s="53"/>
      <c r="O43" s="38"/>
      <c r="P43" s="42"/>
      <c r="T43" s="59"/>
    </row>
    <row r="44" spans="1:20">
      <c r="A44" s="57"/>
      <c r="B44" s="57"/>
      <c r="C44" s="53"/>
      <c r="O44" s="38"/>
      <c r="P44" s="42"/>
      <c r="T44" s="59"/>
    </row>
    <row r="45" spans="1:20">
      <c r="A45" s="57"/>
      <c r="G45" s="30"/>
      <c r="H45" s="30"/>
      <c r="K45" s="30"/>
      <c r="L45" s="30"/>
      <c r="O45" s="38"/>
      <c r="P45" s="42"/>
      <c r="T45" s="59"/>
    </row>
    <row r="46" spans="1:20">
      <c r="A46" s="57"/>
      <c r="G46" s="30"/>
      <c r="K46" s="30"/>
      <c r="L46" s="30"/>
      <c r="O46" s="38"/>
      <c r="P46" s="42"/>
      <c r="Q46" s="51" t="s">
        <v>103</v>
      </c>
      <c r="R46" s="31" t="s">
        <v>90</v>
      </c>
      <c r="T46" s="59"/>
    </row>
    <row r="47" spans="1:20">
      <c r="A47" s="57"/>
      <c r="G47" s="30"/>
      <c r="K47" s="30"/>
      <c r="L47" s="30"/>
      <c r="O47" s="38"/>
      <c r="P47" s="42"/>
      <c r="Q47" s="51" t="s">
        <v>104</v>
      </c>
      <c r="R47" s="31" t="s">
        <v>108</v>
      </c>
      <c r="T47" s="59"/>
    </row>
    <row r="48" spans="1:20">
      <c r="A48" s="57">
        <f>IF(H37="-",0,1)</f>
        <v>1</v>
      </c>
      <c r="O48" s="38"/>
      <c r="P48" s="42"/>
      <c r="Q48" s="51" t="s">
        <v>105</v>
      </c>
      <c r="R48" s="31" t="s">
        <v>108</v>
      </c>
      <c r="T48" s="59"/>
    </row>
    <row r="49" spans="1:20">
      <c r="A49" s="57">
        <f>IF(H38="-",0,1)</f>
        <v>1</v>
      </c>
      <c r="O49" s="38"/>
      <c r="P49" s="42"/>
      <c r="Q49" s="51" t="s">
        <v>106</v>
      </c>
      <c r="R49" s="31" t="s">
        <v>108</v>
      </c>
      <c r="T49" s="59"/>
    </row>
    <row r="50" spans="1:20">
      <c r="A50" s="57">
        <f>IF(H39="-",0,1)</f>
        <v>1</v>
      </c>
      <c r="O50" s="38"/>
      <c r="P50" s="42"/>
      <c r="Q50" s="51" t="s">
        <v>107</v>
      </c>
      <c r="R50" s="31" t="s">
        <v>109</v>
      </c>
      <c r="T50" s="59"/>
    </row>
    <row r="51" spans="1:20">
      <c r="A51" s="57">
        <f>IF(H40="-",0,1)</f>
        <v>1</v>
      </c>
      <c r="O51" s="38"/>
      <c r="Q51" s="51"/>
      <c r="T51" s="59"/>
    </row>
  </sheetData>
  <mergeCells count="1">
    <mergeCell ref="D1:O7"/>
  </mergeCells>
  <phoneticPr fontId="31" type="noConversion"/>
  <conditionalFormatting sqref="J10:J37 M10:M37 K37:L37 J38:M38 J39:J40 M39:M40 K40:L40">
    <cfRule type="cellIs" dxfId="13" priority="1" operator="equal">
      <formula>$M$9</formula>
    </cfRule>
    <cfRule type="cellIs" dxfId="12" priority="2" operator="lessThan">
      <formula>$M$9</formula>
    </cfRule>
    <cfRule type="cellIs" dxfId="11" priority="3" operator="greaterThan">
      <formula>$M$9</formula>
    </cfRule>
  </conditionalFormatting>
  <dataValidations count="1">
    <dataValidation type="list" allowBlank="1" showInputMessage="1" showErrorMessage="1" sqref="H10:H40" xr:uid="{7073B5BD-DA21-47E4-ACDA-930374A274ED}">
      <formula1>$Q$7:$Q$9</formula1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J34:J35 J27 M28 J25 J29 J32:J33 M30 M32:M33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6DAA95E0-1194-4C32-AC97-6BCE969B04A8}">
            <xm:f>aux!$E$3</xm:f>
            <x14:dxf>
              <font>
                <b/>
                <i val="0"/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14:cfRule type="cellIs" priority="5" operator="equal" id="{551C5A1C-2D4F-44A5-A6C0-4D1D8FCCBAFD}">
            <xm:f>aux!$E$2</xm:f>
            <x14:dxf>
              <font>
                <b/>
                <i val="0"/>
                <color rgb="FFFFC000"/>
              </font>
              <fill>
                <patternFill>
                  <bgColor rgb="FFFFFF99"/>
                </patternFill>
              </fill>
            </x14:dxf>
          </x14:cfRule>
          <x14:cfRule type="cellIs" priority="6" operator="equal" id="{25712AA6-8D51-41CD-8538-BCF9D4B1CAF4}">
            <xm:f>aux!$E$1</xm:f>
            <x14:dxf>
              <font>
                <b/>
                <i val="0"/>
                <color rgb="FF00B050"/>
              </font>
              <fill>
                <patternFill>
                  <bgColor theme="6" tint="0.59996337778862885"/>
                </patternFill>
              </fill>
            </x14:dxf>
          </x14:cfRule>
          <xm:sqref>H10:H40 H45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817C6-B0FB-4FC3-A9E5-93E982F2083B}">
          <x14:formula1>
            <xm:f>aux!$E$1:$E$3</xm:f>
          </x14:formula1>
          <xm:sqref>H45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H31"/>
  <sheetViews>
    <sheetView showGridLines="0" showRowColHeaders="0" topLeftCell="A5" zoomScale="75" zoomScaleNormal="75" workbookViewId="0">
      <selection activeCell="G40" sqref="G40"/>
    </sheetView>
  </sheetViews>
  <sheetFormatPr defaultRowHeight="14.4"/>
  <cols>
    <col min="8" max="8" width="12" bestFit="1" customWidth="1"/>
    <col min="14" max="14" width="10.5546875" bestFit="1" customWidth="1"/>
  </cols>
  <sheetData>
    <row r="1" ht="5.0999999999999996" customHeight="1"/>
    <row r="2" ht="5.0999999999999996" customHeight="1"/>
    <row r="30" spans="8:8">
      <c r="H30">
        <v>43299</v>
      </c>
    </row>
    <row r="31" spans="8:8">
      <c r="H31">
        <v>43312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9"/>
  <sheetViews>
    <sheetView showGridLines="0" showRowColHeaders="0" topLeftCell="D1" zoomScaleNormal="100" workbookViewId="0">
      <selection activeCell="L16" sqref="L16"/>
    </sheetView>
  </sheetViews>
  <sheetFormatPr defaultColWidth="3.109375" defaultRowHeight="16.8"/>
  <cols>
    <col min="1" max="1" width="1.5546875" style="14" hidden="1" customWidth="1"/>
    <col min="2" max="2" width="3.21875" style="14" hidden="1" customWidth="1"/>
    <col min="3" max="3" width="4.88671875" style="14" hidden="1" customWidth="1"/>
    <col min="4" max="4" width="1.5546875" style="14" customWidth="1"/>
    <col min="5" max="5" width="16.44140625" style="3" bestFit="1" customWidth="1"/>
    <col min="6" max="10" width="5.44140625" style="3" bestFit="1" customWidth="1"/>
    <col min="11" max="11" width="6.44140625" style="3" bestFit="1" customWidth="1"/>
    <col min="12" max="14" width="5.44140625" style="3" bestFit="1" customWidth="1"/>
    <col min="15" max="15" width="6.88671875" style="3" bestFit="1" customWidth="1"/>
    <col min="16" max="16" width="8.88671875" style="1" bestFit="1" customWidth="1"/>
    <col min="17" max="17" width="47" style="1" bestFit="1" customWidth="1"/>
    <col min="18" max="16384" width="3.109375" style="2"/>
  </cols>
  <sheetData>
    <row r="1" spans="1:17" ht="6" customHeight="1">
      <c r="A1" s="14" t="s">
        <v>3</v>
      </c>
      <c r="C1" s="14" t="s">
        <v>26</v>
      </c>
    </row>
    <row r="2" spans="1:17" s="6" customFormat="1" ht="15" customHeight="1">
      <c r="A2" s="15" t="s">
        <v>7</v>
      </c>
      <c r="B2" s="15"/>
      <c r="C2" s="15"/>
      <c r="D2" s="15"/>
      <c r="E2" s="76" t="s">
        <v>114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</row>
    <row r="3" spans="1:17" ht="22.65" customHeight="1">
      <c r="A3" s="14" t="s">
        <v>8</v>
      </c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</row>
    <row r="4" spans="1:17" s="14" customFormat="1" ht="17.399999999999999">
      <c r="E4" s="13">
        <v>1E-3</v>
      </c>
      <c r="F4" s="13">
        <v>0.1</v>
      </c>
      <c r="G4" s="13">
        <v>0.2</v>
      </c>
      <c r="H4" s="13">
        <v>0.3</v>
      </c>
      <c r="I4" s="13">
        <v>0.4</v>
      </c>
      <c r="J4" s="13">
        <v>0.5</v>
      </c>
      <c r="K4" s="13">
        <v>0.6</v>
      </c>
      <c r="L4" s="13">
        <v>0.7</v>
      </c>
      <c r="M4" s="13">
        <v>0.8</v>
      </c>
      <c r="N4" s="13">
        <v>0.9</v>
      </c>
      <c r="O4" s="13">
        <v>1</v>
      </c>
      <c r="P4" s="40"/>
      <c r="Q4" s="40"/>
    </row>
    <row r="5" spans="1:17" ht="18.899999999999999" customHeight="1">
      <c r="E5" s="24" t="s">
        <v>6</v>
      </c>
      <c r="F5" s="23">
        <v>10</v>
      </c>
      <c r="G5" s="23">
        <v>20</v>
      </c>
      <c r="H5" s="23">
        <v>30</v>
      </c>
      <c r="I5" s="23">
        <v>40</v>
      </c>
      <c r="J5" s="23">
        <v>50</v>
      </c>
      <c r="K5" s="23">
        <v>60</v>
      </c>
      <c r="L5" s="23">
        <v>70</v>
      </c>
      <c r="M5" s="23">
        <v>80</v>
      </c>
      <c r="N5" s="23">
        <v>90</v>
      </c>
      <c r="O5" s="23">
        <v>100</v>
      </c>
      <c r="P5" s="75" t="s">
        <v>29</v>
      </c>
      <c r="Q5" s="75"/>
    </row>
    <row r="6" spans="1:17" s="1" customFormat="1" ht="18.899999999999999" customHeight="1">
      <c r="A6" s="14"/>
      <c r="B6" s="60">
        <f>SUMIFS(Backlog!$A:$A,Backlog!$D:$D,sintético!P6)</f>
        <v>11</v>
      </c>
      <c r="C6" s="60">
        <f>SUMIF(Backlog!$D:$D,sintético!P6,Backlog!$B:$B)</f>
        <v>7.5</v>
      </c>
      <c r="D6" s="60"/>
      <c r="E6" s="11">
        <f t="shared" ref="E6:E10" si="0">C6/B6</f>
        <v>0.68181818181818177</v>
      </c>
      <c r="F6" s="39" t="str">
        <f>IF(AND($E6&gt;$E$4,$E6&lt;F$4),"DENTRO",IF($E6&gt;=F$4,"OK","FORA"))</f>
        <v>OK</v>
      </c>
      <c r="G6" s="39" t="str">
        <f t="shared" ref="G6:G10" si="1">IF(AND(F6="OK",$E6&lt;G$4,$E6&gt;F$4),"DENTRO",IF($E6&gt;=G$4,"OK","FORA"))</f>
        <v>OK</v>
      </c>
      <c r="H6" s="39" t="str">
        <f t="shared" ref="H6:O9" si="2">IF(AND(G6="OK",$E6&lt;H$4,$E6&gt;G$4),"DENTRO",IF($E6&gt;=H$4,"OK","FORA"))</f>
        <v>OK</v>
      </c>
      <c r="I6" s="39" t="str">
        <f t="shared" si="2"/>
        <v>OK</v>
      </c>
      <c r="J6" s="39" t="str">
        <f t="shared" si="2"/>
        <v>OK</v>
      </c>
      <c r="K6" s="39" t="str">
        <f t="shared" si="2"/>
        <v>OK</v>
      </c>
      <c r="L6" s="39" t="str">
        <f t="shared" si="2"/>
        <v>DENTRO</v>
      </c>
      <c r="M6" s="39" t="str">
        <f t="shared" si="2"/>
        <v>FORA</v>
      </c>
      <c r="N6" s="39" t="str">
        <f>IF(AND(M6="OK",$E6&lt;N$4,$E6&gt;M$4),"DENTRO",IF($E6&gt;=N$4,"OK","FORA"))</f>
        <v>FORA</v>
      </c>
      <c r="O6" s="39" t="str">
        <f t="shared" si="2"/>
        <v>FORA</v>
      </c>
      <c r="P6" s="12" t="s">
        <v>103</v>
      </c>
      <c r="Q6" s="12" t="s">
        <v>90</v>
      </c>
    </row>
    <row r="7" spans="1:17" s="1" customFormat="1" ht="18.899999999999999" customHeight="1">
      <c r="A7" s="14"/>
      <c r="B7" s="60">
        <f>SUMIFS(Backlog!$A:$A,Backlog!$D:$D,sintético!P7)</f>
        <v>7</v>
      </c>
      <c r="C7" s="60">
        <f>SUMIF(Backlog!$D:$D,sintético!P7,Backlog!$B:$B)</f>
        <v>0</v>
      </c>
      <c r="D7" s="60"/>
      <c r="E7" s="11">
        <f t="shared" si="0"/>
        <v>0</v>
      </c>
      <c r="F7" s="22" t="str">
        <f t="shared" ref="F7:F10" si="3">IF(AND($E7&gt;$E$4,$E7&lt;F$4),"DENTRO",IF($E7&gt;=F$4,"OK","FORA"))</f>
        <v>FORA</v>
      </c>
      <c r="G7" s="22" t="str">
        <f t="shared" si="1"/>
        <v>FORA</v>
      </c>
      <c r="H7" s="22" t="str">
        <f t="shared" si="2"/>
        <v>FORA</v>
      </c>
      <c r="I7" s="22" t="str">
        <f>IF(AND(H7="OK",$E7&lt;I$4,$E7&gt;H$4),"DENTRO",IF($E7&gt;=I$4,"OK","FORA"))</f>
        <v>FORA</v>
      </c>
      <c r="J7" s="22" t="str">
        <f t="shared" si="2"/>
        <v>FORA</v>
      </c>
      <c r="K7" s="22" t="str">
        <f t="shared" si="2"/>
        <v>FORA</v>
      </c>
      <c r="L7" s="22" t="str">
        <f>IF(AND(K7="OK",$E7&lt;L$4,$E7&gt;K$4),"DENTRO",IF($E7&gt;=L$4,"OK","FORA"))</f>
        <v>FORA</v>
      </c>
      <c r="M7" s="22" t="str">
        <f>IF(AND(L7="OK",$E7&lt;M$4,$E7&gt;L$4),"DENTRO",IF($E7&gt;=M$4,"OK","FORA"))</f>
        <v>FORA</v>
      </c>
      <c r="N7" s="22" t="str">
        <f t="shared" si="2"/>
        <v>FORA</v>
      </c>
      <c r="O7" s="22" t="str">
        <f t="shared" si="2"/>
        <v>FORA</v>
      </c>
      <c r="P7" s="12" t="s">
        <v>104</v>
      </c>
      <c r="Q7" s="12" t="s">
        <v>108</v>
      </c>
    </row>
    <row r="8" spans="1:17" s="1" customFormat="1" ht="18.899999999999999" customHeight="1">
      <c r="A8" s="14"/>
      <c r="B8" s="60">
        <f>SUMIFS(Backlog!$A:$A,Backlog!$D:$D,sintético!P8)</f>
        <v>9</v>
      </c>
      <c r="C8" s="60">
        <f>SUMIF(Backlog!$D:$D,sintético!P8,Backlog!$B:$B)</f>
        <v>0</v>
      </c>
      <c r="D8" s="60"/>
      <c r="E8" s="11">
        <f t="shared" si="0"/>
        <v>0</v>
      </c>
      <c r="F8" s="22" t="str">
        <f t="shared" si="3"/>
        <v>FORA</v>
      </c>
      <c r="G8" s="22" t="str">
        <f t="shared" si="1"/>
        <v>FORA</v>
      </c>
      <c r="H8" s="22" t="str">
        <f t="shared" si="2"/>
        <v>FORA</v>
      </c>
      <c r="I8" s="22" t="str">
        <f t="shared" si="2"/>
        <v>FORA</v>
      </c>
      <c r="J8" s="22" t="str">
        <f t="shared" si="2"/>
        <v>FORA</v>
      </c>
      <c r="K8" s="22" t="str">
        <f t="shared" si="2"/>
        <v>FORA</v>
      </c>
      <c r="L8" s="22" t="str">
        <f t="shared" si="2"/>
        <v>FORA</v>
      </c>
      <c r="M8" s="22" t="str">
        <f t="shared" si="2"/>
        <v>FORA</v>
      </c>
      <c r="N8" s="22" t="str">
        <f t="shared" si="2"/>
        <v>FORA</v>
      </c>
      <c r="O8" s="22" t="str">
        <f t="shared" si="2"/>
        <v>FORA</v>
      </c>
      <c r="P8" s="12" t="s">
        <v>105</v>
      </c>
      <c r="Q8" s="12" t="s">
        <v>108</v>
      </c>
    </row>
    <row r="9" spans="1:17" s="1" customFormat="1" ht="18.899999999999999" customHeight="1">
      <c r="A9" s="14"/>
      <c r="B9" s="60">
        <f>SUMIFS(Backlog!$A:$A,Backlog!$D:$D,sintético!P9)</f>
        <v>2</v>
      </c>
      <c r="C9" s="60">
        <f>SUMIF(Backlog!$D:$D,sintético!P9,Backlog!$B:$B)</f>
        <v>0</v>
      </c>
      <c r="D9" s="60"/>
      <c r="E9" s="11">
        <f t="shared" si="0"/>
        <v>0</v>
      </c>
      <c r="F9" s="22" t="str">
        <f t="shared" si="3"/>
        <v>FORA</v>
      </c>
      <c r="G9" s="22" t="str">
        <f t="shared" si="1"/>
        <v>FORA</v>
      </c>
      <c r="H9" s="22" t="str">
        <f t="shared" si="2"/>
        <v>FORA</v>
      </c>
      <c r="I9" s="22" t="str">
        <f t="shared" si="2"/>
        <v>FORA</v>
      </c>
      <c r="J9" s="22" t="str">
        <f t="shared" si="2"/>
        <v>FORA</v>
      </c>
      <c r="K9" s="22" t="str">
        <f t="shared" si="2"/>
        <v>FORA</v>
      </c>
      <c r="L9" s="22" t="str">
        <f t="shared" si="2"/>
        <v>FORA</v>
      </c>
      <c r="M9" s="22" t="str">
        <f t="shared" si="2"/>
        <v>FORA</v>
      </c>
      <c r="N9" s="22" t="str">
        <f t="shared" si="2"/>
        <v>FORA</v>
      </c>
      <c r="O9" s="22" t="str">
        <f t="shared" si="2"/>
        <v>FORA</v>
      </c>
      <c r="P9" s="12" t="s">
        <v>106</v>
      </c>
      <c r="Q9" s="12" t="s">
        <v>108</v>
      </c>
    </row>
    <row r="10" spans="1:17" s="1" customFormat="1" ht="18.899999999999999" customHeight="1">
      <c r="A10" s="14"/>
      <c r="B10" s="60">
        <f>SUMIFS(Backlog!$A:$A,Backlog!$D:$D,sintético!P10)</f>
        <v>2</v>
      </c>
      <c r="C10" s="60">
        <f>SUMIF(Backlog!$D:$D,sintético!P10,Backlog!$B:$B)</f>
        <v>0</v>
      </c>
      <c r="D10" s="60"/>
      <c r="E10" s="11">
        <f t="shared" si="0"/>
        <v>0</v>
      </c>
      <c r="F10" s="22" t="str">
        <f t="shared" si="3"/>
        <v>FORA</v>
      </c>
      <c r="G10" s="22" t="str">
        <f t="shared" si="1"/>
        <v>FORA</v>
      </c>
      <c r="H10" s="22" t="str">
        <f t="shared" ref="H10:O10" si="4">IF(AND(G10="OK",$E10&lt;H$4,$E10&gt;G$4),"DENTRO",IF($E10&gt;=H$4,"OK","FORA"))</f>
        <v>FORA</v>
      </c>
      <c r="I10" s="22" t="str">
        <f t="shared" si="4"/>
        <v>FORA</v>
      </c>
      <c r="J10" s="22" t="str">
        <f t="shared" si="4"/>
        <v>FORA</v>
      </c>
      <c r="K10" s="22" t="str">
        <f t="shared" si="4"/>
        <v>FORA</v>
      </c>
      <c r="L10" s="22" t="str">
        <f t="shared" si="4"/>
        <v>FORA</v>
      </c>
      <c r="M10" s="22" t="str">
        <f t="shared" si="4"/>
        <v>FORA</v>
      </c>
      <c r="N10" s="22" t="str">
        <f t="shared" si="4"/>
        <v>FORA</v>
      </c>
      <c r="O10" s="22" t="str">
        <f t="shared" si="4"/>
        <v>FORA</v>
      </c>
      <c r="P10" s="12" t="s">
        <v>107</v>
      </c>
      <c r="Q10" s="12" t="s">
        <v>109</v>
      </c>
    </row>
    <row r="11" spans="1:17" s="1" customFormat="1" ht="18.899999999999999" customHeight="1">
      <c r="A11" s="14"/>
      <c r="B11" s="14">
        <f>SUMIFS(Backlog_old!$A:$A,Backlog_old!$D:$D,sintético!#REF!)</f>
        <v>0</v>
      </c>
      <c r="C11" s="14">
        <f>SUMIF(Backlog_old!$D:$D,sintético!#REF!,Backlog_old!$B:$B)</f>
        <v>0</v>
      </c>
      <c r="D11" s="14"/>
    </row>
    <row r="12" spans="1:17" s="1" customFormat="1" ht="18.899999999999999" customHeight="1">
      <c r="A12" s="14"/>
      <c r="B12" s="14">
        <f>SUMIFS(Backlog_old!$A:$A,Backlog_old!$D:$D,sintético!#REF!)</f>
        <v>0</v>
      </c>
      <c r="C12" s="14">
        <f>SUMIF(Backlog_old!$D:$D,sintético!#REF!,Backlog_old!$B:$B)</f>
        <v>0</v>
      </c>
      <c r="D12" s="14"/>
    </row>
    <row r="13" spans="1:17" s="1" customFormat="1" ht="18.899999999999999" customHeight="1">
      <c r="A13" s="14"/>
      <c r="B13" s="14">
        <f>SUMIFS(Backlog_old!$A:$A,Backlog_old!$D:$D,sintético!#REF!)</f>
        <v>0</v>
      </c>
      <c r="C13" s="14">
        <f>SUMIF(Backlog_old!$D:$D,sintético!#REF!,Backlog_old!$B:$B)</f>
        <v>0</v>
      </c>
      <c r="D13" s="14"/>
    </row>
    <row r="14" spans="1:17" s="1" customFormat="1" ht="18.899999999999999" customHeight="1">
      <c r="A14" s="14"/>
      <c r="B14" s="14"/>
      <c r="C14" s="14"/>
      <c r="D14" s="1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7" s="1" customFormat="1" ht="18.899999999999999" customHeight="1">
      <c r="A15" s="14"/>
      <c r="B15" s="14"/>
      <c r="C15" s="14"/>
      <c r="D15" s="1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7" s="1" customFormat="1" ht="18.899999999999999" customHeight="1">
      <c r="A16" s="14"/>
      <c r="B16" s="14"/>
      <c r="C16" s="14"/>
      <c r="D16" s="1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7" s="1" customFormat="1" ht="18.899999999999999" customHeight="1">
      <c r="A17" s="14"/>
      <c r="B17" s="14"/>
      <c r="C17" s="14"/>
      <c r="D17" s="1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7" s="1" customFormat="1" ht="18.899999999999999" customHeight="1">
      <c r="A18" s="14"/>
      <c r="B18" s="14"/>
      <c r="C18" s="14"/>
      <c r="D18" s="1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7" s="1" customFormat="1" ht="18.899999999999999" customHeight="1">
      <c r="A19" s="14"/>
      <c r="B19" s="14"/>
      <c r="C19" s="14"/>
      <c r="D19" s="1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7" s="1" customFormat="1" ht="18.899999999999999" customHeight="1">
      <c r="A20" s="14"/>
      <c r="B20" s="14"/>
      <c r="C20" s="14"/>
      <c r="D20" s="1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7" s="1" customFormat="1" ht="18.899999999999999" customHeight="1">
      <c r="A21" s="14"/>
      <c r="B21" s="14"/>
      <c r="C21" s="14"/>
      <c r="D21" s="1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5"/>
    </row>
    <row r="22" spans="1:17" s="1" customFormat="1" ht="18.899999999999999" customHeight="1">
      <c r="A22" s="14"/>
      <c r="B22" s="14"/>
      <c r="C22" s="14"/>
      <c r="D22" s="1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5"/>
    </row>
    <row r="23" spans="1:17" s="1" customFormat="1" ht="18.899999999999999" customHeight="1">
      <c r="A23" s="14"/>
      <c r="B23" s="14"/>
      <c r="C23" s="14"/>
      <c r="D23" s="1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5"/>
    </row>
    <row r="24" spans="1:17" s="1" customFormat="1" ht="18.899999999999999" customHeight="1">
      <c r="A24" s="14"/>
      <c r="B24" s="14"/>
      <c r="C24" s="14"/>
      <c r="D24" s="1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5"/>
    </row>
    <row r="25" spans="1:17" s="1" customFormat="1" ht="18.899999999999999" customHeight="1">
      <c r="A25" s="14"/>
      <c r="B25" s="14"/>
      <c r="C25" s="14"/>
      <c r="D25" s="1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5"/>
    </row>
    <row r="26" spans="1:17" s="1" customFormat="1" ht="18.899999999999999" customHeight="1">
      <c r="A26" s="14"/>
      <c r="B26" s="14"/>
      <c r="C26" s="14"/>
      <c r="D26" s="1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5"/>
    </row>
    <row r="27" spans="1:17" s="1" customFormat="1" ht="18.899999999999999" customHeight="1">
      <c r="A27" s="14"/>
      <c r="B27" s="14"/>
      <c r="C27" s="14"/>
      <c r="D27" s="1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5"/>
    </row>
    <row r="28" spans="1:17" s="1" customFormat="1" ht="18.899999999999999" customHeight="1">
      <c r="A28" s="14"/>
      <c r="B28" s="14"/>
      <c r="C28" s="14"/>
      <c r="D28" s="1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5"/>
    </row>
    <row r="29" spans="1:17" s="1" customFormat="1" ht="18.899999999999999" customHeight="1">
      <c r="A29" s="14"/>
      <c r="B29" s="14"/>
      <c r="C29" s="14"/>
      <c r="D29" s="1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5"/>
    </row>
    <row r="30" spans="1:17" s="1" customFormat="1" ht="18.899999999999999" customHeight="1">
      <c r="A30" s="14"/>
      <c r="B30" s="14"/>
      <c r="C30" s="14"/>
      <c r="D30" s="1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5"/>
    </row>
    <row r="31" spans="1:17" s="1" customFormat="1" ht="18.899999999999999" customHeight="1">
      <c r="A31" s="14"/>
      <c r="B31" s="14"/>
      <c r="C31" s="14"/>
      <c r="D31" s="1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5"/>
    </row>
    <row r="32" spans="1:17" s="1" customFormat="1" ht="18.899999999999999" customHeight="1">
      <c r="A32" s="14"/>
      <c r="B32" s="14"/>
      <c r="C32" s="14"/>
      <c r="D32" s="1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5"/>
    </row>
    <row r="33" spans="1:17" s="1" customFormat="1" ht="18.899999999999999" customHeight="1">
      <c r="A33" s="14"/>
      <c r="B33" s="14"/>
      <c r="C33" s="14"/>
      <c r="D33" s="1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5"/>
    </row>
    <row r="34" spans="1:17" s="1" customFormat="1" ht="18.899999999999999" customHeight="1">
      <c r="A34" s="14"/>
      <c r="B34" s="14"/>
      <c r="C34" s="14"/>
      <c r="D34" s="1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5"/>
    </row>
    <row r="35" spans="1:17" s="1" customFormat="1" ht="18.899999999999999" customHeight="1">
      <c r="A35" s="14"/>
      <c r="B35" s="14"/>
      <c r="C35" s="14"/>
      <c r="D35" s="1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5"/>
    </row>
    <row r="36" spans="1:17" s="1" customFormat="1" ht="18.899999999999999" customHeight="1">
      <c r="A36" s="14"/>
      <c r="B36" s="14"/>
      <c r="C36" s="14"/>
      <c r="D36" s="1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5"/>
    </row>
    <row r="37" spans="1:17" s="1" customFormat="1" ht="18.899999999999999" customHeight="1">
      <c r="A37" s="14"/>
      <c r="B37" s="14"/>
      <c r="C37" s="14"/>
      <c r="D37" s="1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5"/>
    </row>
    <row r="38" spans="1:17" s="1" customFormat="1" ht="18.899999999999999" customHeight="1">
      <c r="A38" s="14"/>
      <c r="B38" s="14"/>
      <c r="C38" s="14"/>
      <c r="D38" s="1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5"/>
    </row>
    <row r="39" spans="1:17" s="1" customFormat="1" ht="18.899999999999999" customHeight="1">
      <c r="A39" s="14"/>
      <c r="B39" s="14"/>
      <c r="C39" s="14"/>
      <c r="D39" s="1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5"/>
    </row>
    <row r="40" spans="1:17" s="1" customFormat="1" ht="18.899999999999999" customHeight="1">
      <c r="A40" s="14"/>
      <c r="B40" s="14"/>
      <c r="C40" s="14"/>
      <c r="D40" s="1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5"/>
    </row>
    <row r="41" spans="1:17" s="1" customFormat="1" ht="18.899999999999999" customHeight="1">
      <c r="A41" s="14"/>
      <c r="B41" s="14"/>
      <c r="C41" s="14"/>
      <c r="D41" s="1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5"/>
    </row>
    <row r="42" spans="1:17" s="1" customFormat="1" ht="18.899999999999999" customHeight="1">
      <c r="A42" s="14"/>
      <c r="B42" s="14"/>
      <c r="C42" s="14"/>
      <c r="D42" s="1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</row>
    <row r="43" spans="1:17" s="1" customFormat="1" ht="18.899999999999999" customHeight="1">
      <c r="A43" s="14"/>
      <c r="B43" s="14"/>
      <c r="C43" s="14"/>
      <c r="D43" s="1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</row>
    <row r="44" spans="1:17" s="1" customFormat="1" ht="18.899999999999999" customHeight="1">
      <c r="A44" s="14"/>
      <c r="B44" s="14"/>
      <c r="C44" s="14"/>
      <c r="D44" s="1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5"/>
    </row>
    <row r="45" spans="1:17" s="1" customFormat="1" ht="18.899999999999999" customHeight="1">
      <c r="A45" s="14"/>
      <c r="B45" s="14"/>
      <c r="C45" s="14"/>
      <c r="D45" s="1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5"/>
    </row>
    <row r="46" spans="1:17" s="1" customFormat="1" ht="18.899999999999999" customHeight="1">
      <c r="A46" s="14"/>
      <c r="B46" s="14"/>
      <c r="C46" s="14"/>
      <c r="D46" s="14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8"/>
      <c r="Q46" s="8"/>
    </row>
    <row r="47" spans="1:17" s="1" customFormat="1" ht="18.899999999999999" customHeight="1">
      <c r="A47" s="14"/>
      <c r="B47" s="14"/>
      <c r="C47" s="14"/>
      <c r="D47" s="14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9"/>
      <c r="Q47" s="9"/>
    </row>
    <row r="48" spans="1:17" s="1" customFormat="1" ht="18.899999999999999" customHeight="1">
      <c r="A48" s="14"/>
      <c r="B48" s="14"/>
      <c r="C48" s="14"/>
      <c r="D48" s="14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7" s="9" customFormat="1" ht="18.899999999999999" customHeight="1">
      <c r="A49" s="15"/>
      <c r="B49" s="15"/>
      <c r="C49" s="15"/>
      <c r="D49" s="1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"/>
      <c r="Q49" s="1"/>
    </row>
  </sheetData>
  <mergeCells count="2">
    <mergeCell ref="P5:Q5"/>
    <mergeCell ref="E2:Q3"/>
  </mergeCells>
  <conditionalFormatting sqref="E47:Q47">
    <cfRule type="expression" dxfId="10" priority="87">
      <formula>TRUE</formula>
    </cfRule>
  </conditionalFormatting>
  <conditionalFormatting sqref="F6:O10">
    <cfRule type="cellIs" dxfId="9" priority="4" operator="equal">
      <formula>$A$3</formula>
    </cfRule>
    <cfRule type="cellIs" dxfId="8" priority="5" operator="equal">
      <formula>$A$2</formula>
    </cfRule>
    <cfRule type="cellIs" dxfId="7" priority="6" operator="equal">
      <formula>$A$1</formula>
    </cfRule>
  </conditionalFormatting>
  <pageMargins left="0.45" right="0.45" top="0.5" bottom="0.5" header="0.3" footer="0.3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6FAF-C997-4CE5-BF5B-DCE64614E570}">
  <dimension ref="A1:B11"/>
  <sheetViews>
    <sheetView workbookViewId="0">
      <selection activeCell="B3" sqref="B3"/>
    </sheetView>
  </sheetViews>
  <sheetFormatPr defaultRowHeight="14.4"/>
  <cols>
    <col min="1" max="1" width="19.109375" bestFit="1" customWidth="1"/>
    <col min="2" max="2" width="10.6640625" bestFit="1" customWidth="1"/>
  </cols>
  <sheetData>
    <row r="1" spans="1:2">
      <c r="A1" t="s">
        <v>144</v>
      </c>
      <c r="B1" s="61">
        <f ca="1">TODAY()+6</f>
        <v>45491</v>
      </c>
    </row>
    <row r="2" spans="1:2">
      <c r="A2" t="s">
        <v>145</v>
      </c>
      <c r="B2" s="61">
        <v>45534</v>
      </c>
    </row>
    <row r="3" spans="1:2">
      <c r="A3" t="s">
        <v>146</v>
      </c>
      <c r="B3">
        <v>18</v>
      </c>
    </row>
    <row r="4" spans="1:2">
      <c r="A4" t="s">
        <v>147</v>
      </c>
      <c r="B4">
        <f ca="1">B2-B1</f>
        <v>43</v>
      </c>
    </row>
    <row r="5" spans="1:2">
      <c r="A5" t="s">
        <v>148</v>
      </c>
      <c r="B5" s="64">
        <f ca="1">B4-B3</f>
        <v>25</v>
      </c>
    </row>
    <row r="6" spans="1:2">
      <c r="A6" t="s">
        <v>149</v>
      </c>
      <c r="B6">
        <v>13</v>
      </c>
    </row>
    <row r="7" spans="1:2">
      <c r="A7" t="s">
        <v>150</v>
      </c>
      <c r="B7" s="62">
        <f ca="1">B5/B6</f>
        <v>1.9230769230769231</v>
      </c>
    </row>
    <row r="9" spans="1:2">
      <c r="A9" t="s">
        <v>151</v>
      </c>
      <c r="B9">
        <f>SUM(Backlog_old!N15:N19)</f>
        <v>17</v>
      </c>
    </row>
    <row r="10" spans="1:2">
      <c r="A10" t="s">
        <v>152</v>
      </c>
      <c r="B10">
        <f>SUM(Backlog_old!N21:N28)</f>
        <v>25</v>
      </c>
    </row>
    <row r="11" spans="1:2">
      <c r="A11" t="s">
        <v>153</v>
      </c>
      <c r="B11" s="64">
        <f>SUM(B9:B10)</f>
        <v>42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0175-781D-4D33-966F-B3AE7D7954BA}">
  <dimension ref="A2:D9"/>
  <sheetViews>
    <sheetView workbookViewId="0">
      <selection activeCell="C5" sqref="C5"/>
    </sheetView>
  </sheetViews>
  <sheetFormatPr defaultRowHeight="14.4"/>
  <cols>
    <col min="1" max="1" width="23.33203125" bestFit="1" customWidth="1"/>
    <col min="2" max="3" width="5.33203125" bestFit="1" customWidth="1"/>
    <col min="4" max="4" width="5.109375" bestFit="1" customWidth="1"/>
  </cols>
  <sheetData>
    <row r="2" spans="1:4">
      <c r="A2" s="31" t="str">
        <f>Backlog_old!F10</f>
        <v>Design e Modelagem de Dados</v>
      </c>
      <c r="B2" s="29">
        <f>Backlog!J10</f>
        <v>45464</v>
      </c>
      <c r="C2" s="29">
        <f>Backlog!M12</f>
        <v>45483</v>
      </c>
      <c r="D2" s="38">
        <f>C2-Planilha1!B2</f>
        <v>19</v>
      </c>
    </row>
    <row r="3" spans="1:4">
      <c r="A3" s="31" t="str">
        <f>Backlog_old!F13</f>
        <v>Desenvolvimento e Implementação</v>
      </c>
      <c r="B3" s="29">
        <f>Backlog_old!J13</f>
        <v>45463</v>
      </c>
      <c r="C3" s="29">
        <f>Backlog!M30</f>
        <v>45513</v>
      </c>
      <c r="D3" s="38">
        <f>C3-Planilha1!B3</f>
        <v>50</v>
      </c>
    </row>
    <row r="4" spans="1:4">
      <c r="A4" s="31" t="str">
        <f>Backlog_old!F31</f>
        <v>Implantação</v>
      </c>
      <c r="B4" s="29">
        <f>Backlog!J31</f>
        <v>45516</v>
      </c>
      <c r="C4" s="29">
        <f>Backlog!M32</f>
        <v>45520</v>
      </c>
      <c r="D4" s="38">
        <f>C4-Planilha1!B4</f>
        <v>4</v>
      </c>
    </row>
    <row r="5" spans="1:4">
      <c r="A5" s="31"/>
      <c r="B5" s="29"/>
      <c r="C5" s="29"/>
      <c r="D5" s="38"/>
    </row>
    <row r="6" spans="1:4">
      <c r="A6" s="31"/>
      <c r="B6" s="29"/>
      <c r="C6" s="29"/>
      <c r="D6" s="38"/>
    </row>
    <row r="7" spans="1:4">
      <c r="A7" s="31"/>
      <c r="B7" s="29"/>
      <c r="C7" s="29"/>
      <c r="D7" s="38"/>
    </row>
    <row r="8" spans="1:4">
      <c r="A8" s="31"/>
      <c r="B8" s="29"/>
      <c r="C8" s="29"/>
      <c r="D8" s="38"/>
    </row>
    <row r="9" spans="1:4">
      <c r="A9" s="31"/>
      <c r="B9" s="29"/>
      <c r="C9" s="29"/>
      <c r="D9" s="38"/>
    </row>
  </sheetData>
  <conditionalFormatting sqref="B2:C9">
    <cfRule type="cellIs" dxfId="6" priority="1" operator="equal">
      <formula>$M$9</formula>
    </cfRule>
    <cfRule type="cellIs" dxfId="5" priority="2" operator="lessThan">
      <formula>$M$9</formula>
    </cfRule>
    <cfRule type="cellIs" dxfId="4" priority="3" operator="greaterThan">
      <formula>$M$9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20A6-BA64-4CB4-9816-CE6E482A146A}">
  <dimension ref="A1:D23"/>
  <sheetViews>
    <sheetView showGridLines="0" workbookViewId="0">
      <selection activeCell="C19" sqref="C19"/>
    </sheetView>
  </sheetViews>
  <sheetFormatPr defaultRowHeight="14.4"/>
  <cols>
    <col min="1" max="1" width="19.44140625" bestFit="1" customWidth="1"/>
    <col min="2" max="2" width="15.44140625" bestFit="1" customWidth="1"/>
    <col min="3" max="3" width="39.5546875" bestFit="1" customWidth="1"/>
    <col min="4" max="4" width="6.44140625" bestFit="1" customWidth="1"/>
  </cols>
  <sheetData>
    <row r="1" spans="1:4" ht="15.6">
      <c r="A1" s="43" t="s">
        <v>40</v>
      </c>
      <c r="B1" s="44" t="s">
        <v>41</v>
      </c>
      <c r="C1" s="45"/>
      <c r="D1" s="46"/>
    </row>
    <row r="2" spans="1:4" ht="15.6">
      <c r="A2" s="46"/>
      <c r="B2" s="47"/>
      <c r="C2" s="45"/>
      <c r="D2" s="46"/>
    </row>
    <row r="3" spans="1:4" ht="15.6">
      <c r="A3" s="46"/>
      <c r="B3" s="47"/>
      <c r="C3" s="45"/>
      <c r="D3" s="46"/>
    </row>
    <row r="4" spans="1:4" ht="15.6">
      <c r="A4" s="46"/>
      <c r="B4" s="47"/>
      <c r="C4" s="48" t="s">
        <v>42</v>
      </c>
      <c r="D4" s="48" t="s">
        <v>43</v>
      </c>
    </row>
    <row r="5" spans="1:4" ht="15.6">
      <c r="A5" s="46"/>
      <c r="B5" s="47"/>
      <c r="C5" s="45" t="s">
        <v>44</v>
      </c>
      <c r="D5" s="49" t="s">
        <v>3</v>
      </c>
    </row>
    <row r="6" spans="1:4" ht="15.6">
      <c r="A6" s="46"/>
      <c r="B6" s="47"/>
      <c r="C6" s="50"/>
      <c r="D6" s="50"/>
    </row>
    <row r="7" spans="1:4" ht="15.6">
      <c r="A7" s="46"/>
      <c r="B7" s="47"/>
      <c r="C7" s="48" t="s">
        <v>45</v>
      </c>
      <c r="D7" s="48" t="s">
        <v>43</v>
      </c>
    </row>
    <row r="8" spans="1:4" ht="15.6">
      <c r="A8" s="46"/>
      <c r="B8" s="47"/>
      <c r="C8" s="45" t="str">
        <f>B1&amp;"_VERTICAL"</f>
        <v>MGC_VERTICAL</v>
      </c>
      <c r="D8" s="50" t="s">
        <v>3</v>
      </c>
    </row>
    <row r="9" spans="1:4" ht="15.6">
      <c r="A9" s="46"/>
      <c r="B9" s="47"/>
      <c r="C9" s="50"/>
      <c r="D9" s="50"/>
    </row>
    <row r="10" spans="1:4" ht="15.6">
      <c r="A10" s="46"/>
      <c r="B10" s="47"/>
      <c r="C10" s="48" t="s">
        <v>46</v>
      </c>
      <c r="D10" s="48" t="s">
        <v>43</v>
      </c>
    </row>
    <row r="11" spans="1:4" ht="15.6">
      <c r="A11" s="46"/>
      <c r="B11" s="47"/>
      <c r="C11" s="45" t="s">
        <v>47</v>
      </c>
      <c r="D11" s="50" t="s">
        <v>3</v>
      </c>
    </row>
    <row r="12" spans="1:4" ht="15.6">
      <c r="A12" s="46"/>
      <c r="B12" s="47"/>
      <c r="C12" s="46"/>
      <c r="D12" s="46"/>
    </row>
    <row r="13" spans="1:4" ht="15.6">
      <c r="A13" s="46"/>
      <c r="B13" s="47"/>
      <c r="C13" s="45"/>
      <c r="D13" s="46"/>
    </row>
    <row r="14" spans="1:4" ht="15.6">
      <c r="A14" s="46"/>
      <c r="B14" s="47"/>
      <c r="C14" s="45"/>
      <c r="D14" s="46"/>
    </row>
    <row r="15" spans="1:4">
      <c r="A15" s="46"/>
      <c r="B15" s="46"/>
      <c r="C15" s="48" t="s">
        <v>24</v>
      </c>
      <c r="D15" s="48" t="s">
        <v>43</v>
      </c>
    </row>
    <row r="16" spans="1:4">
      <c r="A16" s="46" t="s">
        <v>48</v>
      </c>
      <c r="B16" s="46" t="s">
        <v>49</v>
      </c>
      <c r="C16" s="45" t="str">
        <f>A16&amp;$C$15&amp;"_"&amp;$B$1&amp;"_01"</f>
        <v>OLS_CAMPANHA_MGC_01</v>
      </c>
      <c r="D16" s="49" t="s">
        <v>3</v>
      </c>
    </row>
    <row r="17" spans="1:4">
      <c r="A17" s="46" t="s">
        <v>50</v>
      </c>
      <c r="B17" s="46" t="s">
        <v>51</v>
      </c>
      <c r="C17" s="45" t="str">
        <f>A17&amp;$C$15&amp;"_"&amp;$B$1&amp;"_"&amp;B17</f>
        <v>OLSA_CAMPANHA_MGC_AGENDAMENTO</v>
      </c>
      <c r="D17" s="49" t="s">
        <v>3</v>
      </c>
    </row>
    <row r="18" spans="1:4">
      <c r="A18" s="46" t="s">
        <v>52</v>
      </c>
      <c r="B18" s="46" t="s">
        <v>53</v>
      </c>
      <c r="C18" s="45" t="str">
        <f>A18&amp;$C$15&amp;"_"&amp;$B$1&amp;"_"&amp;B18</f>
        <v>OLSI_CAMPANHA_MGC_RECEPTIVO</v>
      </c>
      <c r="D18" s="49" t="s">
        <v>3</v>
      </c>
    </row>
    <row r="19" spans="1:4">
      <c r="A19" s="46" t="s">
        <v>54</v>
      </c>
      <c r="B19" s="46" t="s">
        <v>55</v>
      </c>
      <c r="C19" s="45" t="str">
        <f>A19&amp;$C$15&amp;"_"&amp;$B$1&amp;"_"&amp;B19</f>
        <v>OLSM_CAMPANHA_MGC_MANUAL</v>
      </c>
      <c r="D19" s="49" t="s">
        <v>3</v>
      </c>
    </row>
    <row r="20" spans="1:4">
      <c r="A20" s="46" t="s">
        <v>56</v>
      </c>
      <c r="B20" s="46" t="s">
        <v>57</v>
      </c>
      <c r="C20" s="45" t="str">
        <f>A20&amp;$C$15&amp;"_"&amp;$B$1&amp;"_"&amp;B20&amp;"_IVR"</f>
        <v>OLSW_CAMPANHA_MGC_WAY_IVR</v>
      </c>
      <c r="D20" s="49" t="s">
        <v>3</v>
      </c>
    </row>
    <row r="21" spans="1:4">
      <c r="A21" s="46" t="s">
        <v>56</v>
      </c>
      <c r="B21" s="46" t="s">
        <v>58</v>
      </c>
      <c r="C21" s="45" t="s">
        <v>59</v>
      </c>
      <c r="D21" s="49" t="s">
        <v>34</v>
      </c>
    </row>
    <row r="22" spans="1:4">
      <c r="A22" s="46" t="s">
        <v>60</v>
      </c>
      <c r="B22" s="46" t="s">
        <v>61</v>
      </c>
      <c r="C22" s="45" t="str">
        <f>A22&amp;$C$15&amp;"_"&amp;$B$1&amp;"_"&amp;B22</f>
        <v>OLSP_CAMPANHA_MGC_PREVIEW</v>
      </c>
      <c r="D22" s="49" t="s">
        <v>3</v>
      </c>
    </row>
    <row r="23" spans="1:4">
      <c r="A23" s="46"/>
      <c r="B23" s="46"/>
      <c r="C23" s="45"/>
      <c r="D23" s="49"/>
    </row>
  </sheetData>
  <conditionalFormatting sqref="D1:D11">
    <cfRule type="cellIs" dxfId="3" priority="1" operator="equal">
      <formula>"-"</formula>
    </cfRule>
    <cfRule type="cellIs" dxfId="2" priority="2" operator="equal">
      <formula>"OK"</formula>
    </cfRule>
  </conditionalFormatting>
  <conditionalFormatting sqref="D13:D23">
    <cfRule type="cellIs" dxfId="1" priority="5" operator="equal">
      <formula>"-"</formula>
    </cfRule>
    <cfRule type="cellIs" dxfId="0" priority="6" operator="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9162-F9BF-4FD2-A8F0-09CB3EF34049}">
  <dimension ref="A1:G7"/>
  <sheetViews>
    <sheetView workbookViewId="0">
      <selection activeCell="I11" sqref="I11"/>
    </sheetView>
  </sheetViews>
  <sheetFormatPr defaultColWidth="9.44140625" defaultRowHeight="14.4"/>
  <cols>
    <col min="1" max="1" width="7.109375" bestFit="1" customWidth="1"/>
    <col min="2" max="2" width="31.109375" bestFit="1" customWidth="1"/>
    <col min="3" max="3" width="14" bestFit="1" customWidth="1"/>
    <col min="4" max="4" width="26.44140625" bestFit="1" customWidth="1"/>
    <col min="6" max="6" width="3.5546875" bestFit="1" customWidth="1"/>
    <col min="7" max="7" width="13.88671875" bestFit="1" customWidth="1"/>
  </cols>
  <sheetData>
    <row r="1" spans="1:7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>
      <c r="A2">
        <v>136002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44</v>
      </c>
    </row>
    <row r="3" spans="1:7">
      <c r="A3">
        <v>136002</v>
      </c>
      <c r="B3" t="s">
        <v>74</v>
      </c>
      <c r="C3" t="s">
        <v>75</v>
      </c>
      <c r="D3" t="s">
        <v>71</v>
      </c>
      <c r="E3" t="s">
        <v>72</v>
      </c>
      <c r="F3" t="s">
        <v>73</v>
      </c>
      <c r="G3" t="s">
        <v>44</v>
      </c>
    </row>
    <row r="4" spans="1:7">
      <c r="A4">
        <v>136002</v>
      </c>
      <c r="B4" t="s">
        <v>76</v>
      </c>
      <c r="C4" t="s">
        <v>77</v>
      </c>
      <c r="D4" t="s">
        <v>71</v>
      </c>
      <c r="E4" t="s">
        <v>72</v>
      </c>
      <c r="F4" t="s">
        <v>73</v>
      </c>
      <c r="G4" t="s">
        <v>44</v>
      </c>
    </row>
    <row r="5" spans="1:7">
      <c r="A5">
        <v>136001</v>
      </c>
      <c r="B5" t="s">
        <v>78</v>
      </c>
      <c r="C5" t="s">
        <v>79</v>
      </c>
      <c r="D5" t="s">
        <v>71</v>
      </c>
      <c r="E5" t="s">
        <v>72</v>
      </c>
      <c r="F5" t="s">
        <v>73</v>
      </c>
      <c r="G5" t="s">
        <v>44</v>
      </c>
    </row>
    <row r="6" spans="1:7">
      <c r="A6">
        <v>136001</v>
      </c>
      <c r="B6" t="s">
        <v>80</v>
      </c>
      <c r="C6" t="s">
        <v>81</v>
      </c>
      <c r="D6" t="s">
        <v>71</v>
      </c>
      <c r="E6" t="s">
        <v>72</v>
      </c>
      <c r="F6" t="s">
        <v>73</v>
      </c>
      <c r="G6" t="s">
        <v>44</v>
      </c>
    </row>
    <row r="7" spans="1:7">
      <c r="A7">
        <v>136001</v>
      </c>
      <c r="B7" t="s">
        <v>82</v>
      </c>
      <c r="C7" t="s">
        <v>83</v>
      </c>
      <c r="D7" t="s">
        <v>71</v>
      </c>
      <c r="E7" t="s">
        <v>72</v>
      </c>
      <c r="F7" t="s">
        <v>73</v>
      </c>
      <c r="G7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4"/>
  <sheetViews>
    <sheetView showGridLines="0" workbookViewId="0">
      <selection activeCell="B4" sqref="B4:C11"/>
    </sheetView>
  </sheetViews>
  <sheetFormatPr defaultRowHeight="14.4"/>
  <cols>
    <col min="1" max="1" width="1.5546875" customWidth="1"/>
    <col min="2" max="2" width="8.5546875" bestFit="1" customWidth="1"/>
    <col min="3" max="3" width="54.109375" bestFit="1" customWidth="1"/>
    <col min="8" max="8" width="16.44140625" bestFit="1" customWidth="1"/>
    <col min="9" max="9" width="16.109375" bestFit="1" customWidth="1"/>
    <col min="10" max="10" width="11.5546875" bestFit="1" customWidth="1"/>
    <col min="11" max="11" width="10.44140625" bestFit="1" customWidth="1"/>
  </cols>
  <sheetData>
    <row r="1" spans="2:11">
      <c r="E1" s="16" t="s">
        <v>3</v>
      </c>
      <c r="H1" s="21" t="s">
        <v>22</v>
      </c>
      <c r="I1" s="21" t="s">
        <v>23</v>
      </c>
      <c r="J1" s="21" t="s">
        <v>24</v>
      </c>
      <c r="K1" s="21" t="s">
        <v>25</v>
      </c>
    </row>
    <row r="2" spans="2:11">
      <c r="E2" s="16" t="s">
        <v>4</v>
      </c>
    </row>
    <row r="3" spans="2:11">
      <c r="B3" s="19" t="s">
        <v>0</v>
      </c>
      <c r="C3" s="17" t="s">
        <v>1</v>
      </c>
      <c r="E3" s="16" t="s">
        <v>5</v>
      </c>
    </row>
    <row r="4" spans="2:11">
      <c r="B4" s="18" t="s">
        <v>9</v>
      </c>
      <c r="C4" s="20" t="s">
        <v>17</v>
      </c>
    </row>
    <row r="5" spans="2:11">
      <c r="B5" s="18" t="s">
        <v>10</v>
      </c>
      <c r="C5" s="20" t="s">
        <v>32</v>
      </c>
    </row>
    <row r="6" spans="2:11">
      <c r="B6" s="18" t="s">
        <v>11</v>
      </c>
      <c r="C6" s="20" t="s">
        <v>18</v>
      </c>
    </row>
    <row r="7" spans="2:11">
      <c r="B7" s="18" t="s">
        <v>12</v>
      </c>
      <c r="C7" s="20" t="s">
        <v>19</v>
      </c>
    </row>
    <row r="8" spans="2:11">
      <c r="B8" s="18" t="s">
        <v>13</v>
      </c>
      <c r="C8" s="20" t="s">
        <v>16</v>
      </c>
    </row>
    <row r="9" spans="2:11">
      <c r="B9" s="18" t="s">
        <v>14</v>
      </c>
      <c r="C9" s="20" t="s">
        <v>30</v>
      </c>
    </row>
    <row r="10" spans="2:11">
      <c r="B10" s="18" t="s">
        <v>15</v>
      </c>
      <c r="C10" s="20" t="s">
        <v>20</v>
      </c>
    </row>
    <row r="11" spans="2:11">
      <c r="B11" s="18" t="s">
        <v>31</v>
      </c>
      <c r="C11" s="20" t="s">
        <v>21</v>
      </c>
    </row>
    <row r="12" spans="2:11">
      <c r="B12" s="18"/>
      <c r="C12" s="20"/>
    </row>
    <row r="13" spans="2:11">
      <c r="C13" s="20"/>
    </row>
    <row r="14" spans="2:11">
      <c r="C14" s="2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Backlog_old</vt:lpstr>
      <vt:lpstr>Backlog</vt:lpstr>
      <vt:lpstr>Acomp_Grafico_Gantt</vt:lpstr>
      <vt:lpstr>sintético</vt:lpstr>
      <vt:lpstr>Planilha2</vt:lpstr>
      <vt:lpstr>Planilha1</vt:lpstr>
      <vt:lpstr>Camp|Org| Planos disp. &amp; Pausa.</vt:lpstr>
      <vt:lpstr>login</vt:lpstr>
      <vt:lpstr>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Francisco dos Santos</dc:creator>
  <cp:lastModifiedBy>Matheus Alexander Ribeiro Sombra</cp:lastModifiedBy>
  <cp:lastPrinted>2017-10-26T20:51:40Z</cp:lastPrinted>
  <dcterms:created xsi:type="dcterms:W3CDTF">2014-08-13T18:24:37Z</dcterms:created>
  <dcterms:modified xsi:type="dcterms:W3CDTF">2024-07-12T18:40:39Z</dcterms:modified>
</cp:coreProperties>
</file>