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Demais Documentos do Projeto\"/>
    </mc:Choice>
  </mc:AlternateContent>
  <xr:revisionPtr revIDLastSave="0" documentId="13_ncr:1_{D1158AF7-F908-42A7-89AC-46C9D1A8787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cklog_old" sheetId="1" state="hidden" r:id="rId1"/>
    <sheet name="Backlog" sheetId="11" r:id="rId2"/>
    <sheet name="Acomp_Grafico_Gantt" sheetId="6" r:id="rId3"/>
    <sheet name="sintético" sheetId="4" r:id="rId4"/>
    <sheet name="Planilha2" sheetId="10" state="hidden" r:id="rId5"/>
    <sheet name="Planilha1" sheetId="9" state="hidden" r:id="rId6"/>
    <sheet name="Camp|Org| Planos disp. &amp; Pausa." sheetId="7" state="hidden" r:id="rId7"/>
    <sheet name="login" sheetId="8" state="hidden" r:id="rId8"/>
    <sheet name="aux" sheetId="5" state="hidden" r:id="rId9"/>
  </sheets>
  <externalReferences>
    <externalReference r:id="rId10"/>
  </externalReferences>
  <definedNames>
    <definedName name="_xlnm._FilterDatabase" localSheetId="1" hidden="1">Backlog!$A$9:$Q$51</definedName>
    <definedName name="_xlnm._FilterDatabase" localSheetId="0" hidden="1">Backlog_old!$A$9:$Q$43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1" l="1"/>
  <c r="J23" i="11" s="1"/>
  <c r="M23" i="11" s="1"/>
  <c r="J24" i="11" s="1"/>
  <c r="M24" i="11" s="1"/>
  <c r="J25" i="11" s="1"/>
  <c r="A22" i="11"/>
  <c r="B22" i="11"/>
  <c r="Q22" i="11"/>
  <c r="A28" i="11"/>
  <c r="B28" i="11"/>
  <c r="C9" i="4"/>
  <c r="B10" i="4"/>
  <c r="B11" i="11"/>
  <c r="B12" i="11"/>
  <c r="B13" i="11"/>
  <c r="B14" i="11"/>
  <c r="B15" i="11"/>
  <c r="B16" i="11"/>
  <c r="B17" i="11"/>
  <c r="B18" i="11"/>
  <c r="B19" i="11"/>
  <c r="B20" i="11"/>
  <c r="B21" i="11"/>
  <c r="B23" i="11"/>
  <c r="B24" i="11"/>
  <c r="B25" i="11"/>
  <c r="B26" i="11"/>
  <c r="B27" i="11"/>
  <c r="B29" i="11"/>
  <c r="B30" i="11"/>
  <c r="B31" i="11"/>
  <c r="B32" i="11"/>
  <c r="B33" i="11"/>
  <c r="B34" i="11"/>
  <c r="B35" i="11"/>
  <c r="B36" i="11"/>
  <c r="B37" i="11"/>
  <c r="B38" i="11"/>
  <c r="B39" i="11"/>
  <c r="C10" i="4" s="1"/>
  <c r="B40" i="11"/>
  <c r="A21" i="11"/>
  <c r="B7" i="4" s="1"/>
  <c r="A20" i="11"/>
  <c r="A19" i="11"/>
  <c r="A18" i="11"/>
  <c r="A17" i="11"/>
  <c r="A16" i="11"/>
  <c r="A15" i="11"/>
  <c r="A14" i="11"/>
  <c r="A13" i="11"/>
  <c r="C2" i="9"/>
  <c r="B2" i="9"/>
  <c r="N20" i="11"/>
  <c r="N19" i="11"/>
  <c r="N18" i="11"/>
  <c r="N17" i="11"/>
  <c r="N16" i="11"/>
  <c r="N15" i="11"/>
  <c r="N14" i="11"/>
  <c r="N13" i="11"/>
  <c r="N12" i="11"/>
  <c r="M11" i="11"/>
  <c r="M10" i="11"/>
  <c r="A51" i="11"/>
  <c r="A50" i="11"/>
  <c r="A49" i="11"/>
  <c r="A48" i="11"/>
  <c r="A40" i="11"/>
  <c r="A39" i="11"/>
  <c r="A38" i="11"/>
  <c r="A37" i="11"/>
  <c r="B9" i="4" s="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Q21" i="11"/>
  <c r="N21" i="11"/>
  <c r="A12" i="11"/>
  <c r="Q11" i="11"/>
  <c r="N11" i="11"/>
  <c r="A11" i="11"/>
  <c r="N10" i="11"/>
  <c r="B10" i="11"/>
  <c r="A10" i="11"/>
  <c r="J32" i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C8" i="4" l="1"/>
  <c r="C6" i="4"/>
  <c r="B8" i="4"/>
  <c r="C7" i="4"/>
  <c r="B6" i="4"/>
  <c r="M25" i="11"/>
  <c r="N23" i="11"/>
  <c r="M32" i="1"/>
  <c r="M19" i="1"/>
  <c r="J18" i="1"/>
  <c r="J26" i="11" l="1"/>
  <c r="M26" i="11" s="1"/>
  <c r="J27" i="11" s="1"/>
  <c r="M27" i="11" s="1"/>
  <c r="N24" i="11"/>
  <c r="N17" i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A14" i="1"/>
  <c r="A13" i="1"/>
  <c r="A12" i="1"/>
  <c r="A11" i="1"/>
  <c r="A4" i="9"/>
  <c r="N14" i="1"/>
  <c r="N29" i="1"/>
  <c r="N30" i="1"/>
  <c r="N31" i="1"/>
  <c r="N32" i="1"/>
  <c r="N13" i="1"/>
  <c r="N11" i="1"/>
  <c r="N12" i="1"/>
  <c r="N10" i="1"/>
  <c r="A3" i="9"/>
  <c r="A2" i="9"/>
  <c r="C12" i="4"/>
  <c r="B12" i="4"/>
  <c r="J29" i="11" l="1"/>
  <c r="M22" i="11"/>
  <c r="N22" i="11" s="1"/>
  <c r="J28" i="11"/>
  <c r="M29" i="11"/>
  <c r="J30" i="11" s="1"/>
  <c r="M30" i="11" s="1"/>
  <c r="J31" i="11" s="1"/>
  <c r="N25" i="11"/>
  <c r="J21" i="1"/>
  <c r="N18" i="1"/>
  <c r="D2" i="9"/>
  <c r="C3" i="9" l="1"/>
  <c r="N26" i="11"/>
  <c r="N21" i="1"/>
  <c r="N19" i="1"/>
  <c r="B9" i="10" s="1"/>
  <c r="B3" i="9"/>
  <c r="M31" i="11" l="1"/>
  <c r="J32" i="11" s="1"/>
  <c r="B4" i="9"/>
  <c r="N27" i="11"/>
  <c r="J23" i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9" i="11" l="1"/>
  <c r="N22" i="1"/>
  <c r="A10" i="1"/>
  <c r="M32" i="11" l="1"/>
  <c r="N30" i="11"/>
  <c r="N23" i="1"/>
  <c r="J25" i="1"/>
  <c r="C4" i="9" l="1"/>
  <c r="D4" i="9" s="1"/>
  <c r="J33" i="11"/>
  <c r="M33" i="11" s="1"/>
  <c r="J34" i="11" s="1"/>
  <c r="N31" i="11"/>
  <c r="N24" i="1"/>
  <c r="N25" i="1"/>
  <c r="J26" i="1"/>
  <c r="B11" i="4"/>
  <c r="M34" i="11" l="1"/>
  <c r="J35" i="11" s="1"/>
  <c r="M35" i="11" s="1"/>
  <c r="N32" i="11"/>
  <c r="N26" i="1"/>
  <c r="C11" i="4"/>
  <c r="E10" i="4"/>
  <c r="E6" i="4"/>
  <c r="F6" i="4" s="1"/>
  <c r="E8" i="4"/>
  <c r="E9" i="4"/>
  <c r="E7" i="4"/>
  <c r="J36" i="11" l="1"/>
  <c r="M36" i="11" s="1"/>
  <c r="N33" i="11"/>
  <c r="M27" i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J37" i="11" l="1"/>
  <c r="M37" i="11" s="1"/>
  <c r="M28" i="11"/>
  <c r="N28" i="11" s="1"/>
  <c r="N34" i="11"/>
  <c r="N27" i="1"/>
  <c r="N28" i="1"/>
  <c r="N6" i="4"/>
  <c r="O6" i="4" s="1"/>
  <c r="N35" i="11" l="1"/>
  <c r="B10" i="10"/>
  <c r="B11" i="10" s="1"/>
  <c r="J38" i="11" l="1"/>
  <c r="M38" i="11" s="1"/>
  <c r="N36" i="11"/>
  <c r="J39" i="11" l="1"/>
  <c r="J40" i="11" l="1"/>
  <c r="M40" i="11" s="1"/>
  <c r="N40" i="11" s="1"/>
  <c r="M39" i="11"/>
  <c r="N39" i="11" s="1"/>
  <c r="N37" i="11"/>
  <c r="N38" i="11"/>
</calcChain>
</file>

<file path=xl/sharedStrings.xml><?xml version="1.0" encoding="utf-8"?>
<sst xmlns="http://schemas.openxmlformats.org/spreadsheetml/2006/main" count="514" uniqueCount="173">
  <si>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</si>
  <si>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</si>
  <si>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</si>
  <si>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</si>
  <si>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</si>
  <si>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</si>
  <si>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</si>
  <si>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</si>
  <si>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</si>
  <si>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</si>
  <si>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</si>
  <si>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</si>
  <si>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</si>
  <si>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</si>
  <si>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</si>
  <si>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</si>
  <si>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</si>
  <si>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</si>
  <si>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</si>
  <si>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</si>
  <si>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</si>
  <si>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</si>
  <si>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</si>
  <si>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</si>
  <si>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</si>
  <si>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</si>
  <si>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</si>
  <si>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</si>
  <si>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</si>
  <si>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</si>
  <si>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</si>
  <si>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</si>
  <si>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</si>
  <si>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</si>
  <si>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</si>
  <si>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</si>
  <si>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</si>
  <si>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</si>
  <si>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</si>
  <si>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</si>
  <si>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</si>
  <si>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</si>
  <si>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</si>
  <si>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</si>
  <si>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</si>
  <si>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</si>
  <si>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</si>
  <si>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</si>
  <si>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</si>
  <si>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</si>
  <si>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</si>
  <si>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</si>
  <si>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</si>
  <si>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</si>
  <si>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</si>
  <si>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</si>
  <si>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</si>
  <si>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</si>
  <si>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</si>
  <si>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</si>
  <si>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</si>
  <si>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</si>
  <si>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</si>
  <si>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</si>
  <si>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</si>
  <si>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</si>
  <si>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</si>
  <si>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</si>
  <si>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</si>
  <si>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</si>
  <si>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</si>
  <si>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</si>
  <si>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</si>
  <si>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</si>
  <si>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</si>
  <si>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</si>
  <si>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</si>
  <si>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</si>
  <si>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</si>
  <si>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</si>
  <si>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</si>
  <si>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</si>
  <si>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</si>
  <si>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</si>
  <si>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</si>
  <si>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</si>
  <si>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</si>
  <si>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</si>
  <si>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</si>
  <si>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</si>
  <si>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</si>
  <si>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</si>
  <si>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</si>
  <si>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</si>
  <si>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</si>
  <si>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</si>
  <si>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</si>
  <si>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</si>
  <si>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</si>
  <si>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</si>
  <si>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</si>
  <si>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</si>
  <si>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</si>
  <si>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</si>
  <si>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</si>
  <si>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</si>
  <si>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</si>
  <si>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</si>
  <si>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</si>
  <si>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</si>
  <si>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</si>
  <si>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</si>
  <si>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</si>
  <si>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</si>
  <si>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</si>
  <si>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</si>
  <si>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</si>
  <si>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</si>
  <si>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</si>
  <si>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</si>
  <si>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</si>
  <si>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</si>
  <si>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</si>
  <si>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</si>
  <si>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</si>
  <si>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</si>
  <si>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</si>
  <si>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</si>
  <si>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</si>
  <si>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</si>
  <si>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</si>
  <si>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</si>
  <si>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</si>
  <si>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</si>
  <si>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</si>
  <si>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</si>
  <si>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</si>
  <si>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</si>
  <si>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</si>
  <si>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</si>
  <si>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</si>
  <si>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</si>
  <si>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</si>
  <si>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</si>
  <si>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</si>
  <si>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</si>
  <si>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</si>
  <si>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</si>
  <si>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</si>
  <si>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</si>
  <si>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</si>
  <si>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</si>
  <si>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</si>
  <si>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</si>
  <si>
    <t>Mapeamento das fontes de dados da Plataforma : 2CX</t>
  </si>
  <si>
    <t>Mapeamento das fontes de dados da Plataforma : ACTYON</t>
  </si>
  <si>
    <t>Mapeamento das fontes de dados da Plataforma : ASPECT</t>
  </si>
  <si>
    <t>Mapeamento das fontes de dados da Plataforma : OLOS</t>
  </si>
  <si>
    <t>Mapeamento das fontes de dados da Plataforma : SINERGYTECH</t>
  </si>
  <si>
    <t>Mapeamento das fontes de dados da Plataforma : VCOM</t>
  </si>
  <si>
    <t>Mapeamento das fontes de dados Dispersas, Arquivos Etc</t>
  </si>
  <si>
    <t>Criação do documento de Designer e Modelagem de dados (Governança, Catálogo, Dicionário , Metadados)</t>
  </si>
  <si>
    <t>1.3</t>
  </si>
  <si>
    <t>1.4</t>
  </si>
  <si>
    <t>1.5</t>
  </si>
  <si>
    <t>1.6</t>
  </si>
  <si>
    <t>1.7</t>
  </si>
  <si>
    <t>1.8</t>
  </si>
  <si>
    <t>1.9</t>
  </si>
  <si>
    <t>1.10</t>
  </si>
  <si>
    <t>Bruno Lima (DBA-TI)</t>
  </si>
  <si>
    <t>Matheus Alexander (DA-MIS)</t>
  </si>
  <si>
    <t>DBA /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</si>
</sst>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78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  <xf numFmtId="0" fontId="32" fillId="11" borderId="7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6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  <xf numFmtId="166" fontId="31" fillId="11" borderId="6" xfId="0" applyNumberFormat="1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5" fillId="11" borderId="6" xfId="0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Backlog_old!$J$9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45464</c:v>
                </c:pt>
                <c:pt idx="1">
                  <c:v>45463</c:v>
                </c:pt>
                <c:pt idx="2">
                  <c:v>45516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19</c:v>
                </c:pt>
                <c:pt idx="1">
                  <c:v>50</c:v>
                </c:pt>
                <c:pt idx="2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opLeftCell="F1" zoomScale="115" zoomScaleNormal="115" workbookViewId="0">
      <pane ySplit="9" topLeftCell="A10" activePane="bottomLeft" state="frozen"/>
      <selection activeCell="C1" sqref="C1"/>
      <selection pane="bottomLeft" activeCell="J12" sqref="I12:J12"/>
    </sheetView>
  </sheetViews>
  <sheetFormatPr defaultColWidth="9.109375" defaultRowHeight="10.199999999999999"/>
  <cols>
    <col min="1" max="2" width="0.6640625" style="32" customWidth="1"/>
    <col min="3" max="3" width="0.5546875" style="5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0.44140625" style="25" bestFit="1" customWidth="1"/>
    <col min="9" max="9" width="10.33203125" style="25" bestFit="1" customWidth="1"/>
    <col min="10" max="10" width="9.109375" style="25" bestFit="1" customWidth="1"/>
    <col min="11" max="11" width="3.5546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4.109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99999999999999" customHeight="1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99999999999999" customHeight="1">
      <c r="A14" s="58">
        <f t="shared" si="1"/>
        <v>1</v>
      </c>
      <c r="B14" s="58">
        <f t="shared" si="2"/>
        <v>0</v>
      </c>
      <c r="C14" s="53"/>
      <c r="D14" s="65" t="s">
        <v>104</v>
      </c>
      <c r="E14" s="66" t="s">
        <v>116</v>
      </c>
      <c r="F14" s="66" t="s">
        <v>108</v>
      </c>
      <c r="G14" s="67" t="s">
        <v>110</v>
      </c>
      <c r="H14" s="68" t="s">
        <v>5</v>
      </c>
      <c r="I14" s="69" t="s">
        <v>112</v>
      </c>
      <c r="J14" s="70">
        <v>45463</v>
      </c>
      <c r="K14" s="70"/>
      <c r="L14" s="70"/>
      <c r="M14" s="70">
        <v>45484</v>
      </c>
      <c r="N14" s="71">
        <f t="shared" si="3"/>
        <v>16</v>
      </c>
      <c r="O14" s="71"/>
      <c r="P14" s="25"/>
      <c r="Q14" s="32">
        <f>COUNTIF(Q9,H:H)</f>
        <v>1</v>
      </c>
      <c r="T14" s="59"/>
    </row>
    <row r="15" spans="1:20" ht="10.199999999999999" customHeight="1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3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99999999999999" customHeight="1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99999999999999" customHeight="1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99999999999999" customHeight="1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99999999999999" customHeight="1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3">
        <f>J19+2</f>
        <v>45490</v>
      </c>
      <c r="N19" s="38">
        <f t="shared" si="3"/>
        <v>3</v>
      </c>
      <c r="O19" s="38"/>
      <c r="P19" s="25"/>
      <c r="T19" s="59"/>
    </row>
    <row r="20" spans="1:20" ht="10.199999999999999" customHeight="1">
      <c r="A20" s="58">
        <f t="shared" si="4"/>
        <v>1</v>
      </c>
      <c r="B20" s="58">
        <f t="shared" si="5"/>
        <v>0</v>
      </c>
      <c r="C20" s="53"/>
      <c r="D20" s="65" t="s">
        <v>105</v>
      </c>
      <c r="E20" s="66" t="s">
        <v>121</v>
      </c>
      <c r="F20" s="66" t="s">
        <v>108</v>
      </c>
      <c r="G20" s="72" t="s">
        <v>111</v>
      </c>
      <c r="H20" s="68" t="s">
        <v>5</v>
      </c>
      <c r="I20" s="69" t="s">
        <v>112</v>
      </c>
      <c r="J20" s="70">
        <v>45485</v>
      </c>
      <c r="K20" s="70"/>
      <c r="L20" s="73"/>
      <c r="M20" s="70">
        <v>45513</v>
      </c>
      <c r="N20" s="71">
        <f t="shared" si="3"/>
        <v>21</v>
      </c>
      <c r="O20" s="71"/>
      <c r="P20" s="25"/>
      <c r="Q20" s="41"/>
      <c r="T20" s="59"/>
    </row>
    <row r="21" spans="1:20" ht="10.199999999999999" customHeight="1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3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99999999999999" customHeight="1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 t="shared" ref="J22:J27" si="6"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99999999999999" customHeight="1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 t="shared" si="6"/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99999999999999" customHeight="1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 t="shared" si="6"/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99999999999999" customHeight="1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 t="shared" si="6"/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99999999999999" customHeight="1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 t="shared" si="6"/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99999999999999" customHeight="1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 t="shared" si="6"/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99999999999999" customHeight="1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3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99999999999999" customHeight="1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99999999999999" customHeight="1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>
      <c r="A33" s="57"/>
      <c r="B33" s="57"/>
      <c r="C33" s="53"/>
      <c r="O33" s="38"/>
      <c r="P33" s="59"/>
      <c r="T33" s="59"/>
    </row>
    <row r="34" spans="1:20">
      <c r="A34" s="57"/>
      <c r="B34" s="57"/>
      <c r="C34" s="53"/>
      <c r="O34" s="38"/>
      <c r="P34" s="42"/>
      <c r="T34" s="59"/>
    </row>
    <row r="35" spans="1:20">
      <c r="A35" s="57"/>
      <c r="B35" s="57"/>
      <c r="C35" s="53"/>
      <c r="O35" s="38"/>
      <c r="P35" s="42"/>
      <c r="T35" s="59"/>
    </row>
    <row r="36" spans="1:20">
      <c r="A36" s="57"/>
      <c r="B36" s="57"/>
      <c r="C36" s="53"/>
      <c r="O36" s="38"/>
      <c r="P36" s="42"/>
      <c r="T36" s="59"/>
    </row>
    <row r="37" spans="1:20">
      <c r="A37" s="57"/>
      <c r="G37" s="30"/>
      <c r="H37" s="30"/>
      <c r="K37" s="30"/>
      <c r="L37" s="30"/>
      <c r="O37" s="38"/>
      <c r="P37" s="42"/>
      <c r="T37" s="59"/>
    </row>
    <row r="38" spans="1:20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10:J29 M10:M29 J29:L29 J30:M30 J31:J32 M31:M32 J32:L32">
    <cfRule type="cellIs" dxfId="19" priority="28" operator="equal">
      <formula>$M$9</formula>
    </cfRule>
    <cfRule type="cellIs" dxfId="18" priority="29" operator="lessThan">
      <formula>$M$9</formula>
    </cfRule>
    <cfRule type="cellIs" dxfId="17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H10:H32 H37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B0BB-9507-4135-B959-50A7099FB851}">
  <dimension ref="A1:T51"/>
  <sheetViews>
    <sheetView showGridLines="0" tabSelected="1" topLeftCell="D1" zoomScale="85" zoomScaleNormal="85" workbookViewId="0">
      <pane ySplit="9" topLeftCell="A10" activePane="bottomLeft" state="frozen"/>
      <selection activeCell="C1" sqref="C1"/>
      <selection pane="bottomLeft" activeCell="Q22" sqref="Q22"/>
    </sheetView>
  </sheetViews>
  <sheetFormatPr defaultColWidth="9.109375" defaultRowHeight="10.199999999999999"/>
  <cols>
    <col min="1" max="1" width="4.5546875" style="32" hidden="1" customWidth="1"/>
    <col min="2" max="2" width="3.5546875" style="32" hidden="1" customWidth="1"/>
    <col min="3" max="3" width="4" style="51" hidden="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1.21875" style="25" bestFit="1" customWidth="1"/>
    <col min="9" max="9" width="18.77734375" style="25" bestFit="1" customWidth="1"/>
    <col min="10" max="10" width="9.109375" style="25" bestFit="1" customWidth="1"/>
    <col min="11" max="11" width="7.21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7.77734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:A40" si="0">IF(H10="-",0,1)</f>
        <v>1</v>
      </c>
      <c r="B10" s="58">
        <f>INDEX($P$10:$P$12,MATCH(H10,$Q$7:$Q$9,0))</f>
        <v>1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3</v>
      </c>
      <c r="I10" s="28" t="s">
        <v>170</v>
      </c>
      <c r="J10" s="54">
        <v>45464</v>
      </c>
      <c r="K10" s="55"/>
      <c r="L10" s="56"/>
      <c r="M10" s="54">
        <f>J10+10</f>
        <v>45474</v>
      </c>
      <c r="N10" s="38">
        <f>IFERROR(NETWORKDAYS(J10,M10),0)</f>
        <v>7</v>
      </c>
      <c r="O10" s="38"/>
      <c r="P10" s="25">
        <v>1</v>
      </c>
      <c r="Q10" s="25"/>
      <c r="T10" s="59"/>
    </row>
    <row r="11" spans="1:20">
      <c r="A11" s="58">
        <f t="shared" si="0"/>
        <v>1</v>
      </c>
      <c r="B11" s="58">
        <f t="shared" ref="B11:B40" si="1">INDEX($P$10:$P$12,MATCH(H11,$Q$7:$Q$9,0))</f>
        <v>1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3</v>
      </c>
      <c r="I11" s="28" t="s">
        <v>170</v>
      </c>
      <c r="J11" s="54">
        <v>45469</v>
      </c>
      <c r="K11" s="56"/>
      <c r="L11" s="56"/>
      <c r="M11" s="54">
        <f>J11+9</f>
        <v>45478</v>
      </c>
      <c r="N11" s="38">
        <f t="shared" ref="N11:N36" si="2">IFERROR(NETWORKDAYS(J11,M11),0)</f>
        <v>8</v>
      </c>
      <c r="O11" s="38"/>
      <c r="P11" s="25">
        <v>0.5</v>
      </c>
      <c r="Q11" s="32">
        <f>COUNTIF(Q7,H:H)</f>
        <v>1</v>
      </c>
      <c r="T11" s="59"/>
    </row>
    <row r="12" spans="1:20">
      <c r="A12" s="58">
        <f t="shared" si="0"/>
        <v>1</v>
      </c>
      <c r="B12" s="58">
        <f t="shared" si="1"/>
        <v>1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3</v>
      </c>
      <c r="I12" s="28" t="s">
        <v>170</v>
      </c>
      <c r="J12" s="54">
        <v>45476</v>
      </c>
      <c r="K12" s="56"/>
      <c r="L12" s="56"/>
      <c r="M12" s="54">
        <f>J12+7</f>
        <v>45483</v>
      </c>
      <c r="N12" s="38">
        <f t="shared" si="2"/>
        <v>6</v>
      </c>
      <c r="O12" s="38"/>
      <c r="P12" s="25">
        <v>0</v>
      </c>
      <c r="T12" s="59"/>
    </row>
    <row r="13" spans="1:20">
      <c r="A13" s="58">
        <f t="shared" si="0"/>
        <v>1</v>
      </c>
      <c r="B13" s="58">
        <f t="shared" si="1"/>
        <v>1</v>
      </c>
      <c r="C13" s="53"/>
      <c r="D13" s="26" t="s">
        <v>103</v>
      </c>
      <c r="E13" s="31" t="s">
        <v>162</v>
      </c>
      <c r="F13" s="31" t="s">
        <v>90</v>
      </c>
      <c r="G13" s="37" t="s">
        <v>154</v>
      </c>
      <c r="H13" s="27" t="s">
        <v>3</v>
      </c>
      <c r="I13" s="28" t="s">
        <v>171</v>
      </c>
      <c r="J13" s="54">
        <v>45467</v>
      </c>
      <c r="K13" s="56"/>
      <c r="L13" s="56"/>
      <c r="M13" s="54">
        <v>45477</v>
      </c>
      <c r="N13" s="38">
        <f t="shared" si="2"/>
        <v>9</v>
      </c>
      <c r="O13" s="38"/>
      <c r="P13" s="25"/>
      <c r="T13" s="59"/>
    </row>
    <row r="14" spans="1:20">
      <c r="A14" s="58">
        <f t="shared" si="0"/>
        <v>1</v>
      </c>
      <c r="B14" s="58">
        <f t="shared" si="1"/>
        <v>1</v>
      </c>
      <c r="C14" s="53"/>
      <c r="D14" s="26" t="s">
        <v>103</v>
      </c>
      <c r="E14" s="31" t="s">
        <v>163</v>
      </c>
      <c r="F14" s="31" t="s">
        <v>90</v>
      </c>
      <c r="G14" s="37" t="s">
        <v>155</v>
      </c>
      <c r="H14" s="27" t="s">
        <v>3</v>
      </c>
      <c r="I14" s="28" t="s">
        <v>171</v>
      </c>
      <c r="J14" s="54">
        <v>45468</v>
      </c>
      <c r="K14" s="56"/>
      <c r="L14" s="56"/>
      <c r="M14" s="54">
        <v>45488</v>
      </c>
      <c r="N14" s="38">
        <f t="shared" si="2"/>
        <v>15</v>
      </c>
      <c r="O14" s="38"/>
      <c r="P14" s="25"/>
      <c r="T14" s="59"/>
    </row>
    <row r="15" spans="1:20">
      <c r="A15" s="58">
        <f t="shared" si="0"/>
        <v>1</v>
      </c>
      <c r="B15" s="58">
        <f t="shared" si="1"/>
        <v>0.5</v>
      </c>
      <c r="C15" s="53"/>
      <c r="D15" s="26" t="s">
        <v>103</v>
      </c>
      <c r="E15" s="31" t="s">
        <v>164</v>
      </c>
      <c r="F15" s="31" t="s">
        <v>90</v>
      </c>
      <c r="G15" s="37" t="s">
        <v>156</v>
      </c>
      <c r="H15" s="27" t="s">
        <v>4</v>
      </c>
      <c r="I15" s="28" t="s">
        <v>171</v>
      </c>
      <c r="J15" s="54">
        <v>45468</v>
      </c>
      <c r="K15" s="56"/>
      <c r="L15" s="56"/>
      <c r="M15" s="54">
        <v>45492</v>
      </c>
      <c r="N15" s="38">
        <f t="shared" si="2"/>
        <v>19</v>
      </c>
      <c r="O15" s="38"/>
      <c r="P15" s="25"/>
      <c r="T15" s="59"/>
    </row>
    <row r="16" spans="1:20">
      <c r="A16" s="58">
        <f t="shared" si="0"/>
        <v>1</v>
      </c>
      <c r="B16" s="58">
        <f t="shared" si="1"/>
        <v>0.5</v>
      </c>
      <c r="C16" s="53"/>
      <c r="D16" s="26" t="s">
        <v>103</v>
      </c>
      <c r="E16" s="31" t="s">
        <v>165</v>
      </c>
      <c r="F16" s="31" t="s">
        <v>90</v>
      </c>
      <c r="G16" s="37" t="s">
        <v>157</v>
      </c>
      <c r="H16" s="27" t="s">
        <v>4</v>
      </c>
      <c r="I16" s="28" t="s">
        <v>171</v>
      </c>
      <c r="J16" s="54">
        <v>45467</v>
      </c>
      <c r="K16" s="56"/>
      <c r="L16" s="56"/>
      <c r="M16" s="54">
        <v>45495</v>
      </c>
      <c r="N16" s="38">
        <f t="shared" si="2"/>
        <v>21</v>
      </c>
      <c r="O16" s="38"/>
      <c r="P16" s="25"/>
      <c r="T16" s="59"/>
    </row>
    <row r="17" spans="1:20">
      <c r="A17" s="58">
        <f t="shared" si="0"/>
        <v>1</v>
      </c>
      <c r="B17" s="58">
        <f t="shared" si="1"/>
        <v>1</v>
      </c>
      <c r="C17" s="53"/>
      <c r="D17" s="26" t="s">
        <v>103</v>
      </c>
      <c r="E17" s="31" t="s">
        <v>166</v>
      </c>
      <c r="F17" s="31" t="s">
        <v>90</v>
      </c>
      <c r="G17" s="37" t="s">
        <v>158</v>
      </c>
      <c r="H17" s="27" t="s">
        <v>3</v>
      </c>
      <c r="I17" s="28" t="s">
        <v>171</v>
      </c>
      <c r="J17" s="54">
        <v>45469</v>
      </c>
      <c r="K17" s="56"/>
      <c r="L17" s="56"/>
      <c r="M17" s="54">
        <v>45502</v>
      </c>
      <c r="N17" s="38">
        <f t="shared" si="2"/>
        <v>24</v>
      </c>
      <c r="O17" s="38"/>
      <c r="P17" s="25"/>
      <c r="T17" s="59"/>
    </row>
    <row r="18" spans="1:20">
      <c r="A18" s="58">
        <f t="shared" si="0"/>
        <v>1</v>
      </c>
      <c r="B18" s="58">
        <f t="shared" si="1"/>
        <v>1</v>
      </c>
      <c r="C18" s="53"/>
      <c r="D18" s="26" t="s">
        <v>103</v>
      </c>
      <c r="E18" s="31" t="s">
        <v>167</v>
      </c>
      <c r="F18" s="31" t="s">
        <v>90</v>
      </c>
      <c r="G18" s="37" t="s">
        <v>159</v>
      </c>
      <c r="H18" s="27" t="s">
        <v>3</v>
      </c>
      <c r="I18" s="28" t="s">
        <v>171</v>
      </c>
      <c r="J18" s="54">
        <v>45469</v>
      </c>
      <c r="K18" s="56"/>
      <c r="L18" s="56"/>
      <c r="M18" s="54">
        <v>45485</v>
      </c>
      <c r="N18" s="38">
        <f t="shared" si="2"/>
        <v>13</v>
      </c>
      <c r="O18" s="38"/>
      <c r="P18" s="25"/>
      <c r="T18" s="59"/>
    </row>
    <row r="19" spans="1:20">
      <c r="A19" s="58">
        <f t="shared" si="0"/>
        <v>1</v>
      </c>
      <c r="B19" s="58">
        <f t="shared" si="1"/>
        <v>0.5</v>
      </c>
      <c r="C19" s="53"/>
      <c r="D19" s="26" t="s">
        <v>103</v>
      </c>
      <c r="E19" s="31" t="s">
        <v>168</v>
      </c>
      <c r="F19" s="31" t="s">
        <v>90</v>
      </c>
      <c r="G19" s="37" t="s">
        <v>160</v>
      </c>
      <c r="H19" s="27" t="s">
        <v>4</v>
      </c>
      <c r="I19" s="28" t="s">
        <v>171</v>
      </c>
      <c r="J19" s="54">
        <v>45495</v>
      </c>
      <c r="K19" s="56"/>
      <c r="L19" s="56"/>
      <c r="M19" s="54">
        <v>45503</v>
      </c>
      <c r="N19" s="38">
        <f t="shared" si="2"/>
        <v>7</v>
      </c>
      <c r="O19" s="38"/>
      <c r="P19" s="25"/>
      <c r="T19" s="59"/>
    </row>
    <row r="20" spans="1:20">
      <c r="A20" s="58">
        <f t="shared" si="0"/>
        <v>1</v>
      </c>
      <c r="B20" s="58">
        <f t="shared" si="1"/>
        <v>0.5</v>
      </c>
      <c r="C20" s="53"/>
      <c r="D20" s="26" t="s">
        <v>103</v>
      </c>
      <c r="E20" s="31" t="s">
        <v>169</v>
      </c>
      <c r="F20" s="31" t="s">
        <v>90</v>
      </c>
      <c r="G20" s="37" t="s">
        <v>161</v>
      </c>
      <c r="H20" s="27" t="s">
        <v>4</v>
      </c>
      <c r="I20" s="28" t="s">
        <v>171</v>
      </c>
      <c r="J20" s="54">
        <v>45467</v>
      </c>
      <c r="K20" s="56"/>
      <c r="L20" s="56"/>
      <c r="M20" s="54">
        <v>45503</v>
      </c>
      <c r="N20" s="38">
        <f t="shared" si="2"/>
        <v>27</v>
      </c>
      <c r="O20" s="38"/>
      <c r="P20" s="25"/>
      <c r="T20" s="59"/>
    </row>
    <row r="21" spans="1:20" ht="10.199999999999999" customHeight="1">
      <c r="A21" s="58">
        <f t="shared" si="0"/>
        <v>1</v>
      </c>
      <c r="B21" s="58">
        <f t="shared" si="1"/>
        <v>0.5</v>
      </c>
      <c r="C21" s="53"/>
      <c r="D21" s="26" t="s">
        <v>104</v>
      </c>
      <c r="E21" s="31" t="s">
        <v>100</v>
      </c>
      <c r="F21" s="31" t="s">
        <v>108</v>
      </c>
      <c r="G21" s="37" t="s">
        <v>94</v>
      </c>
      <c r="H21" s="27" t="s">
        <v>4</v>
      </c>
      <c r="I21" s="28" t="s">
        <v>172</v>
      </c>
      <c r="J21" s="54">
        <v>45471</v>
      </c>
      <c r="K21" s="56"/>
      <c r="L21" s="56"/>
      <c r="M21" s="54">
        <v>45527</v>
      </c>
      <c r="N21" s="38">
        <f t="shared" si="2"/>
        <v>41</v>
      </c>
      <c r="O21" s="54"/>
      <c r="P21" s="25"/>
      <c r="Q21" s="32">
        <f>COUNTIF(Q8,H:H)</f>
        <v>1</v>
      </c>
      <c r="T21" s="59"/>
    </row>
    <row r="22" spans="1:20" ht="10.8" customHeight="1">
      <c r="A22" s="58">
        <f t="shared" si="0"/>
        <v>1</v>
      </c>
      <c r="B22" s="58">
        <f t="shared" si="1"/>
        <v>0</v>
      </c>
      <c r="C22" s="53"/>
      <c r="D22" s="65" t="s">
        <v>104</v>
      </c>
      <c r="E22" s="66" t="s">
        <v>116</v>
      </c>
      <c r="F22" s="66" t="s">
        <v>108</v>
      </c>
      <c r="G22" s="67" t="s">
        <v>110</v>
      </c>
      <c r="H22" s="68" t="s">
        <v>5</v>
      </c>
      <c r="I22" s="69" t="s">
        <v>172</v>
      </c>
      <c r="J22" s="70">
        <v>45463</v>
      </c>
      <c r="K22" s="70"/>
      <c r="L22" s="70"/>
      <c r="M22" s="70">
        <f>M27</f>
        <v>45504</v>
      </c>
      <c r="N22" s="71">
        <f t="shared" si="2"/>
        <v>30</v>
      </c>
      <c r="O22" s="71"/>
      <c r="P22" s="25"/>
      <c r="Q22" s="32">
        <f>COUNTIF(Q9,H:H)</f>
        <v>1</v>
      </c>
      <c r="T22" s="59"/>
    </row>
    <row r="23" spans="1:20" ht="10.199999999999999" customHeight="1">
      <c r="A23" s="58">
        <f t="shared" si="0"/>
        <v>1</v>
      </c>
      <c r="B23" s="58">
        <f t="shared" si="1"/>
        <v>0.5</v>
      </c>
      <c r="C23" s="53"/>
      <c r="D23" s="26" t="s">
        <v>104</v>
      </c>
      <c r="E23" s="31" t="s">
        <v>117</v>
      </c>
      <c r="F23" s="31" t="s">
        <v>108</v>
      </c>
      <c r="G23" s="38" t="s">
        <v>129</v>
      </c>
      <c r="H23" s="27" t="s">
        <v>4</v>
      </c>
      <c r="I23" s="28" t="s">
        <v>171</v>
      </c>
      <c r="J23" s="63">
        <f>M12+1</f>
        <v>45484</v>
      </c>
      <c r="K23" s="54"/>
      <c r="L23" s="54"/>
      <c r="M23" s="54">
        <f>J23+4</f>
        <v>45488</v>
      </c>
      <c r="N23" s="38">
        <f t="shared" si="2"/>
        <v>3</v>
      </c>
      <c r="O23" s="38"/>
      <c r="P23" s="25"/>
      <c r="T23" s="59"/>
    </row>
    <row r="24" spans="1:20" ht="10.199999999999999" customHeight="1">
      <c r="A24" s="58">
        <f t="shared" si="0"/>
        <v>1</v>
      </c>
      <c r="B24" s="58">
        <f t="shared" si="1"/>
        <v>0</v>
      </c>
      <c r="C24" s="53"/>
      <c r="D24" s="26" t="s">
        <v>104</v>
      </c>
      <c r="E24" s="31" t="s">
        <v>118</v>
      </c>
      <c r="F24" s="31" t="s">
        <v>108</v>
      </c>
      <c r="G24" s="38" t="s">
        <v>130</v>
      </c>
      <c r="H24" s="27" t="s">
        <v>5</v>
      </c>
      <c r="I24" s="28" t="s">
        <v>171</v>
      </c>
      <c r="J24" s="54">
        <f>M23+1</f>
        <v>45489</v>
      </c>
      <c r="K24" s="54"/>
      <c r="L24" s="54"/>
      <c r="M24" s="54">
        <f>J24+3</f>
        <v>45492</v>
      </c>
      <c r="N24" s="38">
        <f t="shared" si="2"/>
        <v>4</v>
      </c>
      <c r="O24" s="38"/>
      <c r="P24" s="25"/>
      <c r="T24" s="59"/>
    </row>
    <row r="25" spans="1:20" ht="10.199999999999999" customHeight="1">
      <c r="A25" s="58">
        <f t="shared" si="0"/>
        <v>1</v>
      </c>
      <c r="B25" s="58">
        <f t="shared" si="1"/>
        <v>0</v>
      </c>
      <c r="C25" s="53"/>
      <c r="D25" s="26" t="s">
        <v>104</v>
      </c>
      <c r="E25" s="31" t="s">
        <v>119</v>
      </c>
      <c r="F25" s="31" t="s">
        <v>108</v>
      </c>
      <c r="G25" s="38" t="s">
        <v>131</v>
      </c>
      <c r="H25" s="27" t="s">
        <v>5</v>
      </c>
      <c r="I25" s="28" t="s">
        <v>171</v>
      </c>
      <c r="J25" s="54">
        <f>M24+3</f>
        <v>45495</v>
      </c>
      <c r="K25" s="54"/>
      <c r="L25" s="54"/>
      <c r="M25" s="54">
        <f>J25+2</f>
        <v>45497</v>
      </c>
      <c r="N25" s="38">
        <f t="shared" si="2"/>
        <v>3</v>
      </c>
      <c r="O25" s="38"/>
      <c r="P25" s="25"/>
      <c r="T25" s="59"/>
    </row>
    <row r="26" spans="1:20" ht="10.199999999999999" customHeight="1">
      <c r="A26" s="58">
        <f t="shared" si="0"/>
        <v>1</v>
      </c>
      <c r="B26" s="58">
        <f t="shared" si="1"/>
        <v>0</v>
      </c>
      <c r="C26" s="53"/>
      <c r="D26" s="26" t="s">
        <v>104</v>
      </c>
      <c r="E26" s="31" t="s">
        <v>120</v>
      </c>
      <c r="F26" s="31" t="s">
        <v>108</v>
      </c>
      <c r="G26" s="38" t="s">
        <v>132</v>
      </c>
      <c r="H26" s="27" t="s">
        <v>5</v>
      </c>
      <c r="I26" s="28" t="s">
        <v>171</v>
      </c>
      <c r="J26" s="54">
        <f>M25+1</f>
        <v>45498</v>
      </c>
      <c r="K26" s="54"/>
      <c r="L26" s="54"/>
      <c r="M26" s="54">
        <f>J26+4</f>
        <v>45502</v>
      </c>
      <c r="N26" s="38">
        <f t="shared" si="2"/>
        <v>3</v>
      </c>
      <c r="O26" s="38"/>
      <c r="P26" s="25"/>
      <c r="T26" s="59"/>
    </row>
    <row r="27" spans="1:20" ht="10.199999999999999" customHeight="1">
      <c r="A27" s="58">
        <f t="shared" si="0"/>
        <v>1</v>
      </c>
      <c r="B27" s="58">
        <f t="shared" si="1"/>
        <v>0</v>
      </c>
      <c r="C27" s="53"/>
      <c r="D27" s="26" t="s">
        <v>104</v>
      </c>
      <c r="E27" s="31" t="s">
        <v>143</v>
      </c>
      <c r="F27" s="31" t="s">
        <v>108</v>
      </c>
      <c r="G27" s="38" t="s">
        <v>137</v>
      </c>
      <c r="H27" s="27" t="s">
        <v>5</v>
      </c>
      <c r="I27" s="28" t="s">
        <v>171</v>
      </c>
      <c r="J27" s="54">
        <f>M26+1</f>
        <v>45503</v>
      </c>
      <c r="K27" s="54"/>
      <c r="L27" s="54"/>
      <c r="M27" s="63">
        <f>J27+1</f>
        <v>45504</v>
      </c>
      <c r="N27" s="38">
        <f t="shared" si="2"/>
        <v>2</v>
      </c>
      <c r="O27" s="38"/>
      <c r="P27" s="25"/>
      <c r="T27" s="59"/>
    </row>
    <row r="28" spans="1:20" ht="10.199999999999999" customHeight="1">
      <c r="A28" s="58">
        <f t="shared" si="0"/>
        <v>1</v>
      </c>
      <c r="B28" s="58">
        <f t="shared" si="1"/>
        <v>0</v>
      </c>
      <c r="C28" s="53"/>
      <c r="D28" s="65" t="s">
        <v>105</v>
      </c>
      <c r="E28" s="66" t="s">
        <v>121</v>
      </c>
      <c r="F28" s="66" t="s">
        <v>108</v>
      </c>
      <c r="G28" s="72" t="s">
        <v>111</v>
      </c>
      <c r="H28" s="68" t="s">
        <v>5</v>
      </c>
      <c r="I28" s="69" t="s">
        <v>172</v>
      </c>
      <c r="J28" s="70">
        <f>M27+3</f>
        <v>45507</v>
      </c>
      <c r="K28" s="70"/>
      <c r="L28" s="73"/>
      <c r="M28" s="70">
        <f>M36</f>
        <v>45534</v>
      </c>
      <c r="N28" s="71">
        <f t="shared" si="2"/>
        <v>20</v>
      </c>
      <c r="O28" s="71"/>
      <c r="P28" s="25"/>
      <c r="Q28" s="41"/>
      <c r="T28" s="59"/>
    </row>
    <row r="29" spans="1:20" ht="10.199999999999999" customHeight="1">
      <c r="A29" s="58">
        <f t="shared" si="0"/>
        <v>1</v>
      </c>
      <c r="B29" s="58">
        <f t="shared" si="1"/>
        <v>0</v>
      </c>
      <c r="C29" s="53"/>
      <c r="D29" s="26" t="s">
        <v>105</v>
      </c>
      <c r="E29" s="31" t="s">
        <v>122</v>
      </c>
      <c r="F29" s="31" t="s">
        <v>108</v>
      </c>
      <c r="G29" s="37" t="s">
        <v>128</v>
      </c>
      <c r="H29" s="27" t="s">
        <v>5</v>
      </c>
      <c r="I29" s="28" t="s">
        <v>171</v>
      </c>
      <c r="J29" s="63">
        <f>M27+1</f>
        <v>45505</v>
      </c>
      <c r="K29" s="54"/>
      <c r="L29" s="56"/>
      <c r="M29" s="54">
        <f>J29+1</f>
        <v>45506</v>
      </c>
      <c r="N29" s="38">
        <f t="shared" si="2"/>
        <v>2</v>
      </c>
      <c r="O29" s="38"/>
      <c r="P29" s="25"/>
      <c r="Q29" s="41"/>
      <c r="T29" s="59"/>
    </row>
    <row r="30" spans="1:20" ht="10.199999999999999" customHeight="1">
      <c r="A30" s="58">
        <f t="shared" si="0"/>
        <v>1</v>
      </c>
      <c r="B30" s="58">
        <f t="shared" si="1"/>
        <v>0</v>
      </c>
      <c r="C30" s="53"/>
      <c r="D30" s="26" t="s">
        <v>105</v>
      </c>
      <c r="E30" s="31" t="s">
        <v>123</v>
      </c>
      <c r="F30" s="31" t="s">
        <v>108</v>
      </c>
      <c r="G30" s="37" t="s">
        <v>135</v>
      </c>
      <c r="H30" s="27" t="s">
        <v>5</v>
      </c>
      <c r="I30" s="28" t="s">
        <v>171</v>
      </c>
      <c r="J30" s="54">
        <f>M29+3</f>
        <v>45509</v>
      </c>
      <c r="K30" s="54"/>
      <c r="L30" s="56"/>
      <c r="M30" s="54">
        <f>J30+4</f>
        <v>45513</v>
      </c>
      <c r="N30" s="38">
        <f t="shared" si="2"/>
        <v>5</v>
      </c>
      <c r="O30" s="38"/>
      <c r="P30" s="25"/>
      <c r="Q30" s="41"/>
      <c r="T30" s="59"/>
    </row>
    <row r="31" spans="1:20" ht="10.199999999999999" customHeight="1">
      <c r="A31" s="58">
        <f t="shared" si="0"/>
        <v>1</v>
      </c>
      <c r="B31" s="58">
        <f t="shared" si="1"/>
        <v>0</v>
      </c>
      <c r="C31" s="53"/>
      <c r="D31" s="26" t="s">
        <v>105</v>
      </c>
      <c r="E31" s="31" t="s">
        <v>124</v>
      </c>
      <c r="F31" s="31" t="s">
        <v>108</v>
      </c>
      <c r="G31" s="37" t="s">
        <v>133</v>
      </c>
      <c r="H31" s="27" t="s">
        <v>5</v>
      </c>
      <c r="I31" s="28" t="s">
        <v>171</v>
      </c>
      <c r="J31" s="54">
        <f>M30+3</f>
        <v>45516</v>
      </c>
      <c r="K31" s="54"/>
      <c r="L31" s="56"/>
      <c r="M31" s="54">
        <f>J31+1</f>
        <v>45517</v>
      </c>
      <c r="N31" s="38">
        <f t="shared" si="2"/>
        <v>2</v>
      </c>
      <c r="O31" s="38"/>
      <c r="P31" s="25"/>
      <c r="Q31" s="41"/>
      <c r="T31" s="59"/>
    </row>
    <row r="32" spans="1:20" ht="10.199999999999999" customHeight="1">
      <c r="A32" s="58">
        <f t="shared" si="0"/>
        <v>1</v>
      </c>
      <c r="B32" s="58">
        <f t="shared" si="1"/>
        <v>0</v>
      </c>
      <c r="C32" s="53"/>
      <c r="D32" s="26" t="s">
        <v>105</v>
      </c>
      <c r="E32" s="31" t="s">
        <v>125</v>
      </c>
      <c r="F32" s="31" t="s">
        <v>108</v>
      </c>
      <c r="G32" s="37" t="s">
        <v>134</v>
      </c>
      <c r="H32" s="27" t="s">
        <v>5</v>
      </c>
      <c r="I32" s="28" t="s">
        <v>171</v>
      </c>
      <c r="J32" s="54">
        <f>M31+1</f>
        <v>45518</v>
      </c>
      <c r="K32" s="54"/>
      <c r="L32" s="56"/>
      <c r="M32" s="54">
        <f>J32+2</f>
        <v>45520</v>
      </c>
      <c r="N32" s="38">
        <f t="shared" si="2"/>
        <v>3</v>
      </c>
      <c r="O32" s="38"/>
      <c r="P32" s="25"/>
      <c r="Q32" s="41"/>
      <c r="T32" s="59"/>
    </row>
    <row r="33" spans="1:20" ht="10.199999999999999" customHeight="1">
      <c r="A33" s="58">
        <f t="shared" si="0"/>
        <v>1</v>
      </c>
      <c r="B33" s="58">
        <f t="shared" si="1"/>
        <v>0</v>
      </c>
      <c r="C33" s="53"/>
      <c r="D33" s="26" t="s">
        <v>105</v>
      </c>
      <c r="E33" s="31" t="s">
        <v>126</v>
      </c>
      <c r="F33" s="31" t="s">
        <v>108</v>
      </c>
      <c r="G33" s="37" t="s">
        <v>136</v>
      </c>
      <c r="H33" s="27" t="s">
        <v>5</v>
      </c>
      <c r="I33" s="28" t="s">
        <v>171</v>
      </c>
      <c r="J33" s="54">
        <f>M32+3</f>
        <v>45523</v>
      </c>
      <c r="K33" s="54"/>
      <c r="L33" s="56"/>
      <c r="M33" s="54">
        <f>J33+1</f>
        <v>45524</v>
      </c>
      <c r="N33" s="38">
        <f t="shared" si="2"/>
        <v>2</v>
      </c>
      <c r="O33" s="38"/>
      <c r="P33" s="25"/>
      <c r="Q33" s="41"/>
      <c r="T33" s="59"/>
    </row>
    <row r="34" spans="1:20" ht="10.199999999999999" customHeight="1">
      <c r="A34" s="58">
        <f t="shared" si="0"/>
        <v>1</v>
      </c>
      <c r="B34" s="58">
        <f t="shared" si="1"/>
        <v>0</v>
      </c>
      <c r="C34" s="53"/>
      <c r="D34" s="26" t="s">
        <v>105</v>
      </c>
      <c r="E34" s="31" t="s">
        <v>127</v>
      </c>
      <c r="F34" s="31" t="s">
        <v>108</v>
      </c>
      <c r="G34" s="38" t="s">
        <v>138</v>
      </c>
      <c r="H34" s="27" t="s">
        <v>5</v>
      </c>
      <c r="I34" s="28" t="s">
        <v>171</v>
      </c>
      <c r="J34" s="54">
        <f>M33+1</f>
        <v>45525</v>
      </c>
      <c r="K34" s="54"/>
      <c r="L34" s="56"/>
      <c r="M34" s="54">
        <f>J34+2</f>
        <v>45527</v>
      </c>
      <c r="N34" s="38">
        <f t="shared" si="2"/>
        <v>3</v>
      </c>
      <c r="O34" s="38"/>
      <c r="P34" s="25"/>
      <c r="Q34" s="41"/>
      <c r="T34" s="59"/>
    </row>
    <row r="35" spans="1:20" ht="10.199999999999999" customHeight="1">
      <c r="A35" s="58">
        <f t="shared" si="0"/>
        <v>1</v>
      </c>
      <c r="B35" s="58">
        <f t="shared" si="1"/>
        <v>0</v>
      </c>
      <c r="C35" s="53"/>
      <c r="D35" s="26" t="s">
        <v>105</v>
      </c>
      <c r="E35" s="31" t="s">
        <v>141</v>
      </c>
      <c r="F35" s="31" t="s">
        <v>108</v>
      </c>
      <c r="G35" s="38" t="s">
        <v>139</v>
      </c>
      <c r="H35" s="27" t="s">
        <v>5</v>
      </c>
      <c r="I35" s="28" t="s">
        <v>171</v>
      </c>
      <c r="J35" s="54">
        <f>M34+3</f>
        <v>45530</v>
      </c>
      <c r="K35" s="54"/>
      <c r="L35" s="56"/>
      <c r="M35" s="54">
        <f>J35+2</f>
        <v>45532</v>
      </c>
      <c r="N35" s="38">
        <f t="shared" si="2"/>
        <v>3</v>
      </c>
      <c r="O35" s="38"/>
      <c r="P35" s="25"/>
      <c r="Q35" s="41"/>
      <c r="T35" s="59"/>
    </row>
    <row r="36" spans="1:20" ht="10.199999999999999" customHeight="1">
      <c r="A36" s="58">
        <f t="shared" si="0"/>
        <v>1</v>
      </c>
      <c r="B36" s="58">
        <f t="shared" si="1"/>
        <v>0</v>
      </c>
      <c r="C36" s="53"/>
      <c r="D36" s="26" t="s">
        <v>105</v>
      </c>
      <c r="E36" s="31" t="s">
        <v>142</v>
      </c>
      <c r="F36" s="31" t="s">
        <v>108</v>
      </c>
      <c r="G36" s="38" t="s">
        <v>140</v>
      </c>
      <c r="H36" s="27" t="s">
        <v>5</v>
      </c>
      <c r="I36" s="28" t="s">
        <v>171</v>
      </c>
      <c r="J36" s="54">
        <f>M35+1</f>
        <v>45533</v>
      </c>
      <c r="K36" s="54"/>
      <c r="L36" s="56"/>
      <c r="M36" s="63">
        <f>J36+1</f>
        <v>45534</v>
      </c>
      <c r="N36" s="38">
        <f t="shared" si="2"/>
        <v>2</v>
      </c>
      <c r="O36" s="38"/>
      <c r="P36" s="25"/>
      <c r="Q36" s="41"/>
      <c r="T36" s="59"/>
    </row>
    <row r="37" spans="1:20" ht="10.199999999999999" customHeight="1">
      <c r="A37" s="58">
        <f t="shared" si="0"/>
        <v>1</v>
      </c>
      <c r="B37" s="58">
        <f t="shared" si="1"/>
        <v>0</v>
      </c>
      <c r="C37" s="53"/>
      <c r="D37" s="26" t="s">
        <v>106</v>
      </c>
      <c r="E37" s="31" t="s">
        <v>86</v>
      </c>
      <c r="F37" s="31" t="s">
        <v>108</v>
      </c>
      <c r="G37" s="38" t="s">
        <v>95</v>
      </c>
      <c r="H37" s="27" t="s">
        <v>5</v>
      </c>
      <c r="I37" s="28" t="s">
        <v>172</v>
      </c>
      <c r="J37" s="54">
        <f>M36</f>
        <v>45534</v>
      </c>
      <c r="K37" s="54"/>
      <c r="L37" s="54"/>
      <c r="M37" s="54">
        <f>J37+10</f>
        <v>45544</v>
      </c>
      <c r="N37" s="38">
        <f>IFERROR(NETWORKDAYS(J37,M37),0)</f>
        <v>7</v>
      </c>
      <c r="O37" s="38"/>
      <c r="P37" s="25"/>
      <c r="Q37" s="41"/>
      <c r="T37" s="59"/>
    </row>
    <row r="38" spans="1:20" ht="10.199999999999999" customHeight="1">
      <c r="A38" s="58">
        <f t="shared" si="0"/>
        <v>1</v>
      </c>
      <c r="B38" s="58">
        <f t="shared" si="1"/>
        <v>0</v>
      </c>
      <c r="C38" s="53"/>
      <c r="D38" s="26" t="s">
        <v>106</v>
      </c>
      <c r="E38" s="31" t="s">
        <v>113</v>
      </c>
      <c r="F38" s="31" t="s">
        <v>108</v>
      </c>
      <c r="G38" s="38" t="s">
        <v>96</v>
      </c>
      <c r="H38" s="27" t="s">
        <v>5</v>
      </c>
      <c r="I38" s="28" t="s">
        <v>172</v>
      </c>
      <c r="J38" s="54">
        <f>J37</f>
        <v>45534</v>
      </c>
      <c r="K38" s="54"/>
      <c r="L38" s="54"/>
      <c r="M38" s="54">
        <f>J38+5</f>
        <v>45539</v>
      </c>
      <c r="N38" s="38">
        <f>IFERROR(NETWORKDAYS(J38,M38),0)</f>
        <v>4</v>
      </c>
      <c r="O38" s="38"/>
      <c r="P38" s="59"/>
      <c r="T38" s="59"/>
    </row>
    <row r="39" spans="1:20">
      <c r="A39" s="58">
        <f t="shared" si="0"/>
        <v>1</v>
      </c>
      <c r="B39" s="58">
        <f t="shared" si="1"/>
        <v>0</v>
      </c>
      <c r="C39" s="53"/>
      <c r="D39" s="26" t="s">
        <v>107</v>
      </c>
      <c r="E39" s="31" t="s">
        <v>101</v>
      </c>
      <c r="F39" s="31" t="s">
        <v>109</v>
      </c>
      <c r="G39" s="38" t="s">
        <v>97</v>
      </c>
      <c r="H39" s="27" t="s">
        <v>5</v>
      </c>
      <c r="I39" s="28" t="s">
        <v>172</v>
      </c>
      <c r="J39" s="54">
        <f>M37</f>
        <v>45544</v>
      </c>
      <c r="K39" s="54"/>
      <c r="L39" s="54"/>
      <c r="M39" s="54">
        <f>J39+1</f>
        <v>45545</v>
      </c>
      <c r="N39" s="38">
        <f>IFERROR(NETWORKDAYS(J39,M39),0)</f>
        <v>2</v>
      </c>
      <c r="O39" s="38"/>
      <c r="P39" s="59"/>
      <c r="T39" s="59"/>
    </row>
    <row r="40" spans="1:20">
      <c r="A40" s="58">
        <f t="shared" si="0"/>
        <v>1</v>
      </c>
      <c r="B40" s="58">
        <f t="shared" si="1"/>
        <v>0</v>
      </c>
      <c r="C40" s="53"/>
      <c r="D40" s="26" t="s">
        <v>107</v>
      </c>
      <c r="E40" s="31" t="s">
        <v>88</v>
      </c>
      <c r="F40" s="31" t="s">
        <v>109</v>
      </c>
      <c r="G40" s="38" t="s">
        <v>98</v>
      </c>
      <c r="H40" s="27" t="s">
        <v>5</v>
      </c>
      <c r="I40" s="28" t="s">
        <v>172</v>
      </c>
      <c r="J40" s="54">
        <f>J39+1</f>
        <v>45545</v>
      </c>
      <c r="K40" s="54"/>
      <c r="L40" s="54"/>
      <c r="M40" s="54">
        <f>J40+1</f>
        <v>45546</v>
      </c>
      <c r="N40" s="38">
        <f>IFERROR(NETWORKDAYS(J40,M40),0)</f>
        <v>2</v>
      </c>
      <c r="O40" s="38"/>
      <c r="P40" s="59"/>
      <c r="T40" s="59"/>
    </row>
    <row r="41" spans="1:20">
      <c r="A41" s="57"/>
      <c r="B41" s="57"/>
      <c r="C41" s="53"/>
      <c r="O41" s="38"/>
      <c r="P41" s="59"/>
      <c r="T41" s="59"/>
    </row>
    <row r="42" spans="1:20">
      <c r="A42" s="57"/>
      <c r="B42" s="57"/>
      <c r="C42" s="53"/>
      <c r="O42" s="38"/>
      <c r="P42" s="42"/>
      <c r="T42" s="59"/>
    </row>
    <row r="43" spans="1:20">
      <c r="A43" s="57"/>
      <c r="B43" s="57"/>
      <c r="C43" s="53"/>
      <c r="O43" s="38"/>
      <c r="P43" s="42"/>
      <c r="T43" s="59"/>
    </row>
    <row r="44" spans="1:20">
      <c r="A44" s="57"/>
      <c r="B44" s="57"/>
      <c r="C44" s="53"/>
      <c r="O44" s="38"/>
      <c r="P44" s="42"/>
      <c r="T44" s="59"/>
    </row>
    <row r="45" spans="1:20">
      <c r="A45" s="57"/>
      <c r="G45" s="30"/>
      <c r="H45" s="30"/>
      <c r="K45" s="30"/>
      <c r="L45" s="30"/>
      <c r="O45" s="38"/>
      <c r="P45" s="42"/>
      <c r="T45" s="59"/>
    </row>
    <row r="46" spans="1:20">
      <c r="A46" s="57"/>
      <c r="G46" s="30"/>
      <c r="K46" s="30"/>
      <c r="L46" s="30"/>
      <c r="O46" s="38"/>
      <c r="P46" s="42"/>
      <c r="Q46" s="51" t="s">
        <v>103</v>
      </c>
      <c r="R46" s="31" t="s">
        <v>90</v>
      </c>
      <c r="T46" s="59"/>
    </row>
    <row r="47" spans="1:20">
      <c r="A47" s="57"/>
      <c r="G47" s="30"/>
      <c r="K47" s="30"/>
      <c r="L47" s="30"/>
      <c r="O47" s="38"/>
      <c r="P47" s="42"/>
      <c r="Q47" s="51" t="s">
        <v>104</v>
      </c>
      <c r="R47" s="31" t="s">
        <v>108</v>
      </c>
      <c r="T47" s="59"/>
    </row>
    <row r="48" spans="1:20">
      <c r="A48" s="57">
        <f>IF(H37="-",0,1)</f>
        <v>1</v>
      </c>
      <c r="O48" s="38"/>
      <c r="P48" s="42"/>
      <c r="Q48" s="51" t="s">
        <v>105</v>
      </c>
      <c r="R48" s="31" t="s">
        <v>108</v>
      </c>
      <c r="T48" s="59"/>
    </row>
    <row r="49" spans="1:20">
      <c r="A49" s="57">
        <f>IF(H38="-",0,1)</f>
        <v>1</v>
      </c>
      <c r="O49" s="38"/>
      <c r="P49" s="42"/>
      <c r="Q49" s="51" t="s">
        <v>106</v>
      </c>
      <c r="R49" s="31" t="s">
        <v>108</v>
      </c>
      <c r="T49" s="59"/>
    </row>
    <row r="50" spans="1:20">
      <c r="A50" s="57">
        <f>IF(H39="-",0,1)</f>
        <v>1</v>
      </c>
      <c r="O50" s="38"/>
      <c r="P50" s="42"/>
      <c r="Q50" s="51" t="s">
        <v>107</v>
      </c>
      <c r="R50" s="31" t="s">
        <v>109</v>
      </c>
      <c r="T50" s="59"/>
    </row>
    <row r="51" spans="1:20">
      <c r="A51" s="57">
        <f>IF(H40="-",0,1)</f>
        <v>1</v>
      </c>
      <c r="O51" s="38"/>
      <c r="Q51" s="51"/>
      <c r="T51" s="59"/>
    </row>
  </sheetData>
  <mergeCells count="1">
    <mergeCell ref="D1:O7"/>
  </mergeCells>
  <phoneticPr fontId="31" type="noConversion"/>
  <conditionalFormatting sqref="J10:J37 M10:M37 K37:L37 J38:M38 J39:J40 M39:M40 K40:L40">
    <cfRule type="cellIs" dxfId="13" priority="1" operator="equal">
      <formula>$M$9</formula>
    </cfRule>
    <cfRule type="cellIs" dxfId="12" priority="2" operator="lessThan">
      <formula>$M$9</formula>
    </cfRule>
    <cfRule type="cellIs" dxfId="11" priority="3" operator="greaterThan">
      <formula>$M$9</formula>
    </cfRule>
  </conditionalFormatting>
  <dataValidations count="1">
    <dataValidation type="list" allowBlank="1" showInputMessage="1" showErrorMessage="1" sqref="H10:H40" xr:uid="{7073B5BD-DA21-47E4-ACDA-930374A274ED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J34:J35 J27 M28 J25 J29 J32:J33 M30 M32:M3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6DAA95E0-1194-4C32-AC97-6BCE969B04A8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5" operator="equal" id="{551C5A1C-2D4F-44A5-A6C0-4D1D8FCCBAFD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6" operator="equal" id="{25712AA6-8D51-41CD-8538-BCF9D4B1CAF4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H45 H10:H40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817C6-B0FB-4FC3-A9E5-93E982F2083B}">
          <x14:formula1>
            <xm:f>aux!$E$1:$E$3</xm:f>
          </x14:formula1>
          <xm:sqref>H45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topLeftCell="A5" zoomScale="75" zoomScaleNormal="75" workbookViewId="0">
      <selection activeCell="G40" sqref="G40"/>
    </sheetView>
  </sheetViews>
  <sheetFormatPr defaultRowHeight="14.4"/>
  <cols>
    <col min="8" max="8" width="12" bestFit="1" customWidth="1"/>
    <col min="14" max="14" width="10.5546875" bestFit="1" customWidth="1"/>
  </cols>
  <sheetData>
    <row r="1" ht="5.0999999999999996" customHeight="1"/>
    <row r="2" ht="5.0999999999999996" customHeight="1"/>
    <row r="30" spans="8:8">
      <c r="H30">
        <v>43299</v>
      </c>
    </row>
    <row r="31" spans="8:8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L16" sqref="L16"/>
    </sheetView>
  </sheetViews>
  <sheetFormatPr defaultColWidth="3.109375" defaultRowHeight="16.8"/>
  <cols>
    <col min="1" max="1" width="1.5546875" style="14" hidden="1" customWidth="1"/>
    <col min="2" max="2" width="3.21875" style="14" hidden="1" customWidth="1"/>
    <col min="3" max="3" width="4.88671875" style="14" hidden="1" customWidth="1"/>
    <col min="4" max="4" width="1.5546875" style="14" customWidth="1"/>
    <col min="5" max="5" width="16.44140625" style="3" bestFit="1" customWidth="1"/>
    <col min="6" max="10" width="5.44140625" style="3" bestFit="1" customWidth="1"/>
    <col min="11" max="11" width="6.44140625" style="3" bestFit="1" customWidth="1"/>
    <col min="12" max="14" width="5.44140625" style="3" bestFit="1" customWidth="1"/>
    <col min="15" max="15" width="6.88671875" style="3" bestFit="1" customWidth="1"/>
    <col min="16" max="16" width="8.88671875" style="1" bestFit="1" customWidth="1"/>
    <col min="17" max="17" width="47" style="1" bestFit="1" customWidth="1"/>
    <col min="18" max="16384" width="3.109375" style="2"/>
  </cols>
  <sheetData>
    <row r="1" spans="1:17" ht="6" customHeight="1">
      <c r="A1" s="14" t="s">
        <v>3</v>
      </c>
      <c r="C1" s="14" t="s">
        <v>26</v>
      </c>
    </row>
    <row r="2" spans="1:17" s="6" customFormat="1" ht="15" customHeight="1">
      <c r="A2" s="15" t="s">
        <v>7</v>
      </c>
      <c r="B2" s="15"/>
      <c r="C2" s="15"/>
      <c r="D2" s="15"/>
      <c r="E2" s="76" t="s">
        <v>114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17" ht="22.65" customHeight="1">
      <c r="A3" s="14" t="s">
        <v>8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s="14" customFormat="1" ht="17.399999999999999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899999999999999" customHeight="1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75" t="s">
        <v>29</v>
      </c>
      <c r="Q5" s="75"/>
    </row>
    <row r="6" spans="1:17" s="1" customFormat="1" ht="18.899999999999999" customHeight="1">
      <c r="A6" s="14"/>
      <c r="B6" s="60">
        <f>SUMIFS(Backlog!$A:$A,Backlog!$D:$D,sintético!P6)</f>
        <v>11</v>
      </c>
      <c r="C6" s="60">
        <f>SUMIF(Backlog!$D:$D,sintético!P6,Backlog!$B:$B)</f>
        <v>9</v>
      </c>
      <c r="D6" s="60"/>
      <c r="E6" s="11">
        <f t="shared" ref="E6:E10" si="0">C6/B6</f>
        <v>0.81818181818181823</v>
      </c>
      <c r="F6" s="39" t="str">
        <f>IF(AND($E6&gt;$E$4,$E6&lt;F$4),"DENTRO",IF($E6&gt;=F$4,"OK","FORA"))</f>
        <v>OK</v>
      </c>
      <c r="G6" s="39" t="str">
        <f t="shared" ref="G6:G10" si="1">IF(AND(F6="OK",$E6&lt;G$4,$E6&gt;F$4),"DENTRO",IF($E6&gt;=G$4,"OK","FORA"))</f>
        <v>OK</v>
      </c>
      <c r="H6" s="39" t="str">
        <f t="shared" ref="H6:O9" si="2">IF(AND(G6="OK",$E6&lt;H$4,$E6&gt;G$4),"DENTRO",IF($E6&gt;=H$4,"OK","FORA"))</f>
        <v>OK</v>
      </c>
      <c r="I6" s="39" t="str">
        <f t="shared" si="2"/>
        <v>OK</v>
      </c>
      <c r="J6" s="39" t="str">
        <f t="shared" si="2"/>
        <v>OK</v>
      </c>
      <c r="K6" s="39" t="str">
        <f t="shared" si="2"/>
        <v>OK</v>
      </c>
      <c r="L6" s="39" t="str">
        <f t="shared" si="2"/>
        <v>OK</v>
      </c>
      <c r="M6" s="39" t="str">
        <f t="shared" si="2"/>
        <v>OK</v>
      </c>
      <c r="N6" s="39" t="str">
        <f>IF(AND(M6="OK",$E6&lt;N$4,$E6&gt;M$4),"DENTRO",IF($E6&gt;=N$4,"OK","FORA"))</f>
        <v>DENTRO</v>
      </c>
      <c r="O6" s="39" t="str">
        <f t="shared" si="2"/>
        <v>FORA</v>
      </c>
      <c r="P6" s="12" t="s">
        <v>103</v>
      </c>
      <c r="Q6" s="12" t="s">
        <v>90</v>
      </c>
    </row>
    <row r="7" spans="1:17" s="1" customFormat="1" ht="18.899999999999999" customHeight="1">
      <c r="A7" s="14"/>
      <c r="B7" s="60">
        <f>SUMIFS(Backlog!$A:$A,Backlog!$D:$D,sintético!P7)</f>
        <v>7</v>
      </c>
      <c r="C7" s="60">
        <f>SUMIF(Backlog!$D:$D,sintético!P7,Backlog!$B:$B)</f>
        <v>1</v>
      </c>
      <c r="D7" s="60"/>
      <c r="E7" s="11">
        <f t="shared" si="0"/>
        <v>0.14285714285714285</v>
      </c>
      <c r="F7" s="22" t="str">
        <f t="shared" ref="F7:F10" si="3">IF(AND($E7&gt;$E$4,$E7&lt;F$4),"DENTRO",IF($E7&gt;=F$4,"OK","FORA"))</f>
        <v>OK</v>
      </c>
      <c r="G7" s="22" t="str">
        <f t="shared" si="1"/>
        <v>DENTRO</v>
      </c>
      <c r="H7" s="22" t="str">
        <f t="shared" si="2"/>
        <v>FORA</v>
      </c>
      <c r="I7" s="22" t="str">
        <f>IF(AND(H7="OK",$E7&lt;I$4,$E7&gt;H$4),"DENTRO",IF($E7&gt;=I$4,"OK","FORA"))</f>
        <v>FORA</v>
      </c>
      <c r="J7" s="22" t="str">
        <f t="shared" si="2"/>
        <v>FORA</v>
      </c>
      <c r="K7" s="22" t="str">
        <f t="shared" si="2"/>
        <v>FORA</v>
      </c>
      <c r="L7" s="22" t="str">
        <f>IF(AND(K7="OK",$E7&lt;L$4,$E7&gt;K$4),"DENTRO",IF($E7&gt;=L$4,"OK","FORA"))</f>
        <v>FORA</v>
      </c>
      <c r="M7" s="22" t="str">
        <f>IF(AND(L7="OK",$E7&lt;M$4,$E7&gt;L$4),"DENTRO",IF($E7&gt;=M$4,"OK","FORA"))</f>
        <v>FORA</v>
      </c>
      <c r="N7" s="22" t="str">
        <f t="shared" si="2"/>
        <v>FORA</v>
      </c>
      <c r="O7" s="22" t="str">
        <f t="shared" si="2"/>
        <v>FORA</v>
      </c>
      <c r="P7" s="12" t="s">
        <v>104</v>
      </c>
      <c r="Q7" s="12" t="s">
        <v>108</v>
      </c>
    </row>
    <row r="8" spans="1:17" s="1" customFormat="1" ht="18.899999999999999" customHeight="1">
      <c r="A8" s="14"/>
      <c r="B8" s="60">
        <f>SUMIFS(Backlog!$A:$A,Backlog!$D:$D,sintético!P8)</f>
        <v>9</v>
      </c>
      <c r="C8" s="60">
        <f>SUMIF(Backlog!$D:$D,sintético!P8,Backlog!$B:$B)</f>
        <v>0</v>
      </c>
      <c r="D8" s="60"/>
      <c r="E8" s="11">
        <f t="shared" si="0"/>
        <v>0</v>
      </c>
      <c r="F8" s="22" t="str">
        <f t="shared" si="3"/>
        <v>FORA</v>
      </c>
      <c r="G8" s="22" t="str">
        <f t="shared" si="1"/>
        <v>FORA</v>
      </c>
      <c r="H8" s="22" t="str">
        <f t="shared" si="2"/>
        <v>FORA</v>
      </c>
      <c r="I8" s="22" t="str">
        <f t="shared" si="2"/>
        <v>FORA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899999999999999" customHeight="1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899999999999999" customHeight="1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899999999999999" customHeight="1">
      <c r="A11" s="14"/>
      <c r="B11" s="14">
        <f>SUMIFS(Backlog_old!$A:$A,Backlog_old!$D:$D,sintético!#REF!)</f>
        <v>0</v>
      </c>
      <c r="C11" s="14">
        <f>SUMIF(Backlog_old!$D:$D,sintético!#REF!,Backlog_old!$B:$B)</f>
        <v>0</v>
      </c>
      <c r="D11" s="14"/>
    </row>
    <row r="12" spans="1:17" s="1" customFormat="1" ht="18.899999999999999" customHeight="1">
      <c r="A12" s="14"/>
      <c r="B12" s="14">
        <f>SUMIFS(Backlog_old!$A:$A,Backlog_old!$D:$D,sintético!#REF!)</f>
        <v>0</v>
      </c>
      <c r="C12" s="14">
        <f>SUMIF(Backlog_old!$D:$D,sintético!#REF!,Backlog_old!$B:$B)</f>
        <v>0</v>
      </c>
      <c r="D12" s="14"/>
    </row>
    <row r="13" spans="1:17" s="1" customFormat="1" ht="18.899999999999999" customHeight="1">
      <c r="A13" s="14"/>
      <c r="B13" s="14">
        <f>SUMIFS(Backlog_old!$A:$A,Backlog_old!$D:$D,sintético!#REF!)</f>
        <v>0</v>
      </c>
      <c r="C13" s="14">
        <f>SUMIF(Backlog_old!$D:$D,sintético!#REF!,Backlog_old!$B:$B)</f>
        <v>0</v>
      </c>
      <c r="D13" s="14"/>
    </row>
    <row r="14" spans="1:17" s="1" customFormat="1" ht="18.899999999999999" customHeight="1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899999999999999" customHeight="1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899999999999999" customHeight="1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899999999999999" customHeight="1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899999999999999" customHeight="1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899999999999999" customHeight="1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899999999999999" customHeight="1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899999999999999" customHeight="1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899999999999999" customHeight="1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899999999999999" customHeight="1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899999999999999" customHeight="1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899999999999999" customHeight="1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899999999999999" customHeight="1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899999999999999" customHeight="1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899999999999999" customHeight="1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899999999999999" customHeight="1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899999999999999" customHeight="1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899999999999999" customHeight="1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899999999999999" customHeight="1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899999999999999" customHeight="1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899999999999999" customHeight="1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899999999999999" customHeight="1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899999999999999" customHeight="1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899999999999999" customHeight="1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899999999999999" customHeight="1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899999999999999" customHeight="1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899999999999999" customHeight="1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899999999999999" customHeight="1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899999999999999" customHeight="1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899999999999999" customHeight="1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899999999999999" customHeight="1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899999999999999" customHeight="1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899999999999999" customHeight="1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899999999999999" customHeight="1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899999999999999" customHeight="1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899999999999999" customHeight="1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3" sqref="B3"/>
    </sheetView>
  </sheetViews>
  <sheetFormatPr defaultRowHeight="14.4"/>
  <cols>
    <col min="1" max="1" width="19.109375" bestFit="1" customWidth="1"/>
    <col min="2" max="2" width="10.6640625" bestFit="1" customWidth="1"/>
  </cols>
  <sheetData>
    <row r="1" spans="1:2">
      <c r="A1" t="s">
        <v>144</v>
      </c>
      <c r="B1" s="61">
        <f ca="1">TODAY()+6</f>
        <v>45496</v>
      </c>
    </row>
    <row r="2" spans="1:2">
      <c r="A2" t="s">
        <v>145</v>
      </c>
      <c r="B2" s="61">
        <v>45534</v>
      </c>
    </row>
    <row r="3" spans="1:2">
      <c r="A3" t="s">
        <v>146</v>
      </c>
      <c r="B3">
        <v>18</v>
      </c>
    </row>
    <row r="4" spans="1:2">
      <c r="A4" t="s">
        <v>147</v>
      </c>
      <c r="B4">
        <f ca="1">B2-B1</f>
        <v>38</v>
      </c>
    </row>
    <row r="5" spans="1:2">
      <c r="A5" t="s">
        <v>148</v>
      </c>
      <c r="B5" s="64">
        <f ca="1">B4-B3</f>
        <v>20</v>
      </c>
    </row>
    <row r="6" spans="1:2">
      <c r="A6" t="s">
        <v>149</v>
      </c>
      <c r="B6">
        <v>13</v>
      </c>
    </row>
    <row r="7" spans="1:2">
      <c r="A7" t="s">
        <v>150</v>
      </c>
      <c r="B7" s="62">
        <f ca="1">B5/B6</f>
        <v>1.5384615384615385</v>
      </c>
    </row>
    <row r="9" spans="1:2">
      <c r="A9" t="s">
        <v>151</v>
      </c>
      <c r="B9">
        <f>SUM(Backlog_old!N15:N19)</f>
        <v>17</v>
      </c>
    </row>
    <row r="10" spans="1:2">
      <c r="A10" t="s">
        <v>152</v>
      </c>
      <c r="B10">
        <f>SUM(Backlog_old!N21:N28)</f>
        <v>25</v>
      </c>
    </row>
    <row r="11" spans="1:2">
      <c r="A11" t="s">
        <v>153</v>
      </c>
      <c r="B11" s="64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C5" sqref="C5"/>
    </sheetView>
  </sheetViews>
  <sheetFormatPr defaultRowHeight="14.4"/>
  <cols>
    <col min="1" max="1" width="23.33203125" bestFit="1" customWidth="1"/>
    <col min="2" max="3" width="5.33203125" bestFit="1" customWidth="1"/>
    <col min="4" max="4" width="5.109375" bestFit="1" customWidth="1"/>
  </cols>
  <sheetData>
    <row r="2" spans="1:4">
      <c r="A2" s="31" t="str">
        <f>Backlog_old!F10</f>
        <v>Design e Modelagem de Dados</v>
      </c>
      <c r="B2" s="29">
        <f>Backlog!J10</f>
        <v>45464</v>
      </c>
      <c r="C2" s="29">
        <f>Backlog!M12</f>
        <v>45483</v>
      </c>
      <c r="D2" s="38">
        <f>C2-Planilha1!B2</f>
        <v>19</v>
      </c>
    </row>
    <row r="3" spans="1:4">
      <c r="A3" s="31" t="str">
        <f>Backlog_old!F13</f>
        <v>Desenvolvimento e Implementação</v>
      </c>
      <c r="B3" s="29">
        <f>Backlog_old!J13</f>
        <v>45463</v>
      </c>
      <c r="C3" s="29">
        <f>Backlog!M30</f>
        <v>45513</v>
      </c>
      <c r="D3" s="38">
        <f>C3-Planilha1!B3</f>
        <v>50</v>
      </c>
    </row>
    <row r="4" spans="1:4">
      <c r="A4" s="31" t="str">
        <f>Backlog_old!F31</f>
        <v>Implantação</v>
      </c>
      <c r="B4" s="29">
        <f>Backlog!J31</f>
        <v>45516</v>
      </c>
      <c r="C4" s="29">
        <f>Backlog!M32</f>
        <v>45520</v>
      </c>
      <c r="D4" s="38">
        <f>C4-Planilha1!B4</f>
        <v>4</v>
      </c>
    </row>
    <row r="5" spans="1:4">
      <c r="A5" s="31"/>
      <c r="B5" s="29"/>
      <c r="C5" s="29"/>
      <c r="D5" s="38"/>
    </row>
    <row r="6" spans="1:4">
      <c r="A6" s="31"/>
      <c r="B6" s="29"/>
      <c r="C6" s="29"/>
      <c r="D6" s="38"/>
    </row>
    <row r="7" spans="1:4">
      <c r="A7" s="31"/>
      <c r="B7" s="29"/>
      <c r="C7" s="29"/>
      <c r="D7" s="38"/>
    </row>
    <row r="8" spans="1:4">
      <c r="A8" s="31"/>
      <c r="B8" s="29"/>
      <c r="C8" s="29"/>
      <c r="D8" s="38"/>
    </row>
    <row r="9" spans="1:4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4.4"/>
  <cols>
    <col min="1" max="1" width="19.44140625" bestFit="1" customWidth="1"/>
    <col min="2" max="2" width="15.44140625" bestFit="1" customWidth="1"/>
    <col min="3" max="3" width="39.5546875" bestFit="1" customWidth="1"/>
    <col min="4" max="4" width="6.44140625" bestFit="1" customWidth="1"/>
  </cols>
  <sheetData>
    <row r="1" spans="1:4" ht="15.6">
      <c r="A1" s="43" t="s">
        <v>40</v>
      </c>
      <c r="B1" s="44" t="s">
        <v>41</v>
      </c>
      <c r="C1" s="45"/>
      <c r="D1" s="46"/>
    </row>
    <row r="2" spans="1:4" ht="15.6">
      <c r="A2" s="46"/>
      <c r="B2" s="47"/>
      <c r="C2" s="45"/>
      <c r="D2" s="46"/>
    </row>
    <row r="3" spans="1:4" ht="15.6">
      <c r="A3" s="46"/>
      <c r="B3" s="47"/>
      <c r="C3" s="45"/>
      <c r="D3" s="46"/>
    </row>
    <row r="4" spans="1:4" ht="15.6">
      <c r="A4" s="46"/>
      <c r="B4" s="47"/>
      <c r="C4" s="48" t="s">
        <v>42</v>
      </c>
      <c r="D4" s="48" t="s">
        <v>43</v>
      </c>
    </row>
    <row r="5" spans="1:4" ht="15.6">
      <c r="A5" s="46"/>
      <c r="B5" s="47"/>
      <c r="C5" s="45" t="s">
        <v>44</v>
      </c>
      <c r="D5" s="49" t="s">
        <v>3</v>
      </c>
    </row>
    <row r="6" spans="1:4" ht="15.6">
      <c r="A6" s="46"/>
      <c r="B6" s="47"/>
      <c r="C6" s="50"/>
      <c r="D6" s="50"/>
    </row>
    <row r="7" spans="1:4" ht="15.6">
      <c r="A7" s="46"/>
      <c r="B7" s="47"/>
      <c r="C7" s="48" t="s">
        <v>45</v>
      </c>
      <c r="D7" s="48" t="s">
        <v>43</v>
      </c>
    </row>
    <row r="8" spans="1:4" ht="15.6">
      <c r="A8" s="46"/>
      <c r="B8" s="47"/>
      <c r="C8" s="45" t="str">
        <f>B1&amp;"_VERTICAL"</f>
        <v>MGC_VERTICAL</v>
      </c>
      <c r="D8" s="50" t="s">
        <v>3</v>
      </c>
    </row>
    <row r="9" spans="1:4" ht="15.6">
      <c r="A9" s="46"/>
      <c r="B9" s="47"/>
      <c r="C9" s="50"/>
      <c r="D9" s="50"/>
    </row>
    <row r="10" spans="1:4" ht="15.6">
      <c r="A10" s="46"/>
      <c r="B10" s="47"/>
      <c r="C10" s="48" t="s">
        <v>46</v>
      </c>
      <c r="D10" s="48" t="s">
        <v>43</v>
      </c>
    </row>
    <row r="11" spans="1:4" ht="15.6">
      <c r="A11" s="46"/>
      <c r="B11" s="47"/>
      <c r="C11" s="45" t="s">
        <v>47</v>
      </c>
      <c r="D11" s="50" t="s">
        <v>3</v>
      </c>
    </row>
    <row r="12" spans="1:4" ht="15.6">
      <c r="A12" s="46"/>
      <c r="B12" s="47"/>
      <c r="C12" s="46"/>
      <c r="D12" s="46"/>
    </row>
    <row r="13" spans="1:4" ht="15.6">
      <c r="A13" s="46"/>
      <c r="B13" s="47"/>
      <c r="C13" s="45"/>
      <c r="D13" s="46"/>
    </row>
    <row r="14" spans="1:4" ht="15.6">
      <c r="A14" s="46"/>
      <c r="B14" s="47"/>
      <c r="C14" s="45"/>
      <c r="D14" s="46"/>
    </row>
    <row r="15" spans="1:4">
      <c r="A15" s="46"/>
      <c r="B15" s="46"/>
      <c r="C15" s="48" t="s">
        <v>24</v>
      </c>
      <c r="D15" s="48" t="s">
        <v>43</v>
      </c>
    </row>
    <row r="16" spans="1:4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4140625" defaultRowHeight="14.4"/>
  <cols>
    <col min="1" max="1" width="7.109375" bestFit="1" customWidth="1"/>
    <col min="2" max="2" width="31.109375" bestFit="1" customWidth="1"/>
    <col min="3" max="3" width="14" bestFit="1" customWidth="1"/>
    <col min="4" max="4" width="26.44140625" bestFit="1" customWidth="1"/>
    <col min="6" max="6" width="3.5546875" bestFit="1" customWidth="1"/>
    <col min="7" max="7" width="13.88671875" bestFit="1" customWidth="1"/>
  </cols>
  <sheetData>
    <row r="1" spans="1:7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4.4"/>
  <cols>
    <col min="1" max="1" width="1.5546875" customWidth="1"/>
    <col min="2" max="2" width="8.5546875" bestFit="1" customWidth="1"/>
    <col min="3" max="3" width="54.109375" bestFit="1" customWidth="1"/>
    <col min="8" max="8" width="16.44140625" bestFit="1" customWidth="1"/>
    <col min="9" max="9" width="16.109375" bestFit="1" customWidth="1"/>
    <col min="10" max="10" width="11.5546875" bestFit="1" customWidth="1"/>
    <col min="11" max="11" width="10.44140625" bestFit="1" customWidth="1"/>
  </cols>
  <sheetData>
    <row r="1" spans="2:11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>
      <c r="E2" s="16" t="s">
        <v>4</v>
      </c>
    </row>
    <row r="3" spans="2:11">
      <c r="B3" s="19" t="s">
        <v>0</v>
      </c>
      <c r="C3" s="17" t="s">
        <v>1</v>
      </c>
      <c r="E3" s="16" t="s">
        <v>5</v>
      </c>
    </row>
    <row r="4" spans="2:11">
      <c r="B4" s="18" t="s">
        <v>9</v>
      </c>
      <c r="C4" s="20" t="s">
        <v>17</v>
      </c>
    </row>
    <row r="5" spans="2:11">
      <c r="B5" s="18" t="s">
        <v>10</v>
      </c>
      <c r="C5" s="20" t="s">
        <v>32</v>
      </c>
    </row>
    <row r="6" spans="2:11">
      <c r="B6" s="18" t="s">
        <v>11</v>
      </c>
      <c r="C6" s="20" t="s">
        <v>18</v>
      </c>
    </row>
    <row r="7" spans="2:11">
      <c r="B7" s="18" t="s">
        <v>12</v>
      </c>
      <c r="C7" s="20" t="s">
        <v>19</v>
      </c>
    </row>
    <row r="8" spans="2:11">
      <c r="B8" s="18" t="s">
        <v>13</v>
      </c>
      <c r="C8" s="20" t="s">
        <v>16</v>
      </c>
    </row>
    <row r="9" spans="2:11">
      <c r="B9" s="18" t="s">
        <v>14</v>
      </c>
      <c r="C9" s="20" t="s">
        <v>30</v>
      </c>
    </row>
    <row r="10" spans="2:11">
      <c r="B10" s="18" t="s">
        <v>15</v>
      </c>
      <c r="C10" s="20" t="s">
        <v>20</v>
      </c>
    </row>
    <row r="11" spans="2:11">
      <c r="B11" s="18" t="s">
        <v>31</v>
      </c>
      <c r="C11" s="20" t="s">
        <v>21</v>
      </c>
    </row>
    <row r="12" spans="2:11">
      <c r="B12" s="18"/>
      <c r="C12" s="20"/>
    </row>
    <row r="13" spans="2:11">
      <c r="C13" s="20"/>
    </row>
    <row r="14" spans="2:11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Backlog_old</vt:lpstr>
      <vt:lpstr>Backlog</vt:lpstr>
      <vt:lpstr>Acomp_Grafico_Gantt</vt:lpstr>
      <vt:lpstr>sintético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Matheus Alexander Ribeiro Sombra</cp:lastModifiedBy>
  <cp:lastPrinted>2017-10-26T20:51:40Z</cp:lastPrinted>
  <dcterms:created xsi:type="dcterms:W3CDTF">2014-08-13T18:24:37Z</dcterms:created>
  <dcterms:modified xsi:type="dcterms:W3CDTF">2024-07-17T23:09:31Z</dcterms:modified>
</cp:coreProperties>
</file>