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Layout" sheetId="2" r:id="rId1"/>
    <sheet name="Calculo" sheetId="1" r:id="rId2"/>
    <sheet name="Sis Placa Solar" sheetId="3" r:id="rId3"/>
    <sheet name="Sis Inversor off grid" sheetId="5" r:id="rId4"/>
    <sheet name="Sis Controlador de carga" sheetId="4" r:id="rId5"/>
    <sheet name="Sis Bateri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<sst xmlns="http://schemas.openxmlformats.org/spreadsheetml/2006/main" count="179" uniqueCount="115">
  <si>
    <t>DIMENSIONAMENTO</t>
  </si>
  <si>
    <t>EQUIPAMENTOS</t>
  </si>
  <si>
    <t>QNTD</t>
  </si>
  <si>
    <t>SKU</t>
  </si>
  <si>
    <t>Potência dos equipamentos em Watt (W)</t>
  </si>
  <si>
    <t>Modelo da placa</t>
  </si>
  <si>
    <t>PAINEL FOTOVOLTAICO MONOCRISTALINO SUNOVA 450W</t>
  </si>
  <si>
    <t>Tensão de operação do sistema</t>
  </si>
  <si>
    <t>220 Vca</t>
  </si>
  <si>
    <t>Modelo da Bateria</t>
  </si>
  <si>
    <t>BATERIA SELADA SOLAR 12V 220AH MOURA</t>
  </si>
  <si>
    <t>Descarregar a bateria até (%)</t>
  </si>
  <si>
    <t>Tensão do banco de bateria</t>
  </si>
  <si>
    <t>24 Vdc</t>
  </si>
  <si>
    <t>Autonomia (Horas)</t>
  </si>
  <si>
    <t>Tipo de estrutura</t>
  </si>
  <si>
    <t>SEM ESTRUTURA SOLAR</t>
  </si>
  <si>
    <t>Informações nescessaria</t>
  </si>
  <si>
    <t>Equipamentos nescessário</t>
  </si>
  <si>
    <t>Preencher essa coluna</t>
  </si>
  <si>
    <t>Quantidade de placa PWM</t>
  </si>
  <si>
    <t>Potência dos equipamentos</t>
  </si>
  <si>
    <t>W</t>
  </si>
  <si>
    <t>Quantidade de placa MPPT</t>
  </si>
  <si>
    <t>Bateria Ah</t>
  </si>
  <si>
    <t>Ah</t>
  </si>
  <si>
    <t>Corrente do controlador de carga Ah</t>
  </si>
  <si>
    <t>Profundidade de descarga</t>
  </si>
  <si>
    <t>%</t>
  </si>
  <si>
    <t>Quantidade de bateria</t>
  </si>
  <si>
    <t>V</t>
  </si>
  <si>
    <t>Potência do inversor</t>
  </si>
  <si>
    <t>Potência da placa</t>
  </si>
  <si>
    <t>Corrente da placa</t>
  </si>
  <si>
    <t>A</t>
  </si>
  <si>
    <t xml:space="preserve">Tensão d a placa </t>
  </si>
  <si>
    <t>Horas de autonomia</t>
  </si>
  <si>
    <t>Horas</t>
  </si>
  <si>
    <t>Dados</t>
  </si>
  <si>
    <t>Consumo em amper</t>
  </si>
  <si>
    <t>Corrente nescessária bateria</t>
  </si>
  <si>
    <t>Corrente nescessáia para carregar o banco de bateria (10 à 25%)</t>
  </si>
  <si>
    <t xml:space="preserve"> </t>
  </si>
  <si>
    <t>Calculo da bateria</t>
  </si>
  <si>
    <t>Qta</t>
  </si>
  <si>
    <t>Potencia nescessaria para recarga</t>
  </si>
  <si>
    <t>Potencia nescessária para  o sistema</t>
  </si>
  <si>
    <t>Potencia nescessaria para recarga PWM</t>
  </si>
  <si>
    <t>Potencia nescessária para  o sistema PWM</t>
  </si>
  <si>
    <t>Painel fotovoltaico</t>
  </si>
  <si>
    <t>Potencia MAX</t>
  </si>
  <si>
    <t>Tensão de Circuito</t>
  </si>
  <si>
    <t>Corrente de Cursto</t>
  </si>
  <si>
    <t>Estrutura Solar</t>
  </si>
  <si>
    <t>MODULO FOTOVOLTAICO INTELBRAS 160W</t>
  </si>
  <si>
    <t>ESTRUTURA 1PLACA POSTE</t>
  </si>
  <si>
    <t>PAINEL FOTOVOLTAICO MONOCRISTALINO CANADIAN 440W</t>
  </si>
  <si>
    <t>ESTRUTURA 2 PLACA POSTE</t>
  </si>
  <si>
    <t>PAINEL FOTOVOLTAICO MONOCRISTALINO SINE ENERGY 500W</t>
  </si>
  <si>
    <t>PAINEL FOTOVOLTAICO MONOCRISTALINO CANADIAN 550W</t>
  </si>
  <si>
    <t>PAINEL FOTOVOLTAICO MONOCRISTALINO JA SOLAR 550W</t>
  </si>
  <si>
    <t>PAINEL FOTOVOLTAICO MONOCRISTALINO SINE ENERGY 555W</t>
  </si>
  <si>
    <t>PAINEL FOTOVOLTAICO MONOCRISTALINO ZNSHINE 555W</t>
  </si>
  <si>
    <t>PAINEL FOTOVOLTAICO MONOCRISTALINO ZNSHINE 575W</t>
  </si>
  <si>
    <t>CABO SOLAR 1,8 KV C.C 6 MM VERMELHO CONDUTEC  mt.</t>
  </si>
  <si>
    <t>CABO SOLAR 1,8 KV C.C 6 MM PRETO CONDUTEC mt.</t>
  </si>
  <si>
    <t>CONECTOR MC4 MACHO/FEMEA (PAR)</t>
  </si>
  <si>
    <t>Inversor OFF GRID</t>
  </si>
  <si>
    <t>Potencia Nominal</t>
  </si>
  <si>
    <t>Potencia de Trabalho</t>
  </si>
  <si>
    <t>Tensão de Entrada</t>
  </si>
  <si>
    <t>Tensão de Saida</t>
  </si>
  <si>
    <t>Efiencia do controlador</t>
  </si>
  <si>
    <t>Teste 01 (Potencia)</t>
  </si>
  <si>
    <t>Teste 02 (Tensão de entrada)</t>
  </si>
  <si>
    <t>Teste 03 (Tensão de saida)</t>
  </si>
  <si>
    <t>Resultado</t>
  </si>
  <si>
    <t>Quantidade</t>
  </si>
  <si>
    <t>INVERSOR SENOIDAL 350W 12V/110V IP350-11 EPEVER</t>
  </si>
  <si>
    <t>INVERSOR DE TENSÃO SENOIDAL 750W ISV 751 INTELBRAS</t>
  </si>
  <si>
    <t>INVERSOR SENOIDAL 1000W 24V/110V IP1000-21-PLUS(T) EPEVER</t>
  </si>
  <si>
    <t>INVERSOR DE TENSÃO ONDA SENOIDAL 1500W ISV 1501 INTELBRAS</t>
  </si>
  <si>
    <t>INVERSOR SENOIDAL 2000W 24V/220V IP2000-22-PLUS(T) EPEVER</t>
  </si>
  <si>
    <t>INVERSOR SENOIDAL 2000W 24V/110V IP2000-21-PLUS(T) EPEVER</t>
  </si>
  <si>
    <t>INVERSOR SENOIDAL 4000W 48V/110V IP4000-41-PLUS(T) EPEVER</t>
  </si>
  <si>
    <t>INVERSOR SENOIDAL 4000W 48V/220V IP4000-42-PLUS(T) EPEVER</t>
  </si>
  <si>
    <t>Descarregar Bateria (%)</t>
  </si>
  <si>
    <t>Tensão do Banco de Bateria</t>
  </si>
  <si>
    <t>Operação do Sistema</t>
  </si>
  <si>
    <t>12 Vdc</t>
  </si>
  <si>
    <t>48 Vdc</t>
  </si>
  <si>
    <t>127 Vca</t>
  </si>
  <si>
    <t>Para uma temperatura de 25℃</t>
  </si>
  <si>
    <t>Controlador de Carga</t>
  </si>
  <si>
    <t>Tensão Nominal (Vdc)</t>
  </si>
  <si>
    <t>Max, tensão de Circuito Aberto  (V)</t>
  </si>
  <si>
    <t>Corrente de Carga Nominal (A)</t>
  </si>
  <si>
    <t>Teste 01 (CORRENTE)</t>
  </si>
  <si>
    <t>Teste 02 (Tensão nominal)</t>
  </si>
  <si>
    <t>Teste 03</t>
  </si>
  <si>
    <t>CONTROLADOR DE CARGA EPEVER MPPT 20A</t>
  </si>
  <si>
    <t>CONTROLADOR DE CARGA EPEVER MPPT 30A</t>
  </si>
  <si>
    <t>CONTROLADOR DE CARGA EPEVER MPPT 40A</t>
  </si>
  <si>
    <t>CONTROLADOR DE CARGA EPEVER MPPT 50A</t>
  </si>
  <si>
    <t>CONTROLADOR DE CARGA EPEVER MPPT 60A</t>
  </si>
  <si>
    <t>Corrente do controldor de carga</t>
  </si>
  <si>
    <t>Bateria</t>
  </si>
  <si>
    <t>Capacidade da Bateria</t>
  </si>
  <si>
    <t>Descarregar até(%)</t>
  </si>
  <si>
    <t>Rendimento da Bateria</t>
  </si>
  <si>
    <t>BATERIA ESTACIONARIA 12V 45AH MOURA</t>
  </si>
  <si>
    <t>VERDADE</t>
  </si>
  <si>
    <t>BATERIA ESTACIONARIA 12V 45AH INTELBRAS</t>
  </si>
  <si>
    <t>BATERIA ESTACIONARIA 12V 60AH INTELBRAS</t>
  </si>
  <si>
    <t>BATERIA SOLAR 12-150AH ELO SOLAR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</si>
</sst>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_ "/>
    <numFmt numFmtId="182" formatCode="0.000_ "/>
    <numFmt numFmtId="183" formatCode="0.0_ "/>
  </numFmts>
  <fonts count="41"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sz val="14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3"/>
      <color indexed="9"/>
      <name val="Calibri"/>
      <charset val="134"/>
    </font>
    <font>
      <sz val="1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2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3" borderId="29" applyNumberFormat="0" applyAlignment="0" applyProtection="0">
      <alignment vertical="center"/>
    </xf>
    <xf numFmtId="0" fontId="31" fillId="14" borderId="30" applyNumberFormat="0" applyAlignment="0" applyProtection="0">
      <alignment vertical="center"/>
    </xf>
    <xf numFmtId="0" fontId="32" fillId="14" borderId="29" applyNumberFormat="0" applyAlignment="0" applyProtection="0">
      <alignment vertical="center"/>
    </xf>
    <xf numFmtId="0" fontId="33" fillId="15" borderId="31" applyNumberFormat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 wrapText="1"/>
      <protection hidden="1"/>
    </xf>
    <xf numFmtId="0" fontId="1" fillId="0" borderId="14" xfId="0" applyFont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" fillId="0" borderId="17" xfId="0" applyFont="1" applyBorder="1" applyAlignment="1" applyProtection="1">
      <alignment horizontal="center" vertical="center" wrapText="1"/>
      <protection hidden="1"/>
    </xf>
    <xf numFmtId="0" fontId="1" fillId="0" borderId="18" xfId="0" applyFont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6" xfId="0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0" borderId="0" xfId="0" applyAlignment="1" applyProtection="1">
      <protection hidden="1"/>
    </xf>
    <xf numFmtId="0" fontId="4" fillId="0" borderId="0" xfId="0" applyFont="1" applyProtection="1">
      <alignment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9" fontId="5" fillId="0" borderId="3" xfId="3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9" fontId="5" fillId="0" borderId="6" xfId="3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9" fontId="5" fillId="0" borderId="7" xfId="3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0" fillId="0" borderId="16" xfId="0" applyBorder="1" applyProtection="1">
      <alignment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4" fillId="0" borderId="21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0" fillId="0" borderId="18" xfId="0" applyBorder="1" applyProtection="1">
      <alignment vertical="center"/>
      <protection hidden="1"/>
    </xf>
    <xf numFmtId="0" fontId="1" fillId="0" borderId="19" xfId="0" applyFont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alignment vertical="center"/>
      <protection hidden="1"/>
    </xf>
    <xf numFmtId="0" fontId="0" fillId="0" borderId="12" xfId="0" applyBorder="1" applyProtection="1">
      <alignment vertical="center"/>
      <protection hidden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Protection="1">
      <alignment vertical="center"/>
      <protection hidden="1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9" xfId="0" applyBorder="1" applyAlignment="1"/>
    <xf numFmtId="0" fontId="0" fillId="0" borderId="3" xfId="0" applyBorder="1" applyAlignment="1" applyProtection="1">
      <protection hidden="1"/>
    </xf>
    <xf numFmtId="0" fontId="0" fillId="0" borderId="4" xfId="0" applyBorder="1" applyAlignment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6" xfId="0" applyBorder="1" applyAlignment="1" applyProtection="1">
      <protection hidden="1"/>
    </xf>
    <xf numFmtId="0" fontId="0" fillId="0" borderId="5" xfId="0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2" borderId="5" xfId="0" applyFont="1" applyFill="1" applyBorder="1">
      <alignment vertical="center"/>
    </xf>
    <xf numFmtId="180" fontId="6" fillId="3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181" fontId="6" fillId="3" borderId="5" xfId="0" applyNumberFormat="1" applyFont="1" applyFill="1" applyBorder="1" applyAlignment="1">
      <alignment horizontal="center" vertical="center"/>
    </xf>
    <xf numFmtId="9" fontId="8" fillId="5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5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180" fontId="11" fillId="0" borderId="5" xfId="0" applyNumberFormat="1" applyFont="1" applyBorder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182" fontId="11" fillId="0" borderId="5" xfId="0" applyNumberFormat="1" applyFont="1" applyBorder="1" applyAlignment="1">
      <alignment horizontal="center" vertical="center"/>
    </xf>
    <xf numFmtId="180" fontId="12" fillId="0" borderId="5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8" borderId="0" xfId="0" applyFill="1">
      <alignment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8" borderId="0" xfId="0" applyFont="1" applyFill="1">
      <alignment vertical="center"/>
    </xf>
    <xf numFmtId="0" fontId="15" fillId="9" borderId="23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16" fillId="10" borderId="6" xfId="0" applyFont="1" applyFill="1" applyBorder="1" applyAlignment="1">
      <alignment horizontal="left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9" fillId="9" borderId="6" xfId="0" applyFont="1" applyFill="1" applyBorder="1" applyAlignment="1"/>
    <xf numFmtId="0" fontId="0" fillId="8" borderId="11" xfId="0" applyFill="1" applyBorder="1" applyAlignment="1">
      <alignment horizontal="center"/>
    </xf>
    <xf numFmtId="0" fontId="16" fillId="10" borderId="6" xfId="0" applyFont="1" applyFill="1" applyBorder="1" applyAlignment="1" applyProtection="1">
      <alignment horizontal="left" vertical="center"/>
      <protection hidden="1"/>
    </xf>
    <xf numFmtId="0" fontId="18" fillId="11" borderId="5" xfId="0" applyFont="1" applyFill="1" applyBorder="1" applyAlignment="1" applyProtection="1">
      <alignment horizontal="center" vertical="center"/>
      <protection hidden="1"/>
    </xf>
    <xf numFmtId="0" fontId="18" fillId="11" borderId="11" xfId="0" applyFont="1" applyFill="1" applyBorder="1" applyAlignment="1" applyProtection="1">
      <alignment horizontal="center" vertical="center"/>
      <protection hidden="1"/>
    </xf>
    <xf numFmtId="0" fontId="20" fillId="8" borderId="11" xfId="0" applyFont="1" applyFill="1" applyBorder="1" applyAlignment="1" applyProtection="1">
      <alignment horizontal="center"/>
      <protection locked="0"/>
    </xf>
    <xf numFmtId="0" fontId="21" fillId="8" borderId="0" xfId="0" applyFont="1" applyFill="1" applyAlignment="1" applyProtection="1">
      <protection locked="0"/>
    </xf>
    <xf numFmtId="0" fontId="21" fillId="8" borderId="11" xfId="0" applyFont="1" applyFill="1" applyBorder="1" applyAlignment="1" applyProtection="1">
      <alignment horizontal="center"/>
      <protection locked="0"/>
    </xf>
    <xf numFmtId="0" fontId="21" fillId="8" borderId="0" xfId="0" applyFont="1" applyFill="1" applyProtection="1">
      <alignment vertical="center"/>
      <protection locked="0"/>
    </xf>
    <xf numFmtId="1" fontId="21" fillId="11" borderId="5" xfId="0" applyNumberFormat="1" applyFont="1" applyFill="1" applyBorder="1" applyAlignment="1" applyProtection="1">
      <alignment horizontal="center" vertical="center"/>
      <protection hidden="1"/>
    </xf>
    <xf numFmtId="9" fontId="21" fillId="8" borderId="11" xfId="3" applyFont="1" applyFill="1" applyBorder="1" applyAlignment="1" applyProtection="1">
      <alignment horizontal="center"/>
      <protection locked="0"/>
    </xf>
    <xf numFmtId="9" fontId="21" fillId="8" borderId="0" xfId="3" applyFont="1" applyFill="1" applyBorder="1" applyAlignment="1" applyProtection="1">
      <alignment vertical="center"/>
      <protection locked="0"/>
    </xf>
    <xf numFmtId="0" fontId="16" fillId="10" borderId="7" xfId="0" applyFont="1" applyFill="1" applyBorder="1" applyAlignment="1" applyProtection="1">
      <alignment horizontal="left" vertical="center"/>
      <protection hidden="1"/>
    </xf>
    <xf numFmtId="0" fontId="18" fillId="11" borderId="8" xfId="0" applyFont="1" applyFill="1" applyBorder="1" applyAlignment="1" applyProtection="1">
      <alignment horizontal="center" vertical="center"/>
      <protection hidden="1"/>
    </xf>
    <xf numFmtId="0" fontId="18" fillId="11" borderId="12" xfId="0" applyFont="1" applyFill="1" applyBorder="1" applyAlignment="1" applyProtection="1">
      <alignment horizontal="center" vertical="center"/>
      <protection hidden="1"/>
    </xf>
    <xf numFmtId="0" fontId="16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center" vertical="center"/>
    </xf>
    <xf numFmtId="0" fontId="19" fillId="9" borderId="7" xfId="0" applyFont="1" applyFill="1" applyBorder="1">
      <alignment vertical="center"/>
    </xf>
    <xf numFmtId="0" fontId="21" fillId="8" borderId="1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209551</xdr:colOff>
      <xdr:row>1</xdr:row>
      <xdr:rowOff>219075</xdr:rowOff>
    </xdr:from>
    <xdr:to>
      <xdr:col>5</xdr:col>
      <xdr:colOff>1400175</xdr:colOff>
      <xdr:row>1</xdr:row>
      <xdr:rowOff>561830</xdr:rowOff>
    </xdr:to>
    <xdr:pic>
      <xdr:nvPicPr>
        <xdr:cNvPr id="6" name="Imagem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390525"/>
          <a:ext cx="1190625" cy="342265"/>
        </a:xfrm>
        <a:prstGeom prst="rect">
          <a:avLst/>
        </a:prstGeom>
      </xdr:spPr>
    </xdr:pic>
    <xdr:clientData/>
  </xdr:twoCellAnchor>
  <xdr:twoCellAnchor editAs="oneCell">
    <xdr:from>
      <xdr:col>5</xdr:col>
      <xdr:colOff>4029075</xdr:colOff>
      <xdr:row>1</xdr:row>
      <xdr:rowOff>209550</xdr:rowOff>
    </xdr:from>
    <xdr:to>
      <xdr:col>5</xdr:col>
      <xdr:colOff>5253288</xdr:colOff>
      <xdr:row>1</xdr:row>
      <xdr:rowOff>561975</xdr:rowOff>
    </xdr:to>
    <xdr:pic>
      <xdr:nvPicPr>
        <xdr:cNvPr id="7" name="Imagem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1575" y="381000"/>
          <a:ext cx="122364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A182"/>
  <sheetViews>
    <sheetView topLeftCell="A6" workbookViewId="0">
      <selection activeCell="F1" sqref="F$1:F$1048576"/>
    </sheetView>
  </sheetViews>
  <sheetFormatPr defaultColWidth="9" defaultRowHeight="12.75"/>
  <cols>
    <col min="1" max="1" width="4.42857142857143" style="118" customWidth="1"/>
    <col min="2" max="2" width="45.5714285714286" customWidth="1"/>
    <col min="3" max="3" width="62.1428571428571" customWidth="1"/>
    <col min="4" max="4" width="8" customWidth="1"/>
    <col min="5" max="5" width="8.42857142857143" customWidth="1"/>
    <col min="6" max="6" width="81.8571428571429" customWidth="1"/>
    <col min="7" max="7" width="13.5714285714286" customWidth="1"/>
    <col min="8" max="8" width="12.8571428571429" customWidth="1"/>
  </cols>
  <sheetData>
    <row r="1" ht="13.5" spans="2:79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</row>
    <row r="2" ht="60" customHeight="1" spans="2:79">
      <c r="B2" s="119" t="s">
        <v>0</v>
      </c>
      <c r="C2" s="120"/>
      <c r="D2" s="121"/>
      <c r="E2" s="121"/>
      <c r="F2" s="122" t="s">
        <v>1</v>
      </c>
      <c r="G2" s="123" t="s">
        <v>2</v>
      </c>
      <c r="H2" s="124" t="s">
        <v>3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</row>
    <row r="3" ht="16.5" customHeight="1" spans="2:79">
      <c r="B3" s="125"/>
      <c r="C3" s="126"/>
      <c r="D3" s="118"/>
      <c r="E3" s="118"/>
      <c r="F3" s="127"/>
      <c r="G3" s="128"/>
      <c r="H3" s="129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</row>
    <row r="4" ht="25.5" customHeight="1" spans="2:79">
      <c r="B4" s="130" t="s">
        <v>4</v>
      </c>
      <c r="C4" s="131">
        <v>50</v>
      </c>
      <c r="D4" s="118"/>
      <c r="E4" s="118"/>
      <c r="F4" s="132" t="str">
        <f>C5</f>
        <v>PAINEL FOTOVOLTAICO MONOCRISTALINO SUNOVA 450W</v>
      </c>
      <c r="G4" s="133">
        <f>Calculo!F4</f>
        <v>2</v>
      </c>
      <c r="H4" s="134">
        <f>VLOOKUP(F4,'Sis Placa Solar'!C7:H15,6,0)</f>
        <v>22444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</row>
    <row r="5" ht="25.5" customHeight="1" spans="2:79">
      <c r="B5" s="130" t="s">
        <v>5</v>
      </c>
      <c r="C5" s="135" t="s">
        <v>6</v>
      </c>
      <c r="D5" s="136"/>
      <c r="E5" s="136"/>
      <c r="F5" s="132" t="str">
        <f>IFERROR(VLOOKUP('Sis Inversor off grid'!M2,'Sis Inversor off grid'!Q7:R15,2,0),"")</f>
        <v>INVERSOR SENOIDAL 2000W 24V/220V IP2000-22-PLUS(T) EPEVER</v>
      </c>
      <c r="G5" s="133">
        <f>IFERROR(VLOOKUP(F5,'Sis Inversor off grid'!R7:T15,3,0),"")</f>
        <v>1</v>
      </c>
      <c r="H5" s="134">
        <f>IFERROR(VLOOKUP(F5,'Sis Inversor off grid'!D7:E15,2,0),"")</f>
        <v>25379</v>
      </c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</row>
    <row r="6" ht="25.5" customHeight="1" spans="2:79">
      <c r="B6" s="130" t="s">
        <v>7</v>
      </c>
      <c r="C6" s="135" t="s">
        <v>8</v>
      </c>
      <c r="D6" s="136"/>
      <c r="E6" s="136"/>
      <c r="F6" s="132" t="str">
        <f>VLOOKUP('Sis Controlador de carga'!R3,'Sis Controlador de carga'!R7:S13,2,0)</f>
        <v>CONTROLADOR DE CARGA EPEVER MPPT 30A</v>
      </c>
      <c r="G6" s="133">
        <f>VLOOKUP(F6,'Sis Controlador de carga'!S7:U13,3,0)</f>
        <v>1</v>
      </c>
      <c r="H6" s="134">
        <f>VLOOKUP(F6,'Sis Controlador de carga'!S7:T13,2,0)</f>
        <v>22777</v>
      </c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</row>
    <row r="7" ht="25.5" customHeight="1" spans="2:79">
      <c r="B7" s="130" t="s">
        <v>9</v>
      </c>
      <c r="C7" s="137" t="s">
        <v>10</v>
      </c>
      <c r="D7" s="138"/>
      <c r="E7" s="138"/>
      <c r="F7" s="132" t="str">
        <f>C7</f>
        <v>BATERIA SELADA SOLAR 12V 220AH MOURA</v>
      </c>
      <c r="G7" s="139">
        <f>Calculo!F6</f>
        <v>2</v>
      </c>
      <c r="H7" s="134">
        <f>VLOOKUP(F7,'Sis Bateria'!D6:M10,10,0)</f>
        <v>27919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</row>
    <row r="8" ht="25.5" customHeight="1" spans="2:79">
      <c r="B8" s="130" t="s">
        <v>11</v>
      </c>
      <c r="C8" s="140">
        <v>0.7</v>
      </c>
      <c r="D8" s="141"/>
      <c r="E8" s="141"/>
      <c r="F8" s="142" t="str">
        <f>C11</f>
        <v>SEM ESTRUTURA SOLAR</v>
      </c>
      <c r="G8" s="143">
        <f>VLOOKUP(F8,'Sis Placa Solar'!L6:M8,2,0)</f>
        <v>0</v>
      </c>
      <c r="H8" s="144">
        <f>VLOOKUP(Layout!F8,'Sis Placa Solar'!L6:N8,3,0)</f>
        <v>0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</row>
    <row r="9" ht="25.5" customHeight="1" spans="2:79">
      <c r="B9" s="130" t="s">
        <v>12</v>
      </c>
      <c r="C9" s="135" t="s">
        <v>13</v>
      </c>
      <c r="D9" s="138"/>
      <c r="E9" s="138"/>
      <c r="F9" s="145"/>
      <c r="G9" s="146"/>
      <c r="H9" s="146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</row>
    <row r="10" ht="25.5" customHeight="1" spans="2:79">
      <c r="B10" s="130" t="s">
        <v>14</v>
      </c>
      <c r="C10" s="137">
        <v>1</v>
      </c>
      <c r="D10" s="138"/>
      <c r="E10" s="138"/>
      <c r="F10" s="145"/>
      <c r="G10" s="146"/>
      <c r="H10" s="146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</row>
    <row r="11" ht="24.75" customHeight="1" spans="2:79">
      <c r="B11" s="147" t="s">
        <v>15</v>
      </c>
      <c r="C11" s="148" t="s">
        <v>16</v>
      </c>
      <c r="D11" s="138"/>
      <c r="E11" s="138"/>
      <c r="F11" s="145"/>
      <c r="G11" s="146"/>
      <c r="H11" s="146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</row>
    <row r="12" spans="2:79"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</row>
    <row r="13" spans="2:79"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</row>
    <row r="14" spans="2:79"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</row>
    <row r="15" spans="2:79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</row>
    <row r="16" spans="2:79"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</row>
    <row r="17" spans="2:79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</row>
    <row r="18" spans="2:79"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</row>
    <row r="19" spans="2:79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</row>
    <row r="20" spans="2:79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</row>
    <row r="21" spans="2:79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</row>
    <row r="22" spans="2:79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</row>
    <row r="23" spans="2:79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</row>
    <row r="24" spans="2:79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</row>
    <row r="25" spans="2:79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</row>
    <row r="26" spans="2:79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</row>
    <row r="27" spans="2:79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</row>
    <row r="28" spans="2:79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</row>
    <row r="29" spans="2:79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</row>
    <row r="30" spans="2:79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</row>
    <row r="31" spans="2:79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</row>
    <row r="32" spans="2:79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</row>
    <row r="33" spans="2:79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</row>
    <row r="34" spans="2:79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</row>
    <row r="35" spans="2:79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</row>
    <row r="36" spans="2:79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</row>
    <row r="37" spans="2:79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</row>
    <row r="38" spans="2:79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</row>
    <row r="39" spans="2:79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</row>
    <row r="40" spans="2:79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</row>
    <row r="41" spans="2:79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</row>
    <row r="42" spans="2:79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</row>
    <row r="43" spans="2:79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</row>
    <row r="44" spans="2:79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</row>
    <row r="45" spans="2:79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</row>
    <row r="47" spans="2:79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</row>
    <row r="48" spans="2:79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</row>
    <row r="49" spans="2:79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</row>
    <row r="50" spans="2:79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</row>
    <row r="51" spans="2:79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</row>
    <row r="52" spans="2:79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</row>
    <row r="53" spans="2:79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</row>
    <row r="54" spans="2:79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</row>
    <row r="55" spans="2:79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</row>
    <row r="56" spans="2:79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</row>
    <row r="57" spans="2:79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</row>
    <row r="58" spans="2:79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</row>
    <row r="59" spans="2:79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</row>
    <row r="60" spans="2:79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</row>
    <row r="61" spans="2:79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</row>
    <row r="62" spans="2:79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</row>
    <row r="63" spans="2:79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</row>
    <row r="64" spans="2:79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</row>
    <row r="65" spans="2:79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</row>
    <row r="66" spans="2:79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</row>
    <row r="67" spans="2:79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118"/>
      <c r="BW67" s="118"/>
      <c r="BX67" s="118"/>
      <c r="BY67" s="118"/>
      <c r="BZ67" s="118"/>
      <c r="CA67" s="118"/>
    </row>
    <row r="68" spans="2:79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</row>
    <row r="69" spans="2:79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</row>
    <row r="70" spans="2:79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</row>
    <row r="71" spans="2:79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</row>
    <row r="72" spans="2:79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</row>
    <row r="73" spans="2:79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</row>
    <row r="74" spans="2:79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</row>
    <row r="75" spans="2:79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</row>
    <row r="76" spans="2:79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</row>
    <row r="77" spans="2:79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</row>
    <row r="78" spans="2:79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</row>
    <row r="79" spans="2:79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</row>
    <row r="80" spans="2:79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</row>
    <row r="81" spans="2:79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</row>
    <row r="82" spans="2:79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</row>
    <row r="83" spans="2:79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</row>
    <row r="84" spans="2:79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</row>
    <row r="85" spans="2:79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</row>
    <row r="86" spans="2:79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</row>
    <row r="87" spans="2:79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</row>
    <row r="88" spans="2:79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</row>
    <row r="89" spans="2:79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</row>
    <row r="90" spans="2:79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</row>
    <row r="91" spans="2:79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</row>
    <row r="92" spans="2:79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</row>
    <row r="93" spans="2:79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</row>
    <row r="94" spans="2:79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18"/>
      <c r="BW94" s="118"/>
      <c r="BX94" s="118"/>
      <c r="BY94" s="118"/>
      <c r="BZ94" s="118"/>
      <c r="CA94" s="118"/>
    </row>
    <row r="95" spans="2:79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</row>
    <row r="96" spans="2:79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/>
      <c r="BP96" s="118"/>
      <c r="BQ96" s="118"/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</row>
    <row r="97" spans="2:79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</row>
    <row r="98" spans="2:79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</row>
    <row r="99" spans="2:79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  <c r="BT99" s="118"/>
      <c r="BU99" s="118"/>
      <c r="BV99" s="118"/>
      <c r="BW99" s="118"/>
      <c r="BX99" s="118"/>
      <c r="BY99" s="118"/>
      <c r="BZ99" s="118"/>
      <c r="CA99" s="118"/>
    </row>
    <row r="100" spans="2:79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</row>
    <row r="101" spans="2:79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8"/>
    </row>
    <row r="102" spans="2:79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  <c r="BT102" s="118"/>
      <c r="BU102" s="118"/>
      <c r="BV102" s="118"/>
      <c r="BW102" s="118"/>
      <c r="BX102" s="118"/>
      <c r="BY102" s="118"/>
      <c r="BZ102" s="118"/>
      <c r="CA102" s="118"/>
    </row>
    <row r="103" spans="2:79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</row>
    <row r="104" spans="2:79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  <c r="BT104" s="118"/>
      <c r="BU104" s="118"/>
      <c r="BV104" s="118"/>
      <c r="BW104" s="118"/>
      <c r="BX104" s="118"/>
      <c r="BY104" s="118"/>
      <c r="BZ104" s="118"/>
      <c r="CA104" s="118"/>
    </row>
    <row r="105" spans="2:79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8"/>
    </row>
    <row r="106" spans="2:79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</row>
    <row r="107" spans="2:79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  <c r="BT107" s="118"/>
      <c r="BU107" s="118"/>
      <c r="BV107" s="118"/>
      <c r="BW107" s="118"/>
      <c r="BX107" s="118"/>
      <c r="BY107" s="118"/>
      <c r="BZ107" s="118"/>
      <c r="CA107" s="118"/>
    </row>
    <row r="108" spans="2:79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  <c r="BV108" s="118"/>
      <c r="BW108" s="118"/>
      <c r="BX108" s="118"/>
      <c r="BY108" s="118"/>
      <c r="BZ108" s="118"/>
      <c r="CA108" s="118"/>
    </row>
    <row r="109" spans="2:79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  <c r="BV109" s="118"/>
      <c r="BW109" s="118"/>
      <c r="BX109" s="118"/>
      <c r="BY109" s="118"/>
      <c r="BZ109" s="118"/>
      <c r="CA109" s="118"/>
    </row>
    <row r="110" spans="2:79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  <c r="BT110" s="118"/>
      <c r="BU110" s="118"/>
      <c r="BV110" s="118"/>
      <c r="BW110" s="118"/>
      <c r="BX110" s="118"/>
      <c r="BY110" s="118"/>
      <c r="BZ110" s="118"/>
      <c r="CA110" s="118"/>
    </row>
    <row r="111" spans="2:79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</row>
    <row r="112" spans="2:79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</row>
    <row r="113" spans="2:79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  <c r="BT113" s="118"/>
      <c r="BU113" s="118"/>
      <c r="BV113" s="118"/>
      <c r="BW113" s="118"/>
      <c r="BX113" s="118"/>
      <c r="BY113" s="118"/>
      <c r="BZ113" s="118"/>
      <c r="CA113" s="118"/>
    </row>
    <row r="114" spans="2:79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</row>
    <row r="115" spans="2:79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</row>
    <row r="116" spans="2:79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  <c r="BT116" s="118"/>
      <c r="BU116" s="118"/>
      <c r="BV116" s="118"/>
      <c r="BW116" s="118"/>
      <c r="BX116" s="118"/>
      <c r="BY116" s="118"/>
      <c r="BZ116" s="118"/>
      <c r="CA116" s="118"/>
    </row>
    <row r="117" spans="2:79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</row>
    <row r="118" spans="2:79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  <c r="BT118" s="118"/>
      <c r="BU118" s="118"/>
      <c r="BV118" s="118"/>
      <c r="BW118" s="118"/>
      <c r="BX118" s="118"/>
      <c r="BY118" s="118"/>
      <c r="BZ118" s="118"/>
      <c r="CA118" s="118"/>
    </row>
    <row r="119" spans="2:79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</row>
    <row r="120" spans="2:79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</row>
    <row r="121" spans="2:79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  <c r="BT121" s="118"/>
      <c r="BU121" s="118"/>
      <c r="BV121" s="118"/>
      <c r="BW121" s="118"/>
      <c r="BX121" s="118"/>
      <c r="BY121" s="118"/>
      <c r="BZ121" s="118"/>
      <c r="CA121" s="118"/>
    </row>
    <row r="122" spans="2:79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  <c r="BT122" s="118"/>
      <c r="BU122" s="118"/>
      <c r="BV122" s="118"/>
      <c r="BW122" s="118"/>
      <c r="BX122" s="118"/>
      <c r="BY122" s="118"/>
      <c r="BZ122" s="118"/>
      <c r="CA122" s="118"/>
    </row>
    <row r="123" spans="2:79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  <c r="BV123" s="118"/>
      <c r="BW123" s="118"/>
      <c r="BX123" s="118"/>
      <c r="BY123" s="118"/>
      <c r="BZ123" s="118"/>
      <c r="CA123" s="118"/>
    </row>
    <row r="124" spans="2:79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  <c r="BT124" s="118"/>
      <c r="BU124" s="118"/>
      <c r="BV124" s="118"/>
      <c r="BW124" s="118"/>
      <c r="BX124" s="118"/>
      <c r="BY124" s="118"/>
      <c r="BZ124" s="118"/>
      <c r="CA124" s="118"/>
    </row>
    <row r="125" spans="2:79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  <c r="BT125" s="118"/>
      <c r="BU125" s="118"/>
      <c r="BV125" s="118"/>
      <c r="BW125" s="118"/>
      <c r="BX125" s="118"/>
      <c r="BY125" s="118"/>
      <c r="BZ125" s="118"/>
      <c r="CA125" s="118"/>
    </row>
    <row r="126" spans="2:79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  <c r="BT126" s="118"/>
      <c r="BU126" s="118"/>
      <c r="BV126" s="118"/>
      <c r="BW126" s="118"/>
      <c r="BX126" s="118"/>
      <c r="BY126" s="118"/>
      <c r="BZ126" s="118"/>
      <c r="CA126" s="118"/>
    </row>
    <row r="127" spans="2:79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  <c r="BH127" s="118"/>
      <c r="BI127" s="118"/>
      <c r="BJ127" s="118"/>
      <c r="BK127" s="118"/>
      <c r="BL127" s="118"/>
      <c r="BM127" s="118"/>
      <c r="BN127" s="118"/>
      <c r="BO127" s="118"/>
      <c r="BP127" s="118"/>
      <c r="BQ127" s="118"/>
      <c r="BR127" s="118"/>
      <c r="BS127" s="118"/>
      <c r="BT127" s="118"/>
      <c r="BU127" s="118"/>
      <c r="BV127" s="118"/>
      <c r="BW127" s="118"/>
      <c r="BX127" s="118"/>
      <c r="BY127" s="118"/>
      <c r="BZ127" s="118"/>
      <c r="CA127" s="118"/>
    </row>
    <row r="128" spans="2:79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  <c r="BH128" s="118"/>
      <c r="BI128" s="118"/>
      <c r="BJ128" s="118"/>
      <c r="BK128" s="118"/>
      <c r="BL128" s="118"/>
      <c r="BM128" s="118"/>
      <c r="BN128" s="118"/>
      <c r="BO128" s="118"/>
      <c r="BP128" s="118"/>
      <c r="BQ128" s="118"/>
      <c r="BR128" s="118"/>
      <c r="BS128" s="118"/>
      <c r="BT128" s="118"/>
      <c r="BU128" s="118"/>
      <c r="BV128" s="118"/>
      <c r="BW128" s="118"/>
      <c r="BX128" s="118"/>
      <c r="BY128" s="118"/>
      <c r="BZ128" s="118"/>
      <c r="CA128" s="118"/>
    </row>
    <row r="129" spans="2:79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118"/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</row>
    <row r="130" spans="2:79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</row>
    <row r="131" spans="2:79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/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</row>
    <row r="132" spans="2:79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</row>
    <row r="133" spans="2:79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  <c r="BH133" s="118"/>
      <c r="BI133" s="118"/>
      <c r="BJ133" s="118"/>
      <c r="BK133" s="118"/>
      <c r="BL133" s="118"/>
      <c r="BM133" s="118"/>
      <c r="BN133" s="118"/>
      <c r="BO133" s="118"/>
      <c r="BP133" s="118"/>
      <c r="BQ133" s="118"/>
      <c r="BR133" s="118"/>
      <c r="BS133" s="118"/>
      <c r="BT133" s="118"/>
      <c r="BU133" s="118"/>
      <c r="BV133" s="118"/>
      <c r="BW133" s="118"/>
      <c r="BX133" s="118"/>
      <c r="BY133" s="118"/>
      <c r="BZ133" s="118"/>
      <c r="CA133" s="118"/>
    </row>
    <row r="134" spans="2:79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  <c r="BH134" s="118"/>
      <c r="BI134" s="118"/>
      <c r="BJ134" s="118"/>
      <c r="BK134" s="118"/>
      <c r="BL134" s="118"/>
      <c r="BM134" s="118"/>
      <c r="BN134" s="118"/>
      <c r="BO134" s="118"/>
      <c r="BP134" s="118"/>
      <c r="BQ134" s="118"/>
      <c r="BR134" s="118"/>
      <c r="BS134" s="118"/>
      <c r="BT134" s="118"/>
      <c r="BU134" s="118"/>
      <c r="BV134" s="118"/>
      <c r="BW134" s="118"/>
      <c r="BX134" s="118"/>
      <c r="BY134" s="118"/>
      <c r="BZ134" s="118"/>
      <c r="CA134" s="118"/>
    </row>
    <row r="135" spans="2:79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8"/>
      <c r="BG135" s="118"/>
      <c r="BH135" s="118"/>
      <c r="BI135" s="118"/>
      <c r="BJ135" s="118"/>
      <c r="BK135" s="118"/>
      <c r="BL135" s="118"/>
      <c r="BM135" s="118"/>
      <c r="BN135" s="118"/>
      <c r="BO135" s="118"/>
      <c r="BP135" s="118"/>
      <c r="BQ135" s="118"/>
      <c r="BR135" s="118"/>
      <c r="BS135" s="118"/>
      <c r="BT135" s="118"/>
      <c r="BU135" s="118"/>
      <c r="BV135" s="118"/>
      <c r="BW135" s="118"/>
      <c r="BX135" s="118"/>
      <c r="BY135" s="118"/>
      <c r="BZ135" s="118"/>
      <c r="CA135" s="118"/>
    </row>
    <row r="136" spans="2:79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8"/>
      <c r="BG136" s="118"/>
      <c r="BH136" s="118"/>
      <c r="BI136" s="118"/>
      <c r="BJ136" s="118"/>
      <c r="BK136" s="118"/>
      <c r="BL136" s="118"/>
      <c r="BM136" s="118"/>
      <c r="BN136" s="118"/>
      <c r="BO136" s="118"/>
      <c r="BP136" s="118"/>
      <c r="BQ136" s="118"/>
      <c r="BR136" s="118"/>
      <c r="BS136" s="118"/>
      <c r="BT136" s="118"/>
      <c r="BU136" s="118"/>
      <c r="BV136" s="118"/>
      <c r="BW136" s="118"/>
      <c r="BX136" s="118"/>
      <c r="BY136" s="118"/>
      <c r="BZ136" s="118"/>
      <c r="CA136" s="118"/>
    </row>
    <row r="137" spans="2:79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8"/>
      <c r="BG137" s="118"/>
      <c r="BH137" s="118"/>
      <c r="BI137" s="118"/>
      <c r="BJ137" s="118"/>
      <c r="BK137" s="118"/>
      <c r="BL137" s="118"/>
      <c r="BM137" s="118"/>
      <c r="BN137" s="118"/>
      <c r="BO137" s="118"/>
      <c r="BP137" s="118"/>
      <c r="BQ137" s="118"/>
      <c r="BR137" s="118"/>
      <c r="BS137" s="118"/>
      <c r="BT137" s="118"/>
      <c r="BU137" s="118"/>
      <c r="BV137" s="118"/>
      <c r="BW137" s="118"/>
      <c r="BX137" s="118"/>
      <c r="BY137" s="118"/>
      <c r="BZ137" s="118"/>
      <c r="CA137" s="118"/>
    </row>
    <row r="138" spans="2:79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8"/>
      <c r="BG138" s="118"/>
      <c r="BH138" s="118"/>
      <c r="BI138" s="118"/>
      <c r="BJ138" s="118"/>
      <c r="BK138" s="118"/>
      <c r="BL138" s="118"/>
      <c r="BM138" s="118"/>
      <c r="BN138" s="118"/>
      <c r="BO138" s="118"/>
      <c r="BP138" s="118"/>
      <c r="BQ138" s="118"/>
      <c r="BR138" s="118"/>
      <c r="BS138" s="118"/>
      <c r="BT138" s="118"/>
      <c r="BU138" s="118"/>
      <c r="BV138" s="118"/>
      <c r="BW138" s="118"/>
      <c r="BX138" s="118"/>
      <c r="BY138" s="118"/>
      <c r="BZ138" s="118"/>
      <c r="CA138" s="118"/>
    </row>
    <row r="139" spans="2:79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  <c r="BD139" s="118"/>
      <c r="BE139" s="118"/>
      <c r="BF139" s="118"/>
      <c r="BG139" s="118"/>
      <c r="BH139" s="118"/>
      <c r="BI139" s="118"/>
      <c r="BJ139" s="118"/>
      <c r="BK139" s="118"/>
      <c r="BL139" s="118"/>
      <c r="BM139" s="118"/>
      <c r="BN139" s="118"/>
      <c r="BO139" s="118"/>
      <c r="BP139" s="118"/>
      <c r="BQ139" s="118"/>
      <c r="BR139" s="118"/>
      <c r="BS139" s="118"/>
      <c r="BT139" s="118"/>
      <c r="BU139" s="118"/>
      <c r="BV139" s="118"/>
      <c r="BW139" s="118"/>
      <c r="BX139" s="118"/>
      <c r="BY139" s="118"/>
      <c r="BZ139" s="118"/>
      <c r="CA139" s="118"/>
    </row>
    <row r="140" spans="2:79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  <c r="BD140" s="118"/>
      <c r="BE140" s="118"/>
      <c r="BF140" s="118"/>
      <c r="BG140" s="118"/>
      <c r="BH140" s="118"/>
      <c r="BI140" s="118"/>
      <c r="BJ140" s="118"/>
      <c r="BK140" s="118"/>
      <c r="BL140" s="118"/>
      <c r="BM140" s="118"/>
      <c r="BN140" s="118"/>
      <c r="BO140" s="118"/>
      <c r="BP140" s="118"/>
      <c r="BQ140" s="118"/>
      <c r="BR140" s="118"/>
      <c r="BS140" s="118"/>
      <c r="BT140" s="118"/>
      <c r="BU140" s="118"/>
      <c r="BV140" s="118"/>
      <c r="BW140" s="118"/>
      <c r="BX140" s="118"/>
      <c r="BY140" s="118"/>
      <c r="BZ140" s="118"/>
      <c r="CA140" s="118"/>
    </row>
    <row r="141" spans="2:79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  <c r="BL141" s="118"/>
      <c r="BM141" s="118"/>
      <c r="BN141" s="118"/>
      <c r="BO141" s="118"/>
      <c r="BP141" s="118"/>
      <c r="BQ141" s="118"/>
      <c r="BR141" s="118"/>
      <c r="BS141" s="118"/>
      <c r="BT141" s="118"/>
      <c r="BU141" s="118"/>
      <c r="BV141" s="118"/>
      <c r="BW141" s="118"/>
      <c r="BX141" s="118"/>
      <c r="BY141" s="118"/>
      <c r="BZ141" s="118"/>
      <c r="CA141" s="118"/>
    </row>
    <row r="142" spans="2:79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  <c r="BL142" s="118"/>
      <c r="BM142" s="118"/>
      <c r="BN142" s="118"/>
      <c r="BO142" s="118"/>
      <c r="BP142" s="118"/>
      <c r="BQ142" s="118"/>
      <c r="BR142" s="118"/>
      <c r="BS142" s="118"/>
      <c r="BT142" s="118"/>
      <c r="BU142" s="118"/>
      <c r="BV142" s="118"/>
      <c r="BW142" s="118"/>
      <c r="BX142" s="118"/>
      <c r="BY142" s="118"/>
      <c r="BZ142" s="118"/>
      <c r="CA142" s="118"/>
    </row>
    <row r="143" spans="2:79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  <c r="BL143" s="118"/>
      <c r="BM143" s="118"/>
      <c r="BN143" s="118"/>
      <c r="BO143" s="118"/>
      <c r="BP143" s="118"/>
      <c r="BQ143" s="118"/>
      <c r="BR143" s="118"/>
      <c r="BS143" s="118"/>
      <c r="BT143" s="118"/>
      <c r="BU143" s="118"/>
      <c r="BV143" s="118"/>
      <c r="BW143" s="118"/>
      <c r="BX143" s="118"/>
      <c r="BY143" s="118"/>
      <c r="BZ143" s="118"/>
      <c r="CA143" s="118"/>
    </row>
    <row r="144" spans="2:79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  <c r="BL144" s="118"/>
      <c r="BM144" s="118"/>
      <c r="BN144" s="118"/>
      <c r="BO144" s="118"/>
      <c r="BP144" s="118"/>
      <c r="BQ144" s="118"/>
      <c r="BR144" s="118"/>
      <c r="BS144" s="118"/>
      <c r="BT144" s="118"/>
      <c r="BU144" s="118"/>
      <c r="BV144" s="118"/>
      <c r="BW144" s="118"/>
      <c r="BX144" s="118"/>
      <c r="BY144" s="118"/>
      <c r="BZ144" s="118"/>
      <c r="CA144" s="118"/>
    </row>
    <row r="145" spans="2:79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  <c r="BH145" s="118"/>
      <c r="BI145" s="118"/>
      <c r="BJ145" s="118"/>
      <c r="BK145" s="118"/>
      <c r="BL145" s="118"/>
      <c r="BM145" s="118"/>
      <c r="BN145" s="118"/>
      <c r="BO145" s="118"/>
      <c r="BP145" s="118"/>
      <c r="BQ145" s="118"/>
      <c r="BR145" s="118"/>
      <c r="BS145" s="118"/>
      <c r="BT145" s="118"/>
      <c r="BU145" s="118"/>
      <c r="BV145" s="118"/>
      <c r="BW145" s="118"/>
      <c r="BX145" s="118"/>
      <c r="BY145" s="118"/>
      <c r="BZ145" s="118"/>
      <c r="CA145" s="118"/>
    </row>
    <row r="146" spans="2:79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  <c r="BH146" s="118"/>
      <c r="BI146" s="118"/>
      <c r="BJ146" s="118"/>
      <c r="BK146" s="118"/>
      <c r="BL146" s="118"/>
      <c r="BM146" s="118"/>
      <c r="BN146" s="118"/>
      <c r="BO146" s="118"/>
      <c r="BP146" s="118"/>
      <c r="BQ146" s="118"/>
      <c r="BR146" s="118"/>
      <c r="BS146" s="118"/>
      <c r="BT146" s="118"/>
      <c r="BU146" s="118"/>
      <c r="BV146" s="118"/>
      <c r="BW146" s="118"/>
      <c r="BX146" s="118"/>
      <c r="BY146" s="118"/>
      <c r="BZ146" s="118"/>
      <c r="CA146" s="118"/>
    </row>
    <row r="147" spans="2:79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  <c r="BH147" s="118"/>
      <c r="BI147" s="118"/>
      <c r="BJ147" s="118"/>
      <c r="BK147" s="118"/>
      <c r="BL147" s="118"/>
      <c r="BM147" s="118"/>
      <c r="BN147" s="118"/>
      <c r="BO147" s="118"/>
      <c r="BP147" s="118"/>
      <c r="BQ147" s="118"/>
      <c r="BR147" s="118"/>
      <c r="BS147" s="118"/>
      <c r="BT147" s="118"/>
      <c r="BU147" s="118"/>
      <c r="BV147" s="118"/>
      <c r="BW147" s="118"/>
      <c r="BX147" s="118"/>
      <c r="BY147" s="118"/>
      <c r="BZ147" s="118"/>
      <c r="CA147" s="118"/>
    </row>
    <row r="148" spans="2:79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/>
      <c r="BP148" s="118"/>
      <c r="BQ148" s="118"/>
      <c r="BR148" s="118"/>
      <c r="BS148" s="118"/>
      <c r="BT148" s="118"/>
      <c r="BU148" s="118"/>
      <c r="BV148" s="118"/>
      <c r="BW148" s="118"/>
      <c r="BX148" s="118"/>
      <c r="BY148" s="118"/>
      <c r="BZ148" s="118"/>
      <c r="CA148" s="118"/>
    </row>
    <row r="149" spans="2:79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  <c r="BH149" s="118"/>
      <c r="BI149" s="118"/>
      <c r="BJ149" s="118"/>
      <c r="BK149" s="118"/>
      <c r="BL149" s="118"/>
      <c r="BM149" s="118"/>
      <c r="BN149" s="118"/>
      <c r="BO149" s="118"/>
      <c r="BP149" s="118"/>
      <c r="BQ149" s="118"/>
      <c r="BR149" s="118"/>
      <c r="BS149" s="118"/>
      <c r="BT149" s="118"/>
      <c r="BU149" s="118"/>
      <c r="BV149" s="118"/>
      <c r="BW149" s="118"/>
      <c r="BX149" s="118"/>
      <c r="BY149" s="118"/>
      <c r="BZ149" s="118"/>
      <c r="CA149" s="118"/>
    </row>
    <row r="150" spans="2:79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</row>
    <row r="151" spans="2:79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  <c r="BH151" s="118"/>
      <c r="BI151" s="118"/>
      <c r="BJ151" s="118"/>
      <c r="BK151" s="118"/>
      <c r="BL151" s="118"/>
      <c r="BM151" s="118"/>
      <c r="BN151" s="118"/>
      <c r="BO151" s="118"/>
      <c r="BP151" s="118"/>
      <c r="BQ151" s="118"/>
      <c r="BR151" s="118"/>
      <c r="BS151" s="118"/>
      <c r="BT151" s="118"/>
      <c r="BU151" s="118"/>
      <c r="BV151" s="118"/>
      <c r="BW151" s="118"/>
      <c r="BX151" s="118"/>
      <c r="BY151" s="118"/>
      <c r="BZ151" s="118"/>
      <c r="CA151" s="118"/>
    </row>
    <row r="152" spans="2:79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/>
      <c r="BQ152" s="118"/>
      <c r="BR152" s="118"/>
      <c r="BS152" s="118"/>
      <c r="BT152" s="118"/>
      <c r="BU152" s="118"/>
      <c r="BV152" s="118"/>
      <c r="BW152" s="118"/>
      <c r="BX152" s="118"/>
      <c r="BY152" s="118"/>
      <c r="BZ152" s="118"/>
      <c r="CA152" s="118"/>
    </row>
    <row r="153" spans="2:79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/>
      <c r="BQ153" s="118"/>
      <c r="BR153" s="118"/>
      <c r="BS153" s="118"/>
      <c r="BT153" s="118"/>
      <c r="BU153" s="118"/>
      <c r="BV153" s="118"/>
      <c r="BW153" s="118"/>
      <c r="BX153" s="118"/>
      <c r="BY153" s="118"/>
      <c r="BZ153" s="118"/>
      <c r="CA153" s="118"/>
    </row>
    <row r="154" spans="2:79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/>
      <c r="BM154" s="118"/>
      <c r="BN154" s="118"/>
      <c r="BO154" s="118"/>
      <c r="BP154" s="118"/>
      <c r="BQ154" s="118"/>
      <c r="BR154" s="118"/>
      <c r="BS154" s="118"/>
      <c r="BT154" s="118"/>
      <c r="BU154" s="118"/>
      <c r="BV154" s="118"/>
      <c r="BW154" s="118"/>
      <c r="BX154" s="118"/>
      <c r="BY154" s="118"/>
      <c r="BZ154" s="118"/>
      <c r="CA154" s="118"/>
    </row>
    <row r="155" spans="2:79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/>
      <c r="BM155" s="118"/>
      <c r="BN155" s="118"/>
      <c r="BO155" s="118"/>
      <c r="BP155" s="118"/>
      <c r="BQ155" s="118"/>
      <c r="BR155" s="118"/>
      <c r="BS155" s="118"/>
      <c r="BT155" s="118"/>
      <c r="BU155" s="118"/>
      <c r="BV155" s="118"/>
      <c r="BW155" s="118"/>
      <c r="BX155" s="118"/>
      <c r="BY155" s="118"/>
      <c r="BZ155" s="118"/>
      <c r="CA155" s="118"/>
    </row>
    <row r="156" spans="2:79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  <c r="BL156" s="118"/>
      <c r="BM156" s="118"/>
      <c r="BN156" s="118"/>
      <c r="BO156" s="118"/>
      <c r="BP156" s="118"/>
      <c r="BQ156" s="118"/>
      <c r="BR156" s="118"/>
      <c r="BS156" s="118"/>
      <c r="BT156" s="118"/>
      <c r="BU156" s="118"/>
      <c r="BV156" s="118"/>
      <c r="BW156" s="118"/>
      <c r="BX156" s="118"/>
      <c r="BY156" s="118"/>
      <c r="BZ156" s="118"/>
      <c r="CA156" s="118"/>
    </row>
    <row r="157" spans="2:79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  <c r="BH157" s="118"/>
      <c r="BI157" s="118"/>
      <c r="BJ157" s="118"/>
      <c r="BK157" s="118"/>
      <c r="BL157" s="118"/>
      <c r="BM157" s="118"/>
      <c r="BN157" s="118"/>
      <c r="BO157" s="118"/>
      <c r="BP157" s="118"/>
      <c r="BQ157" s="118"/>
      <c r="BR157" s="118"/>
      <c r="BS157" s="118"/>
      <c r="BT157" s="118"/>
      <c r="BU157" s="118"/>
      <c r="BV157" s="118"/>
      <c r="BW157" s="118"/>
      <c r="BX157" s="118"/>
      <c r="BY157" s="118"/>
      <c r="BZ157" s="118"/>
      <c r="CA157" s="118"/>
    </row>
    <row r="158" spans="2:79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8"/>
      <c r="BP158" s="118"/>
      <c r="BQ158" s="118"/>
      <c r="BR158" s="118"/>
      <c r="BS158" s="118"/>
      <c r="BT158" s="118"/>
      <c r="BU158" s="118"/>
      <c r="BV158" s="118"/>
      <c r="BW158" s="118"/>
      <c r="BX158" s="118"/>
      <c r="BY158" s="118"/>
      <c r="BZ158" s="118"/>
      <c r="CA158" s="118"/>
    </row>
    <row r="159" spans="2:79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  <c r="BH159" s="118"/>
      <c r="BI159" s="118"/>
      <c r="BJ159" s="118"/>
      <c r="BK159" s="118"/>
      <c r="BL159" s="118"/>
      <c r="BM159" s="118"/>
      <c r="BN159" s="118"/>
      <c r="BO159" s="118"/>
      <c r="BP159" s="118"/>
      <c r="BQ159" s="118"/>
      <c r="BR159" s="118"/>
      <c r="BS159" s="118"/>
      <c r="BT159" s="118"/>
      <c r="BU159" s="118"/>
      <c r="BV159" s="118"/>
      <c r="BW159" s="118"/>
      <c r="BX159" s="118"/>
      <c r="BY159" s="118"/>
      <c r="BZ159" s="118"/>
      <c r="CA159" s="118"/>
    </row>
    <row r="160" spans="2:79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  <c r="BH160" s="118"/>
      <c r="BI160" s="118"/>
      <c r="BJ160" s="118"/>
      <c r="BK160" s="118"/>
      <c r="BL160" s="118"/>
      <c r="BM160" s="118"/>
      <c r="BN160" s="118"/>
      <c r="BO160" s="118"/>
      <c r="BP160" s="118"/>
      <c r="BQ160" s="118"/>
      <c r="BR160" s="118"/>
      <c r="BS160" s="118"/>
      <c r="BT160" s="118"/>
      <c r="BU160" s="118"/>
      <c r="BV160" s="118"/>
      <c r="BW160" s="118"/>
      <c r="BX160" s="118"/>
      <c r="BY160" s="118"/>
      <c r="BZ160" s="118"/>
      <c r="CA160" s="118"/>
    </row>
    <row r="161" spans="2:79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  <c r="BH161" s="118"/>
      <c r="BI161" s="118"/>
      <c r="BJ161" s="118"/>
      <c r="BK161" s="118"/>
      <c r="BL161" s="118"/>
      <c r="BM161" s="118"/>
      <c r="BN161" s="118"/>
      <c r="BO161" s="118"/>
      <c r="BP161" s="118"/>
      <c r="BQ161" s="118"/>
      <c r="BR161" s="118"/>
      <c r="BS161" s="118"/>
      <c r="BT161" s="118"/>
      <c r="BU161" s="118"/>
      <c r="BV161" s="118"/>
      <c r="BW161" s="118"/>
      <c r="BX161" s="118"/>
      <c r="BY161" s="118"/>
      <c r="BZ161" s="118"/>
      <c r="CA161" s="118"/>
    </row>
    <row r="162" spans="2:79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  <c r="BL162" s="118"/>
      <c r="BM162" s="118"/>
      <c r="BN162" s="118"/>
      <c r="BO162" s="118"/>
      <c r="BP162" s="118"/>
      <c r="BQ162" s="118"/>
      <c r="BR162" s="118"/>
      <c r="BS162" s="118"/>
      <c r="BT162" s="118"/>
      <c r="BU162" s="118"/>
      <c r="BV162" s="118"/>
      <c r="BW162" s="118"/>
      <c r="BX162" s="118"/>
      <c r="BY162" s="118"/>
      <c r="BZ162" s="118"/>
      <c r="CA162" s="118"/>
    </row>
    <row r="163" spans="2:79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  <c r="BH163" s="118"/>
      <c r="BI163" s="118"/>
      <c r="BJ163" s="118"/>
      <c r="BK163" s="118"/>
      <c r="BL163" s="118"/>
      <c r="BM163" s="118"/>
      <c r="BN163" s="118"/>
      <c r="BO163" s="118"/>
      <c r="BP163" s="118"/>
      <c r="BQ163" s="118"/>
      <c r="BR163" s="118"/>
      <c r="BS163" s="118"/>
      <c r="BT163" s="118"/>
      <c r="BU163" s="118"/>
      <c r="BV163" s="118"/>
      <c r="BW163" s="118"/>
      <c r="BX163" s="118"/>
      <c r="BY163" s="118"/>
      <c r="BZ163" s="118"/>
      <c r="CA163" s="118"/>
    </row>
    <row r="164" spans="2:79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  <c r="BV164" s="118"/>
      <c r="BW164" s="118"/>
      <c r="BX164" s="118"/>
      <c r="BY164" s="118"/>
      <c r="BZ164" s="118"/>
      <c r="CA164" s="118"/>
    </row>
    <row r="165" spans="2:79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  <c r="BL165" s="118"/>
      <c r="BM165" s="118"/>
      <c r="BN165" s="118"/>
      <c r="BO165" s="118"/>
      <c r="BP165" s="118"/>
      <c r="BQ165" s="118"/>
      <c r="BR165" s="118"/>
      <c r="BS165" s="118"/>
      <c r="BT165" s="118"/>
      <c r="BU165" s="118"/>
      <c r="BV165" s="118"/>
      <c r="BW165" s="118"/>
      <c r="BX165" s="118"/>
      <c r="BY165" s="118"/>
      <c r="BZ165" s="118"/>
      <c r="CA165" s="118"/>
    </row>
    <row r="166" spans="2:79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/>
      <c r="BP166" s="118"/>
      <c r="BQ166" s="118"/>
      <c r="BR166" s="118"/>
      <c r="BS166" s="118"/>
      <c r="BT166" s="118"/>
      <c r="BU166" s="118"/>
      <c r="BV166" s="118"/>
      <c r="BW166" s="118"/>
      <c r="BX166" s="118"/>
      <c r="BY166" s="118"/>
      <c r="BZ166" s="118"/>
      <c r="CA166" s="118"/>
    </row>
    <row r="167" spans="2:11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</row>
    <row r="168" spans="2:11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</row>
    <row r="169" spans="2:11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</row>
    <row r="170" spans="2:11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</row>
    <row r="171" spans="2:11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</row>
    <row r="172" spans="2:11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</row>
    <row r="173" spans="2:11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</row>
    <row r="174" spans="2:11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</row>
    <row r="175" spans="2:11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</row>
    <row r="176" spans="2:11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</row>
    <row r="177" spans="2:11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</row>
    <row r="178" spans="2:11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</row>
    <row r="179" spans="2:11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</row>
    <row r="180" spans="2:11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</row>
    <row r="181" spans="2:11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</row>
    <row r="182" spans="2:11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</row>
  </sheetData>
  <protectedRanges>
    <protectedRange sqref="C4:C11" name="calculo"/>
  </protectedRanges>
  <mergeCells count="2">
    <mergeCell ref="B2:C2"/>
    <mergeCell ref="B3:C3"/>
  </mergeCells>
  <dataValidations count="6">
    <dataValidation type="list" allowBlank="1" showInputMessage="1" showErrorMessage="1" sqref="C5">
      <formula1>'Sis Placa Solar'!$C$7:$C$15</formula1>
    </dataValidation>
    <dataValidation type="list" allowBlank="1" showInputMessage="1" showErrorMessage="1" sqref="C6">
      <formula1>'Sis Inversor off grid'!$N$29:$N$33</formula1>
    </dataValidation>
    <dataValidation type="list" allowBlank="1" showInputMessage="1" showErrorMessage="1" sqref="C7">
      <formula1>'Sis Bateria'!$D$6:$D$10</formula1>
    </dataValidation>
    <dataValidation type="list" allowBlank="1" showInputMessage="1" showErrorMessage="1" sqref="C8">
      <formula1>'Sis Inversor off grid'!$F$28:$F$33</formula1>
    </dataValidation>
    <dataValidation type="list" allowBlank="1" showInputMessage="1" showErrorMessage="1" sqref="C9">
      <formula1>'Sis Inversor off grid'!$J$29:$J$31</formula1>
    </dataValidation>
    <dataValidation type="list" allowBlank="1" showInputMessage="1" showErrorMessage="1" sqref="C11">
      <formula1>'Sis Placa Solar'!$L$6:$L$8</formula1>
    </dataValidation>
  </dataValidations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selection activeCell="B8" sqref="B8"/>
    </sheetView>
  </sheetViews>
  <sheetFormatPr defaultColWidth="9.14285714285714" defaultRowHeight="12.75"/>
  <cols>
    <col min="1" max="1" width="55.8571428571429" customWidth="1"/>
    <col min="2" max="2" width="14.2857142857143" style="83" customWidth="1"/>
    <col min="5" max="5" width="49.8571428571429" customWidth="1"/>
    <col min="6" max="6" width="12.4285714285714" style="83" customWidth="1"/>
    <col min="9" max="9" width="29.1428571428571" customWidth="1"/>
    <col min="10" max="10" width="15"/>
  </cols>
  <sheetData>
    <row r="1" ht="18.75" spans="1:6">
      <c r="A1" s="84" t="s">
        <v>17</v>
      </c>
      <c r="B1" s="84"/>
      <c r="C1" s="85"/>
      <c r="D1" s="85"/>
      <c r="E1" s="86" t="s">
        <v>18</v>
      </c>
      <c r="F1" s="86"/>
    </row>
    <row r="2" ht="37.5" spans="1:6">
      <c r="A2" s="84"/>
      <c r="B2" s="87" t="s">
        <v>19</v>
      </c>
      <c r="C2" s="85"/>
      <c r="D2" s="85"/>
      <c r="E2" s="86"/>
      <c r="F2" s="86"/>
    </row>
    <row r="3" ht="15" customHeight="1" spans="1:6">
      <c r="A3" s="84"/>
      <c r="B3" s="87"/>
      <c r="C3" s="85"/>
      <c r="D3" s="85"/>
      <c r="E3" s="88" t="s">
        <v>20</v>
      </c>
      <c r="F3" s="89">
        <f>ROUND(B27,0)</f>
        <v>2</v>
      </c>
    </row>
    <row r="4" ht="18.75" spans="1:6">
      <c r="A4" s="90" t="s">
        <v>21</v>
      </c>
      <c r="B4" s="91">
        <f>Layout!C4</f>
        <v>50</v>
      </c>
      <c r="C4" s="85" t="s">
        <v>22</v>
      </c>
      <c r="D4" s="85"/>
      <c r="E4" s="88" t="s">
        <v>23</v>
      </c>
      <c r="F4" s="92">
        <f>ROUND(B23/B8,0)</f>
        <v>2</v>
      </c>
    </row>
    <row r="5" ht="18.75" spans="1:6">
      <c r="A5" s="90" t="s">
        <v>24</v>
      </c>
      <c r="B5" s="91">
        <f>VLOOKUP(Layout!C7,'Sis Bateria'!D6:L10,7,0)</f>
        <v>220</v>
      </c>
      <c r="C5" s="85" t="s">
        <v>25</v>
      </c>
      <c r="D5" s="85"/>
      <c r="E5" s="88" t="s">
        <v>26</v>
      </c>
      <c r="F5" s="92">
        <f>ROUNDUP(B18,0)</f>
        <v>22</v>
      </c>
    </row>
    <row r="6" ht="18.75" spans="1:6">
      <c r="A6" s="90" t="s">
        <v>27</v>
      </c>
      <c r="B6" s="93">
        <f>VLOOKUP(Layout!C8,'Sis Inversor off grid'!F28:G33,2,0)</f>
        <v>0.7</v>
      </c>
      <c r="C6" s="85" t="s">
        <v>28</v>
      </c>
      <c r="D6" s="85"/>
      <c r="E6" s="88" t="s">
        <v>29</v>
      </c>
      <c r="F6" s="92">
        <f>ROUND(ROUND(B21,0)/(B7/12),0)*(B7/12)</f>
        <v>2</v>
      </c>
    </row>
    <row r="7" ht="18.75" spans="1:6">
      <c r="A7" s="90" t="s">
        <v>12</v>
      </c>
      <c r="B7" s="91">
        <f>VLOOKUP(Layout!C9,'Sis Inversor off grid'!J29:K31,2,0)</f>
        <v>24</v>
      </c>
      <c r="C7" s="85" t="s">
        <v>30</v>
      </c>
      <c r="D7" s="85"/>
      <c r="E7" s="88" t="s">
        <v>31</v>
      </c>
      <c r="F7" s="94">
        <f>B4</f>
        <v>50</v>
      </c>
    </row>
    <row r="8" ht="18.75" spans="1:6">
      <c r="A8" s="90" t="s">
        <v>32</v>
      </c>
      <c r="B8" s="95">
        <f>VLOOKUP(Layout!C5,'Sis Placa Solar'!C7:G15,3,0)</f>
        <v>450</v>
      </c>
      <c r="C8" s="85" t="s">
        <v>22</v>
      </c>
      <c r="D8" s="85"/>
      <c r="E8" s="88"/>
      <c r="F8" s="96"/>
    </row>
    <row r="9" ht="18.75" spans="1:6">
      <c r="A9" s="90" t="s">
        <v>33</v>
      </c>
      <c r="B9" s="95">
        <f>VLOOKUP(Layout!C5,'Sis Placa Solar'!C7:G15,5,0)</f>
        <v>11.47</v>
      </c>
      <c r="C9" s="85" t="s">
        <v>34</v>
      </c>
      <c r="D9" s="85"/>
      <c r="E9" s="97"/>
      <c r="F9" s="98"/>
    </row>
    <row r="10" ht="18.75" spans="1:6">
      <c r="A10" s="99" t="s">
        <v>35</v>
      </c>
      <c r="B10" s="95">
        <f>VLOOKUP(Layout!C5,'Sis Placa Solar'!C7:G15,4,0)</f>
        <v>50.4</v>
      </c>
      <c r="C10" s="85" t="s">
        <v>30</v>
      </c>
      <c r="D10" s="85"/>
      <c r="E10" s="85"/>
      <c r="F10" s="100"/>
    </row>
    <row r="11" ht="18.75" spans="1:6">
      <c r="A11" s="99" t="s">
        <v>7</v>
      </c>
      <c r="B11" s="101">
        <f>VLOOKUP(Layout!C6,'Sis Inversor off grid'!N29:O33,2,0)</f>
        <v>220</v>
      </c>
      <c r="C11" s="85" t="s">
        <v>30</v>
      </c>
      <c r="D11" s="85"/>
      <c r="E11" s="85"/>
      <c r="F11" s="100"/>
    </row>
    <row r="12" ht="18.75" spans="1:6">
      <c r="A12" s="99" t="s">
        <v>36</v>
      </c>
      <c r="B12" s="101">
        <f>Layout!C10</f>
        <v>1</v>
      </c>
      <c r="C12" s="85" t="s">
        <v>37</v>
      </c>
      <c r="D12" s="85"/>
      <c r="E12" s="85"/>
      <c r="F12" s="100"/>
    </row>
    <row r="13" ht="18.75" spans="1:6">
      <c r="A13" s="102"/>
      <c r="B13" s="103"/>
      <c r="C13" s="102"/>
      <c r="D13" s="102"/>
      <c r="E13" s="85"/>
      <c r="F13" s="100"/>
    </row>
    <row r="14" ht="18.75" spans="1:6">
      <c r="A14" s="102"/>
      <c r="B14" s="103"/>
      <c r="C14" s="102"/>
      <c r="D14" s="102"/>
      <c r="E14" s="104"/>
      <c r="F14" s="100"/>
    </row>
    <row r="15" ht="18.75" spans="1:10">
      <c r="A15" s="105" t="s">
        <v>38</v>
      </c>
      <c r="B15" s="106"/>
      <c r="C15" s="107"/>
      <c r="D15" s="102"/>
      <c r="E15" s="104"/>
      <c r="F15" s="100"/>
      <c r="J15" s="116"/>
    </row>
    <row r="16" ht="18.75" spans="1:6">
      <c r="A16" s="107" t="s">
        <v>39</v>
      </c>
      <c r="B16" s="108">
        <f>B4/B7</f>
        <v>2.08333333333333</v>
      </c>
      <c r="C16" s="107" t="s">
        <v>25</v>
      </c>
      <c r="D16" s="102"/>
      <c r="E16" s="104"/>
      <c r="F16" s="100"/>
    </row>
    <row r="17" ht="18.75" spans="1:6">
      <c r="A17" s="107" t="s">
        <v>40</v>
      </c>
      <c r="B17" s="108">
        <f>(B12*B16)/B6</f>
        <v>2.97619047619048</v>
      </c>
      <c r="C17" s="107" t="s">
        <v>25</v>
      </c>
      <c r="D17" s="102"/>
      <c r="E17" s="104"/>
      <c r="F17" s="100"/>
    </row>
    <row r="18" ht="18.75" spans="1:6">
      <c r="A18" s="107" t="s">
        <v>41</v>
      </c>
      <c r="B18" s="108">
        <f>((B5*F6)/(B7/12))*10%</f>
        <v>22</v>
      </c>
      <c r="C18" s="107" t="s">
        <v>25</v>
      </c>
      <c r="D18" s="102"/>
      <c r="E18" s="104" t="s">
        <v>42</v>
      </c>
      <c r="F18" s="109"/>
    </row>
    <row r="19" ht="18.75" spans="1:6">
      <c r="A19" s="110" t="s">
        <v>43</v>
      </c>
      <c r="B19" s="108">
        <f>(B17/B5)*(B7/12)</f>
        <v>0.0270562770562771</v>
      </c>
      <c r="C19" s="107" t="s">
        <v>44</v>
      </c>
      <c r="D19" s="102"/>
      <c r="E19" s="104"/>
      <c r="F19" s="100"/>
    </row>
    <row r="20" ht="18.75" spans="1:6">
      <c r="A20" s="110"/>
      <c r="B20" s="111">
        <f>(B5/B5)*(B7/12)</f>
        <v>2</v>
      </c>
      <c r="C20" s="107" t="s">
        <v>44</v>
      </c>
      <c r="D20" s="102"/>
      <c r="E20" s="104"/>
      <c r="F20" s="100"/>
    </row>
    <row r="21" ht="18.75" spans="1:6">
      <c r="A21" s="110"/>
      <c r="B21" s="112">
        <f>IF(B20&gt;=B19,B20*1,B19*1)</f>
        <v>2</v>
      </c>
      <c r="C21" s="107" t="s">
        <v>44</v>
      </c>
      <c r="D21" s="102"/>
      <c r="E21" s="104"/>
      <c r="F21" s="100"/>
    </row>
    <row r="22" ht="18.75" spans="1:10">
      <c r="A22" s="107" t="s">
        <v>45</v>
      </c>
      <c r="B22" s="108">
        <f>((B7*1.2)*B18)*1</f>
        <v>633.6</v>
      </c>
      <c r="C22" s="107" t="s">
        <v>22</v>
      </c>
      <c r="D22" s="102"/>
      <c r="E22" s="104"/>
      <c r="F22" s="100"/>
      <c r="J22" s="116"/>
    </row>
    <row r="23" ht="18.75" spans="1:10">
      <c r="A23" s="107" t="s">
        <v>46</v>
      </c>
      <c r="B23" s="108">
        <f>B22+B4</f>
        <v>683.6</v>
      </c>
      <c r="C23" s="107" t="s">
        <v>22</v>
      </c>
      <c r="D23" s="102"/>
      <c r="E23" s="104"/>
      <c r="F23" s="100"/>
      <c r="J23" s="116"/>
    </row>
    <row r="24" ht="18.75" spans="1:10">
      <c r="A24" s="107"/>
      <c r="B24" s="108"/>
      <c r="C24" s="107"/>
      <c r="D24" s="102"/>
      <c r="E24" s="104"/>
      <c r="F24" s="100"/>
      <c r="J24" s="116"/>
    </row>
    <row r="25" ht="18.75" spans="1:6">
      <c r="A25" s="107"/>
      <c r="B25" s="106"/>
      <c r="C25" s="107"/>
      <c r="D25" s="102"/>
      <c r="E25" s="104"/>
      <c r="F25" s="100"/>
    </row>
    <row r="26" ht="18.75" spans="1:6">
      <c r="A26" s="107" t="s">
        <v>47</v>
      </c>
      <c r="B26" s="113">
        <f>((B18/B9)*1)</f>
        <v>1.9180470793374</v>
      </c>
      <c r="C26" s="107" t="s">
        <v>22</v>
      </c>
      <c r="D26" s="102"/>
      <c r="E26" s="104"/>
      <c r="F26" s="100"/>
    </row>
    <row r="27" ht="18.75" spans="1:9">
      <c r="A27" s="107" t="s">
        <v>48</v>
      </c>
      <c r="B27" s="113">
        <f>((B18+B16)/B9)*1</f>
        <v>2.09968032548678</v>
      </c>
      <c r="C27" s="107" t="s">
        <v>22</v>
      </c>
      <c r="D27" s="102"/>
      <c r="E27" s="104"/>
      <c r="F27" s="100"/>
      <c r="I27" s="83"/>
    </row>
    <row r="28" spans="1:9">
      <c r="A28" s="114"/>
      <c r="B28" s="115"/>
      <c r="C28" s="114"/>
      <c r="D28" s="114"/>
      <c r="I28" s="83"/>
    </row>
    <row r="30" spans="10:10">
      <c r="J30" s="116"/>
    </row>
    <row r="31" spans="10:10">
      <c r="J31" s="117"/>
    </row>
  </sheetData>
  <mergeCells count="4">
    <mergeCell ref="A1:B1"/>
    <mergeCell ref="E1:F1"/>
    <mergeCell ref="A19:A21"/>
    <mergeCell ref="I27:I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39"/>
  <sheetViews>
    <sheetView workbookViewId="0">
      <selection activeCell="C12" sqref="C12"/>
    </sheetView>
  </sheetViews>
  <sheetFormatPr defaultColWidth="9" defaultRowHeight="12.75"/>
  <cols>
    <col min="3" max="3" width="84.1428571428571" customWidth="1"/>
    <col min="6" max="6" width="7.85714285714286" customWidth="1"/>
    <col min="7" max="8" width="8.85714285714286" customWidth="1"/>
    <col min="12" max="12" width="25" customWidth="1"/>
  </cols>
  <sheetData>
    <row r="4" ht="13.5"/>
    <row r="5" ht="45.75" spans="2:14">
      <c r="B5" s="67" t="s">
        <v>3</v>
      </c>
      <c r="C5" s="68" t="s">
        <v>49</v>
      </c>
      <c r="D5" s="68"/>
      <c r="E5" s="68" t="s">
        <v>50</v>
      </c>
      <c r="F5" s="68" t="s">
        <v>51</v>
      </c>
      <c r="G5" s="69" t="s">
        <v>52</v>
      </c>
      <c r="H5" s="67" t="s">
        <v>3</v>
      </c>
      <c r="L5" s="74" t="s">
        <v>53</v>
      </c>
      <c r="M5" s="75"/>
      <c r="N5" s="76"/>
    </row>
    <row r="6" ht="15" spans="2:15">
      <c r="B6" s="70"/>
      <c r="C6" s="71"/>
      <c r="D6" s="71"/>
      <c r="E6" s="71"/>
      <c r="F6" s="71"/>
      <c r="G6" s="72"/>
      <c r="H6" s="70"/>
      <c r="I6" s="1"/>
      <c r="J6" s="1"/>
      <c r="K6" s="1"/>
      <c r="L6" s="77" t="s">
        <v>16</v>
      </c>
      <c r="M6" s="78">
        <v>0</v>
      </c>
      <c r="N6" s="79"/>
      <c r="O6" s="1"/>
    </row>
    <row r="7" spans="2:15">
      <c r="B7" s="10">
        <v>18450</v>
      </c>
      <c r="C7" s="33" t="s">
        <v>54</v>
      </c>
      <c r="D7" s="9"/>
      <c r="E7" s="9">
        <v>160</v>
      </c>
      <c r="F7" s="9">
        <v>21.6</v>
      </c>
      <c r="G7" s="18">
        <v>9.25</v>
      </c>
      <c r="H7" s="10">
        <v>18450</v>
      </c>
      <c r="I7" s="1"/>
      <c r="J7" s="1"/>
      <c r="K7" s="1"/>
      <c r="L7" s="80" t="s">
        <v>55</v>
      </c>
      <c r="M7" s="81">
        <f>ROUNDUP(M12,0)</f>
        <v>2</v>
      </c>
      <c r="N7" s="82">
        <v>21749</v>
      </c>
      <c r="O7" s="1"/>
    </row>
    <row r="8" spans="2:15">
      <c r="B8" s="10">
        <v>20745</v>
      </c>
      <c r="C8" s="73" t="s">
        <v>56</v>
      </c>
      <c r="D8" s="33"/>
      <c r="E8" s="9">
        <v>440</v>
      </c>
      <c r="F8" s="9">
        <v>48.7</v>
      </c>
      <c r="G8" s="18">
        <v>11.48</v>
      </c>
      <c r="H8" s="10">
        <v>20745</v>
      </c>
      <c r="I8" s="1"/>
      <c r="J8" s="1"/>
      <c r="K8" s="1"/>
      <c r="L8" s="80" t="s">
        <v>57</v>
      </c>
      <c r="M8" s="81">
        <f>ROUNDUP(M13,0)</f>
        <v>1</v>
      </c>
      <c r="N8" s="82">
        <v>28521</v>
      </c>
      <c r="O8" s="1"/>
    </row>
    <row r="9" spans="2:15">
      <c r="B9" s="10">
        <v>22444</v>
      </c>
      <c r="C9" s="73" t="s">
        <v>6</v>
      </c>
      <c r="D9" s="33"/>
      <c r="E9" s="9">
        <v>450</v>
      </c>
      <c r="F9" s="9">
        <v>50.4</v>
      </c>
      <c r="G9" s="18">
        <v>11.47</v>
      </c>
      <c r="H9" s="10">
        <v>22444</v>
      </c>
      <c r="I9" s="1"/>
      <c r="J9" s="1"/>
      <c r="K9" s="1"/>
      <c r="L9" s="80"/>
      <c r="M9" s="81"/>
      <c r="N9" s="82"/>
      <c r="O9" s="1"/>
    </row>
    <row r="10" spans="2:15">
      <c r="B10" s="10">
        <v>22473</v>
      </c>
      <c r="C10" s="73" t="s">
        <v>58</v>
      </c>
      <c r="D10" s="33"/>
      <c r="E10" s="9">
        <v>500</v>
      </c>
      <c r="F10" s="9">
        <v>45.54</v>
      </c>
      <c r="G10" s="18">
        <v>13.72</v>
      </c>
      <c r="H10" s="10">
        <v>22473</v>
      </c>
      <c r="I10" s="1"/>
      <c r="J10" s="1"/>
      <c r="K10" s="1"/>
      <c r="L10" s="1"/>
      <c r="M10" s="1"/>
      <c r="N10" s="1"/>
      <c r="O10" s="1"/>
    </row>
    <row r="11" spans="2:15">
      <c r="B11" s="10">
        <v>26035</v>
      </c>
      <c r="C11" s="73" t="s">
        <v>59</v>
      </c>
      <c r="D11" s="33"/>
      <c r="E11" s="9">
        <v>550</v>
      </c>
      <c r="F11" s="9">
        <v>49.6</v>
      </c>
      <c r="G11" s="18">
        <v>14</v>
      </c>
      <c r="H11" s="10">
        <v>26035</v>
      </c>
      <c r="I11" s="1"/>
      <c r="J11" s="1"/>
      <c r="K11" s="1"/>
      <c r="L11" s="1"/>
      <c r="M11" s="1">
        <v>0</v>
      </c>
      <c r="N11" s="1"/>
      <c r="O11" s="1"/>
    </row>
    <row r="12" spans="2:15">
      <c r="B12" s="10">
        <v>26863</v>
      </c>
      <c r="C12" s="73" t="s">
        <v>60</v>
      </c>
      <c r="D12" s="33"/>
      <c r="E12" s="9">
        <v>550</v>
      </c>
      <c r="F12" s="9">
        <v>49.9</v>
      </c>
      <c r="G12" s="18">
        <v>14</v>
      </c>
      <c r="H12" s="10">
        <v>26863</v>
      </c>
      <c r="I12" s="1"/>
      <c r="J12" s="1"/>
      <c r="K12" s="1"/>
      <c r="L12" s="1"/>
      <c r="M12" s="1">
        <f>M15/1</f>
        <v>2</v>
      </c>
      <c r="N12" s="1"/>
      <c r="O12" s="1"/>
    </row>
    <row r="13" spans="2:15">
      <c r="B13" s="10">
        <v>28824</v>
      </c>
      <c r="C13" s="73" t="s">
        <v>61</v>
      </c>
      <c r="D13" s="33"/>
      <c r="E13" s="9">
        <v>555</v>
      </c>
      <c r="F13" s="9">
        <v>49.9</v>
      </c>
      <c r="G13" s="18">
        <v>14</v>
      </c>
      <c r="H13" s="10">
        <v>28824</v>
      </c>
      <c r="I13" s="1"/>
      <c r="J13" s="1"/>
      <c r="K13" s="1"/>
      <c r="L13" s="1"/>
      <c r="M13" s="1">
        <f>M15/2</f>
        <v>1</v>
      </c>
      <c r="N13" s="1"/>
      <c r="O13" s="1"/>
    </row>
    <row r="14" spans="2:15">
      <c r="B14" s="10">
        <v>28864</v>
      </c>
      <c r="C14" s="73" t="s">
        <v>62</v>
      </c>
      <c r="D14" s="33"/>
      <c r="E14" s="9">
        <v>555</v>
      </c>
      <c r="F14" s="9">
        <v>50.3</v>
      </c>
      <c r="G14" s="18">
        <v>13.96</v>
      </c>
      <c r="H14" s="10">
        <v>28864</v>
      </c>
      <c r="I14" s="1"/>
      <c r="J14" s="1"/>
      <c r="K14" s="1"/>
      <c r="L14" s="1"/>
      <c r="M14" s="1"/>
      <c r="N14" s="1"/>
      <c r="O14" s="1"/>
    </row>
    <row r="15" spans="2:15">
      <c r="B15" s="10">
        <v>26386</v>
      </c>
      <c r="C15" s="73" t="s">
        <v>63</v>
      </c>
      <c r="D15" s="33"/>
      <c r="E15" s="9">
        <v>575</v>
      </c>
      <c r="F15" s="9">
        <v>51.3</v>
      </c>
      <c r="G15" s="18">
        <v>14.29</v>
      </c>
      <c r="H15" s="10">
        <v>26386</v>
      </c>
      <c r="I15" s="1"/>
      <c r="J15" s="1"/>
      <c r="K15" s="1"/>
      <c r="L15" s="1"/>
      <c r="M15" s="1">
        <f>Calculo!F4</f>
        <v>2</v>
      </c>
      <c r="N15" s="1"/>
      <c r="O15" s="1"/>
    </row>
    <row r="16" spans="2:15">
      <c r="B16" s="10"/>
      <c r="C16" s="24"/>
      <c r="D16" s="9"/>
      <c r="E16" s="9"/>
      <c r="F16" s="9"/>
      <c r="G16" s="18"/>
      <c r="H16" s="25"/>
      <c r="I16" s="1"/>
      <c r="J16" s="1"/>
      <c r="K16" s="1"/>
      <c r="L16" s="1"/>
      <c r="M16" s="1"/>
      <c r="N16" s="1"/>
      <c r="O16" s="1"/>
    </row>
    <row r="17" spans="2:15">
      <c r="B17" s="10"/>
      <c r="C17" s="24"/>
      <c r="D17" s="9"/>
      <c r="E17" s="9"/>
      <c r="F17" s="9"/>
      <c r="G17" s="18"/>
      <c r="H17" s="25"/>
      <c r="I17" s="1"/>
      <c r="J17" s="1"/>
      <c r="K17" s="1"/>
      <c r="L17" s="1"/>
      <c r="M17" s="1"/>
      <c r="N17" s="1"/>
      <c r="O17" s="1"/>
    </row>
    <row r="18" spans="2:15">
      <c r="B18" s="10"/>
      <c r="C18" s="24"/>
      <c r="D18" s="9"/>
      <c r="E18" s="9"/>
      <c r="F18" s="9"/>
      <c r="G18" s="18"/>
      <c r="H18" s="25"/>
      <c r="I18" s="1"/>
      <c r="J18" s="1"/>
      <c r="K18" s="1"/>
      <c r="L18" s="1"/>
      <c r="M18" s="1"/>
      <c r="N18" s="1"/>
      <c r="O18" s="1"/>
    </row>
    <row r="19" spans="2:15">
      <c r="B19" s="10"/>
      <c r="C19" s="24"/>
      <c r="D19" s="9"/>
      <c r="E19" s="9"/>
      <c r="F19" s="9"/>
      <c r="G19" s="18"/>
      <c r="H19" s="25"/>
      <c r="I19" s="1"/>
      <c r="J19" s="1"/>
      <c r="K19" s="1"/>
      <c r="L19" s="1"/>
      <c r="M19" s="1"/>
      <c r="N19" s="1"/>
      <c r="O19" s="1"/>
    </row>
    <row r="20" spans="2:15">
      <c r="B20" s="10"/>
      <c r="C20" s="24"/>
      <c r="D20" s="9"/>
      <c r="E20" s="9"/>
      <c r="F20" s="9"/>
      <c r="G20" s="18"/>
      <c r="H20" s="25"/>
      <c r="I20" s="1"/>
      <c r="J20" s="1"/>
      <c r="K20" s="1"/>
      <c r="L20" s="1"/>
      <c r="M20" s="1"/>
      <c r="N20" s="1"/>
      <c r="O20" s="1"/>
    </row>
    <row r="21" spans="2:15">
      <c r="B21" s="10"/>
      <c r="C21" s="24"/>
      <c r="D21" s="9"/>
      <c r="E21" s="9"/>
      <c r="F21" s="9"/>
      <c r="G21" s="18"/>
      <c r="H21" s="25"/>
      <c r="I21" s="1"/>
      <c r="J21" s="1"/>
      <c r="K21" s="1"/>
      <c r="L21" s="1"/>
      <c r="M21" s="1"/>
      <c r="N21" s="1"/>
      <c r="O21" s="1"/>
    </row>
    <row r="22" ht="13.5" spans="2:15">
      <c r="B22" s="12"/>
      <c r="C22" s="14"/>
      <c r="D22" s="14"/>
      <c r="E22" s="14"/>
      <c r="F22" s="14"/>
      <c r="G22" s="19"/>
      <c r="H22" s="25"/>
      <c r="I22" s="1"/>
      <c r="J22" s="1"/>
      <c r="K22" s="1"/>
      <c r="L22" s="1"/>
      <c r="M22" s="1"/>
      <c r="N22" s="1"/>
      <c r="O22" s="1"/>
    </row>
    <row r="23" spans="2: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>
      <c r="B27" s="1"/>
      <c r="C27" s="1" t="s">
        <v>64</v>
      </c>
      <c r="D27" s="1">
        <v>22942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"/>
      <c r="C28" s="1" t="s">
        <v>65</v>
      </c>
      <c r="D28" s="1">
        <v>22493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"/>
      <c r="C30" s="1" t="s">
        <v>66</v>
      </c>
      <c r="D30" s="1">
        <v>19854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sheetProtection algorithmName="SHA-512" hashValue="hctSq+KVijaUW+7yiNYmt+YeU3FXbuB15q7Co8zMS9s8FduOF0RtBrxXrzXXQ1+WlPYKuL7ixPAtBwH0XYFHvw==" saltValue="CrPgJHv4tm1qS4wAp3VYYA==" spinCount="100000" sheet="1" objects="1" scenarios="1"/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U45"/>
  <sheetViews>
    <sheetView topLeftCell="A2" workbookViewId="0">
      <selection activeCell="D32" sqref="D32"/>
    </sheetView>
  </sheetViews>
  <sheetFormatPr defaultColWidth="9" defaultRowHeight="12.75"/>
  <cols>
    <col min="3" max="3" width="10.2857142857143" customWidth="1"/>
    <col min="4" max="4" width="55.5714285714286" customWidth="1"/>
    <col min="6" max="6" width="11" customWidth="1"/>
    <col min="7" max="7" width="12.2857142857143" customWidth="1"/>
    <col min="8" max="8" width="10.7142857142857" customWidth="1"/>
    <col min="9" max="9" width="9.14285714285714" customWidth="1"/>
    <col min="10" max="10" width="12.8571428571429" customWidth="1"/>
    <col min="13" max="13" width="15.4285714285714" customWidth="1"/>
    <col min="14" max="14" width="15.1428571428571" customWidth="1"/>
    <col min="15" max="15" width="12.5714285714286" customWidth="1"/>
    <col min="16" max="16" width="12.4285714285714" customWidth="1"/>
    <col min="17" max="17" width="13.5714285714286" customWidth="1"/>
    <col min="18" max="18" width="58.5714285714286" customWidth="1"/>
    <col min="19" max="19" width="14.2857142857143" customWidth="1"/>
    <col min="20" max="20" width="11.7142857142857" customWidth="1"/>
    <col min="21" max="21" width="17.5714285714286" customWidth="1"/>
  </cols>
  <sheetData>
    <row r="2" spans="13:13">
      <c r="M2" t="b">
        <v>1</v>
      </c>
    </row>
    <row r="3" spans="13:13">
      <c r="M3" t="b">
        <v>0</v>
      </c>
    </row>
    <row r="4" ht="13.5" spans="3:2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45.75" spans="3:21">
      <c r="C5" s="20" t="s">
        <v>3</v>
      </c>
      <c r="D5" s="21" t="s">
        <v>67</v>
      </c>
      <c r="E5" s="21"/>
      <c r="F5" s="21" t="s">
        <v>68</v>
      </c>
      <c r="G5" s="21" t="s">
        <v>69</v>
      </c>
      <c r="H5" s="21" t="s">
        <v>70</v>
      </c>
      <c r="I5" s="21" t="s">
        <v>71</v>
      </c>
      <c r="J5" s="27" t="s">
        <v>72</v>
      </c>
      <c r="K5" s="1"/>
      <c r="L5" s="1"/>
      <c r="M5" s="22" t="s">
        <v>73</v>
      </c>
      <c r="N5" s="23" t="s">
        <v>74</v>
      </c>
      <c r="O5" s="23" t="s">
        <v>75</v>
      </c>
      <c r="P5" s="51"/>
      <c r="Q5" s="23" t="s">
        <v>76</v>
      </c>
      <c r="R5" s="63"/>
      <c r="S5" s="64" t="s">
        <v>77</v>
      </c>
      <c r="T5" s="64" t="s">
        <v>77</v>
      </c>
      <c r="U5" s="1"/>
    </row>
    <row r="6" ht="15" spans="3:21">
      <c r="C6" s="22"/>
      <c r="D6" s="23"/>
      <c r="E6" s="23"/>
      <c r="F6" s="23"/>
      <c r="G6" s="23"/>
      <c r="H6" s="23"/>
      <c r="I6" s="23"/>
      <c r="J6" s="28"/>
      <c r="K6" s="1"/>
      <c r="L6" s="1"/>
      <c r="M6" s="32"/>
      <c r="N6" s="33"/>
      <c r="O6" s="33"/>
      <c r="P6" s="33"/>
      <c r="Q6" s="33"/>
      <c r="R6" s="65"/>
      <c r="S6" s="1"/>
      <c r="T6" s="1"/>
      <c r="U6" s="1"/>
    </row>
    <row r="7" spans="3:21">
      <c r="C7" s="32">
        <v>22768</v>
      </c>
      <c r="D7" s="33" t="s">
        <v>78</v>
      </c>
      <c r="E7" s="32">
        <v>22768</v>
      </c>
      <c r="F7" s="9">
        <v>350</v>
      </c>
      <c r="G7" s="9">
        <v>280</v>
      </c>
      <c r="H7" s="9">
        <v>12</v>
      </c>
      <c r="I7" s="9">
        <v>127</v>
      </c>
      <c r="J7" s="18">
        <v>0.91</v>
      </c>
      <c r="K7" s="29">
        <v>1</v>
      </c>
      <c r="L7" s="1"/>
      <c r="M7" s="32" t="b">
        <v>1</v>
      </c>
      <c r="N7" s="33" t="b">
        <f>Calculo!B7='Sis Inversor off grid'!H7</f>
        <v>0</v>
      </c>
      <c r="O7" s="33" t="b">
        <f>Calculo!B11=I7</f>
        <v>0</v>
      </c>
      <c r="P7" s="33"/>
      <c r="Q7" s="33" t="b">
        <f>IF(AND(M7=$M$2,N7=$M$2,O7=$M$2),TRUE,FALSE)</f>
        <v>0</v>
      </c>
      <c r="R7" s="65" t="s">
        <v>78</v>
      </c>
      <c r="S7" s="1">
        <f>$R$23/G7</f>
        <v>0.178571428571429</v>
      </c>
      <c r="T7" s="1">
        <f>ROUNDUP(S7,0)</f>
        <v>1</v>
      </c>
      <c r="U7" s="1"/>
    </row>
    <row r="8" spans="3:21">
      <c r="C8" s="32">
        <v>23133</v>
      </c>
      <c r="D8" s="33" t="s">
        <v>79</v>
      </c>
      <c r="E8" s="32">
        <v>23133</v>
      </c>
      <c r="F8" s="9">
        <v>750</v>
      </c>
      <c r="G8" s="9">
        <v>750</v>
      </c>
      <c r="H8" s="9">
        <v>24</v>
      </c>
      <c r="I8" s="9">
        <v>127</v>
      </c>
      <c r="J8" s="18">
        <v>0.85</v>
      </c>
      <c r="K8" s="29">
        <v>1</v>
      </c>
      <c r="L8" s="1"/>
      <c r="M8" s="32" t="b">
        <f>E18&lt;=G8</f>
        <v>1</v>
      </c>
      <c r="N8" s="33" t="b">
        <f>Calculo!B7='Sis Inversor off grid'!H8</f>
        <v>1</v>
      </c>
      <c r="O8" s="33" t="b">
        <f>Calculo!B11=I8</f>
        <v>0</v>
      </c>
      <c r="P8" s="33"/>
      <c r="Q8" s="33" t="b">
        <f t="shared" ref="Q8:Q15" si="0">IF(AND(M8=$M$2,N8=$M$2,O8=$M$2),TRUE,FALSE)</f>
        <v>0</v>
      </c>
      <c r="R8" s="65" t="s">
        <v>79</v>
      </c>
      <c r="S8" s="1">
        <f t="shared" ref="S8:S15" si="1">$R$23/G8</f>
        <v>0.0666666666666667</v>
      </c>
      <c r="T8" s="1">
        <f t="shared" ref="T8:T15" si="2">ROUNDUP(S8,0)</f>
        <v>1</v>
      </c>
      <c r="U8" s="1"/>
    </row>
    <row r="9" spans="3:21">
      <c r="C9" s="32">
        <v>25378</v>
      </c>
      <c r="D9" s="33" t="s">
        <v>80</v>
      </c>
      <c r="E9" s="32">
        <v>25378</v>
      </c>
      <c r="F9" s="9">
        <v>1000</v>
      </c>
      <c r="G9" s="9">
        <v>1000</v>
      </c>
      <c r="H9" s="9">
        <v>24</v>
      </c>
      <c r="I9" s="9">
        <v>127</v>
      </c>
      <c r="J9" s="18">
        <v>0.91</v>
      </c>
      <c r="K9" s="29">
        <v>1</v>
      </c>
      <c r="L9" s="1"/>
      <c r="M9" s="32" t="b">
        <f>IF(AND($E$18&gt;G8,$E$18&lt;=G9),TRUE,FALSE)</f>
        <v>0</v>
      </c>
      <c r="N9" s="33" t="b">
        <f>Calculo!B7='Sis Inversor off grid'!H9</f>
        <v>1</v>
      </c>
      <c r="O9" s="33" t="b">
        <f>Calculo!B11=I9</f>
        <v>0</v>
      </c>
      <c r="P9" s="33"/>
      <c r="Q9" s="33" t="b">
        <f t="shared" si="0"/>
        <v>0</v>
      </c>
      <c r="R9" s="65" t="s">
        <v>80</v>
      </c>
      <c r="S9" s="1">
        <f t="shared" si="1"/>
        <v>0.05</v>
      </c>
      <c r="T9" s="1">
        <f t="shared" si="2"/>
        <v>1</v>
      </c>
      <c r="U9" s="1"/>
    </row>
    <row r="10" spans="3:21">
      <c r="C10" s="32">
        <v>23132</v>
      </c>
      <c r="D10" s="33" t="s">
        <v>81</v>
      </c>
      <c r="E10" s="32">
        <v>23132</v>
      </c>
      <c r="F10" s="9">
        <v>1500</v>
      </c>
      <c r="G10" s="9">
        <v>1500</v>
      </c>
      <c r="H10" s="9">
        <v>24</v>
      </c>
      <c r="I10" s="9">
        <v>127</v>
      </c>
      <c r="J10" s="18">
        <v>0.85</v>
      </c>
      <c r="K10" s="29">
        <v>1</v>
      </c>
      <c r="L10" s="1"/>
      <c r="M10" s="32" t="b">
        <f>IF(AND($E$18&gt;G9,$E$18&lt;=G10),TRUE,FALSE)</f>
        <v>0</v>
      </c>
      <c r="N10" s="33" t="b">
        <f>Calculo!B7='Sis Inversor off grid'!H10</f>
        <v>1</v>
      </c>
      <c r="O10" s="33" t="b">
        <f>Calculo!B11=I10</f>
        <v>0</v>
      </c>
      <c r="P10" s="33"/>
      <c r="Q10" s="33" t="b">
        <f t="shared" si="0"/>
        <v>0</v>
      </c>
      <c r="R10" s="65" t="s">
        <v>81</v>
      </c>
      <c r="S10" s="1">
        <f t="shared" si="1"/>
        <v>0.0333333333333333</v>
      </c>
      <c r="T10" s="1">
        <f t="shared" si="2"/>
        <v>1</v>
      </c>
      <c r="U10" s="1"/>
    </row>
    <row r="11" spans="3:21">
      <c r="C11" s="32">
        <v>25379</v>
      </c>
      <c r="D11" s="33" t="s">
        <v>82</v>
      </c>
      <c r="E11" s="32">
        <v>25379</v>
      </c>
      <c r="F11" s="9">
        <v>2000</v>
      </c>
      <c r="G11" s="9">
        <v>2000</v>
      </c>
      <c r="H11" s="9">
        <v>24</v>
      </c>
      <c r="I11" s="9">
        <v>220</v>
      </c>
      <c r="J11" s="18">
        <v>0.91</v>
      </c>
      <c r="K11" s="29">
        <v>1</v>
      </c>
      <c r="L11" s="1"/>
      <c r="M11" s="32" t="b">
        <f>IF(AND(E18&lt;=G11),TRUE,FALSE)</f>
        <v>1</v>
      </c>
      <c r="N11" s="33" t="b">
        <f>Calculo!B7='Sis Inversor off grid'!H11</f>
        <v>1</v>
      </c>
      <c r="O11" s="33" t="b">
        <f>Calculo!B11=I11</f>
        <v>1</v>
      </c>
      <c r="P11" s="33"/>
      <c r="Q11" s="33" t="b">
        <f t="shared" si="0"/>
        <v>1</v>
      </c>
      <c r="R11" s="65" t="s">
        <v>82</v>
      </c>
      <c r="S11" s="1">
        <f t="shared" si="1"/>
        <v>0.025</v>
      </c>
      <c r="T11" s="1">
        <f t="shared" si="2"/>
        <v>1</v>
      </c>
      <c r="U11" s="1"/>
    </row>
    <row r="12" spans="3:21">
      <c r="C12" s="32">
        <v>25379</v>
      </c>
      <c r="D12" s="33" t="s">
        <v>82</v>
      </c>
      <c r="E12" s="32">
        <v>25379</v>
      </c>
      <c r="F12" s="9">
        <v>2000</v>
      </c>
      <c r="G12" s="9">
        <v>2000</v>
      </c>
      <c r="H12" s="9">
        <v>24</v>
      </c>
      <c r="I12" s="9">
        <v>220</v>
      </c>
      <c r="J12" s="18">
        <v>0.91</v>
      </c>
      <c r="K12" s="29">
        <v>1</v>
      </c>
      <c r="L12" s="1"/>
      <c r="M12" s="32" t="b">
        <f>IF(AND(E18&gt;G12),TRUE,FALSE)</f>
        <v>0</v>
      </c>
      <c r="N12" s="33" t="b">
        <f>Calculo!B7='Sis Inversor off grid'!H11</f>
        <v>1</v>
      </c>
      <c r="O12" s="33" t="b">
        <f>Calculo!B11=I11</f>
        <v>1</v>
      </c>
      <c r="P12" s="33"/>
      <c r="Q12" s="33" t="b">
        <f t="shared" ref="Q12" si="3">IF(AND(M12=$M$2,N12=$M$2,O12=$M$2),TRUE,FALSE)</f>
        <v>0</v>
      </c>
      <c r="R12" s="65" t="s">
        <v>82</v>
      </c>
      <c r="S12" s="1">
        <f t="shared" ref="S12" si="4">$R$23/G12</f>
        <v>0.025</v>
      </c>
      <c r="T12" s="1">
        <f t="shared" si="2"/>
        <v>1</v>
      </c>
      <c r="U12" s="1"/>
    </row>
    <row r="13" spans="3:21">
      <c r="C13" s="32">
        <v>25380</v>
      </c>
      <c r="D13" s="33" t="s">
        <v>83</v>
      </c>
      <c r="E13" s="32">
        <v>25380</v>
      </c>
      <c r="F13" s="9">
        <v>2000</v>
      </c>
      <c r="G13" s="9">
        <v>2000</v>
      </c>
      <c r="H13" s="9">
        <v>24</v>
      </c>
      <c r="I13" s="9">
        <v>127</v>
      </c>
      <c r="J13" s="18">
        <v>0.91</v>
      </c>
      <c r="K13" s="29">
        <v>1</v>
      </c>
      <c r="L13" s="1"/>
      <c r="M13" s="32" t="b">
        <f>IF(AND($E$18&gt;=G11),TRUE,FALSE)</f>
        <v>0</v>
      </c>
      <c r="N13" s="33" t="b">
        <f>Calculo!B7='Sis Inversor off grid'!H13</f>
        <v>1</v>
      </c>
      <c r="O13" s="33" t="b">
        <f>Calculo!B11=I13</f>
        <v>0</v>
      </c>
      <c r="P13" s="33"/>
      <c r="Q13" s="33" t="b">
        <f t="shared" si="0"/>
        <v>0</v>
      </c>
      <c r="R13" s="65" t="s">
        <v>83</v>
      </c>
      <c r="S13" s="1">
        <f t="shared" si="1"/>
        <v>0.025</v>
      </c>
      <c r="T13" s="1">
        <f t="shared" si="2"/>
        <v>1</v>
      </c>
      <c r="U13" s="1"/>
    </row>
    <row r="14" spans="3:21">
      <c r="C14" s="32">
        <v>25382</v>
      </c>
      <c r="D14" s="33" t="s">
        <v>84</v>
      </c>
      <c r="E14" s="32">
        <v>25382</v>
      </c>
      <c r="F14" s="9">
        <v>4000</v>
      </c>
      <c r="G14" s="9">
        <v>4000</v>
      </c>
      <c r="H14" s="9">
        <v>48</v>
      </c>
      <c r="I14" s="9">
        <v>127</v>
      </c>
      <c r="J14" s="18">
        <v>0.88</v>
      </c>
      <c r="K14" s="29">
        <v>1</v>
      </c>
      <c r="L14" s="1"/>
      <c r="M14" s="32" t="b">
        <f>IF(AND($E$18&gt;=1),TRUE,FALSE)</f>
        <v>1</v>
      </c>
      <c r="N14" s="33" t="b">
        <f>Calculo!B7='Sis Inversor off grid'!H14</f>
        <v>0</v>
      </c>
      <c r="O14" s="33" t="b">
        <f>Calculo!B11=I14</f>
        <v>0</v>
      </c>
      <c r="P14" s="33"/>
      <c r="Q14" s="33" t="b">
        <f t="shared" si="0"/>
        <v>0</v>
      </c>
      <c r="R14" s="65" t="s">
        <v>84</v>
      </c>
      <c r="S14" s="1">
        <f t="shared" si="1"/>
        <v>0.0125</v>
      </c>
      <c r="T14" s="1">
        <f t="shared" si="2"/>
        <v>1</v>
      </c>
      <c r="U14" s="1"/>
    </row>
    <row r="15" ht="13.5" spans="3:21">
      <c r="C15" s="34">
        <v>25381</v>
      </c>
      <c r="D15" s="35" t="s">
        <v>85</v>
      </c>
      <c r="E15" s="34">
        <v>25381</v>
      </c>
      <c r="F15" s="14">
        <v>4000</v>
      </c>
      <c r="G15" s="14">
        <v>4000</v>
      </c>
      <c r="H15" s="14">
        <v>48</v>
      </c>
      <c r="I15" s="14">
        <v>220</v>
      </c>
      <c r="J15" s="19">
        <v>0.91</v>
      </c>
      <c r="K15" s="29">
        <v>1</v>
      </c>
      <c r="L15" s="1"/>
      <c r="M15" s="34" t="b">
        <f>IF(AND($E$18&gt;=1),TRUE,FALSE)</f>
        <v>1</v>
      </c>
      <c r="N15" s="35" t="b">
        <f>Calculo!B7='Sis Inversor off grid'!H15</f>
        <v>0</v>
      </c>
      <c r="O15" s="35" t="b">
        <f>Calculo!B11=I15</f>
        <v>1</v>
      </c>
      <c r="P15" s="35"/>
      <c r="Q15" s="35" t="b">
        <f t="shared" si="0"/>
        <v>0</v>
      </c>
      <c r="R15" s="66" t="s">
        <v>85</v>
      </c>
      <c r="S15" s="1">
        <f t="shared" si="1"/>
        <v>0.0125</v>
      </c>
      <c r="T15" s="1">
        <f t="shared" si="2"/>
        <v>1</v>
      </c>
      <c r="U15" s="1"/>
    </row>
    <row r="16" spans="3:21">
      <c r="C16" s="36"/>
      <c r="D16" s="36"/>
      <c r="E16" s="36"/>
      <c r="F16" s="36"/>
      <c r="G16" s="36"/>
      <c r="H16" s="36"/>
      <c r="I16" s="36"/>
      <c r="J16" s="3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>
      <c r="C18" s="1"/>
      <c r="D18" s="1"/>
      <c r="E18" s="1">
        <f>Calculo!F7</f>
        <v>50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>
      <c r="C20" s="1"/>
      <c r="D20" s="1"/>
      <c r="E20" s="1"/>
      <c r="F20" s="1"/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f>Calculo!F7</f>
        <v>50</v>
      </c>
      <c r="S23" s="1"/>
      <c r="T23" s="1"/>
      <c r="U23" s="1"/>
    </row>
    <row r="24" spans="3:2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3.5" spans="3:2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6.5" spans="3:21">
      <c r="C27" s="37"/>
      <c r="D27" s="37"/>
      <c r="E27" s="1"/>
      <c r="F27" s="38" t="s">
        <v>86</v>
      </c>
      <c r="G27" s="39"/>
      <c r="H27" s="40"/>
      <c r="I27" s="1"/>
      <c r="J27" s="52" t="s">
        <v>87</v>
      </c>
      <c r="K27" s="53"/>
      <c r="L27" s="54"/>
      <c r="M27" s="1"/>
      <c r="N27" s="55" t="s">
        <v>88</v>
      </c>
      <c r="O27" s="56"/>
      <c r="P27" s="1"/>
      <c r="Q27" s="1"/>
      <c r="R27" s="1"/>
      <c r="S27" s="1"/>
      <c r="T27" s="1"/>
      <c r="U27" s="1"/>
    </row>
    <row r="28" ht="15.75" spans="3:21">
      <c r="C28" s="25"/>
      <c r="D28" s="41"/>
      <c r="E28" s="1"/>
      <c r="F28" s="42">
        <v>0.3</v>
      </c>
      <c r="G28" s="43">
        <v>0.3</v>
      </c>
      <c r="H28" s="44"/>
      <c r="I28" s="1"/>
      <c r="J28" s="57"/>
      <c r="K28" s="43"/>
      <c r="L28" s="58"/>
      <c r="M28" s="1"/>
      <c r="N28" s="59"/>
      <c r="O28" s="60"/>
      <c r="P28" s="1"/>
      <c r="Q28" s="1"/>
      <c r="R28" s="1"/>
      <c r="S28" s="1"/>
      <c r="T28" s="1"/>
      <c r="U28" s="1"/>
    </row>
    <row r="29" ht="15.75" spans="3:21">
      <c r="C29" s="41"/>
      <c r="D29" s="41"/>
      <c r="E29" s="1"/>
      <c r="F29" s="45">
        <v>0.4</v>
      </c>
      <c r="G29" s="46">
        <v>0.4</v>
      </c>
      <c r="H29" s="47"/>
      <c r="I29" s="1"/>
      <c r="J29" s="61" t="s">
        <v>89</v>
      </c>
      <c r="K29" s="46">
        <v>12</v>
      </c>
      <c r="L29" s="18"/>
      <c r="M29" s="1"/>
      <c r="N29" s="61" t="s">
        <v>89</v>
      </c>
      <c r="O29" s="47">
        <v>12</v>
      </c>
      <c r="P29" s="1"/>
      <c r="Q29" s="1"/>
      <c r="R29" s="1"/>
      <c r="S29" s="1"/>
      <c r="T29" s="1"/>
      <c r="U29" s="1"/>
    </row>
    <row r="30" ht="15.75" spans="3:21">
      <c r="C30" s="41"/>
      <c r="D30" s="41"/>
      <c r="E30" s="1"/>
      <c r="F30" s="45">
        <v>0.5</v>
      </c>
      <c r="G30" s="46">
        <v>0.5</v>
      </c>
      <c r="H30" s="47"/>
      <c r="I30" s="1"/>
      <c r="J30" s="61" t="s">
        <v>13</v>
      </c>
      <c r="K30" s="46">
        <v>24</v>
      </c>
      <c r="L30" s="18"/>
      <c r="M30" s="1"/>
      <c r="N30" s="61" t="s">
        <v>13</v>
      </c>
      <c r="O30" s="47">
        <v>24</v>
      </c>
      <c r="P30" s="1"/>
      <c r="Q30" s="1"/>
      <c r="R30" s="1"/>
      <c r="S30" s="1"/>
      <c r="T30" s="1"/>
      <c r="U30" s="1"/>
    </row>
    <row r="31" ht="15.75" spans="3:21">
      <c r="C31" s="41"/>
      <c r="D31" s="41"/>
      <c r="E31" s="1"/>
      <c r="F31" s="45">
        <v>0.6</v>
      </c>
      <c r="G31" s="46">
        <v>0.6</v>
      </c>
      <c r="H31" s="47"/>
      <c r="I31" s="1"/>
      <c r="J31" s="61" t="s">
        <v>90</v>
      </c>
      <c r="K31" s="46">
        <v>48</v>
      </c>
      <c r="L31" s="18"/>
      <c r="M31" s="1"/>
      <c r="N31" s="61" t="s">
        <v>90</v>
      </c>
      <c r="O31" s="47">
        <v>48</v>
      </c>
      <c r="P31" s="1"/>
      <c r="Q31" s="1"/>
      <c r="R31" s="1"/>
      <c r="S31" s="1"/>
      <c r="T31" s="1"/>
      <c r="U31" s="1"/>
    </row>
    <row r="32" ht="15.75" spans="3:21">
      <c r="C32" s="41"/>
      <c r="D32" s="41"/>
      <c r="E32" s="1"/>
      <c r="F32" s="45">
        <v>0.7</v>
      </c>
      <c r="G32" s="46">
        <v>0.7</v>
      </c>
      <c r="H32" s="47"/>
      <c r="I32" s="1"/>
      <c r="J32" s="61"/>
      <c r="K32" s="46"/>
      <c r="L32" s="18"/>
      <c r="M32" s="1"/>
      <c r="N32" s="61" t="s">
        <v>91</v>
      </c>
      <c r="O32" s="47">
        <v>127</v>
      </c>
      <c r="P32" s="1"/>
      <c r="Q32" s="1"/>
      <c r="R32" s="1"/>
      <c r="S32" s="1"/>
      <c r="T32" s="1"/>
      <c r="U32" s="1"/>
    </row>
    <row r="33" ht="16.5" spans="3:21">
      <c r="C33" s="41"/>
      <c r="D33" s="41"/>
      <c r="E33" s="1"/>
      <c r="F33" s="48">
        <v>0.8</v>
      </c>
      <c r="G33" s="49">
        <v>0.8</v>
      </c>
      <c r="H33" s="50"/>
      <c r="I33" s="1"/>
      <c r="J33" s="62"/>
      <c r="K33" s="49"/>
      <c r="L33" s="19"/>
      <c r="M33" s="1"/>
      <c r="N33" s="62" t="s">
        <v>8</v>
      </c>
      <c r="O33" s="50">
        <v>220</v>
      </c>
      <c r="P33" s="1"/>
      <c r="Q33" s="1"/>
      <c r="R33" s="1"/>
      <c r="S33" s="1"/>
      <c r="T33" s="1"/>
      <c r="U33" s="1"/>
    </row>
    <row r="34" spans="3:2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sheetProtection formatCells="0" formatColumns="0" formatRows="0" insertRows="0" insertColumns="0" insertHyperlinks="0" deleteColumns="0" deleteRows="0" sort="0" autoFilter="0" pivotTables="0"/>
  <mergeCells count="3">
    <mergeCell ref="F27:H27"/>
    <mergeCell ref="J27:L27"/>
    <mergeCell ref="N27:O27"/>
  </mergeCells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zoomScale="115" zoomScaleNormal="115" workbookViewId="0">
      <selection activeCell="D33" sqref="D33"/>
    </sheetView>
  </sheetViews>
  <sheetFormatPr defaultColWidth="9" defaultRowHeight="12.75"/>
  <cols>
    <col min="4" max="4" width="64.7142857142857" customWidth="1"/>
    <col min="6" max="6" width="10.8571428571429" customWidth="1"/>
    <col min="7" max="7" width="9.42857142857143" customWidth="1"/>
    <col min="9" max="9" width="15.8571428571429" customWidth="1"/>
    <col min="10" max="10" width="12.1428571428571" customWidth="1"/>
    <col min="11" max="11" width="17.7142857142857" customWidth="1"/>
    <col min="12" max="12" width="8.57142857142857" customWidth="1"/>
    <col min="13" max="13" width="12.1428571428571" customWidth="1"/>
    <col min="14" max="14" width="14.2857142857143" customWidth="1"/>
    <col min="15" max="17" width="11.2857142857143" customWidth="1"/>
    <col min="18" max="18" width="12.1428571428571" customWidth="1"/>
    <col min="19" max="19" width="42.7142857142857" customWidth="1"/>
  </cols>
  <sheetData>
    <row r="2" spans="2:2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>
      <c r="B3" s="1"/>
      <c r="C3" s="1"/>
      <c r="D3" s="1"/>
      <c r="E3" s="1"/>
      <c r="F3" s="1"/>
      <c r="G3" s="1"/>
      <c r="H3" s="1"/>
      <c r="I3" s="1" t="s">
        <v>92</v>
      </c>
      <c r="J3" s="1"/>
      <c r="K3" s="1"/>
      <c r="L3" s="1"/>
      <c r="M3" s="1"/>
      <c r="N3" s="1"/>
      <c r="O3" s="1"/>
      <c r="P3" s="1"/>
      <c r="Q3" s="1"/>
      <c r="R3" s="1" t="b">
        <v>1</v>
      </c>
      <c r="S3" s="1"/>
      <c r="T3" s="1"/>
      <c r="U3" s="1"/>
      <c r="V3" s="1"/>
    </row>
    <row r="4" ht="13.5" spans="2:2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45.75" spans="2:22">
      <c r="B5" s="1"/>
      <c r="C5" s="20" t="s">
        <v>3</v>
      </c>
      <c r="D5" s="21" t="s">
        <v>93</v>
      </c>
      <c r="E5" s="21"/>
      <c r="F5" s="21" t="s">
        <v>94</v>
      </c>
      <c r="G5" s="21" t="s">
        <v>94</v>
      </c>
      <c r="H5" s="21" t="s">
        <v>94</v>
      </c>
      <c r="I5" s="21" t="s">
        <v>95</v>
      </c>
      <c r="J5" s="21" t="s">
        <v>96</v>
      </c>
      <c r="K5" s="27" t="s">
        <v>72</v>
      </c>
      <c r="L5" s="1"/>
      <c r="M5" s="1"/>
      <c r="N5" s="22" t="s">
        <v>97</v>
      </c>
      <c r="O5" s="23" t="s">
        <v>98</v>
      </c>
      <c r="P5" s="23" t="s">
        <v>99</v>
      </c>
      <c r="Q5" s="23"/>
      <c r="R5" s="23" t="s">
        <v>77</v>
      </c>
      <c r="S5" s="23" t="s">
        <v>76</v>
      </c>
      <c r="T5" s="1"/>
      <c r="U5" s="1"/>
      <c r="V5" s="1"/>
    </row>
    <row r="6" ht="15" spans="2:22">
      <c r="B6" s="1"/>
      <c r="C6" s="22"/>
      <c r="D6" s="23"/>
      <c r="E6" s="23"/>
      <c r="F6" s="23"/>
      <c r="G6" s="23"/>
      <c r="H6" s="23"/>
      <c r="I6" s="23"/>
      <c r="J6" s="23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10">
        <v>22776</v>
      </c>
      <c r="D7" s="24" t="s">
        <v>100</v>
      </c>
      <c r="E7" s="9"/>
      <c r="F7" s="9">
        <v>12</v>
      </c>
      <c r="G7" s="9">
        <v>24</v>
      </c>
      <c r="H7" s="9"/>
      <c r="I7" s="9">
        <v>92</v>
      </c>
      <c r="J7" s="9">
        <v>20</v>
      </c>
      <c r="K7" s="18">
        <v>0.98</v>
      </c>
      <c r="L7" s="29"/>
      <c r="M7" s="1"/>
      <c r="N7" s="1" t="b">
        <f>M25&lt;=J7</f>
        <v>0</v>
      </c>
      <c r="O7" s="1" t="b">
        <f>G7&gt;=$N$25</f>
        <v>1</v>
      </c>
      <c r="P7" s="1">
        <f>$Q$30/J7</f>
        <v>0.62835652173913</v>
      </c>
      <c r="Q7" s="1">
        <f t="shared" ref="Q7:Q12" si="0">ROUNDUP(P7,0)</f>
        <v>1</v>
      </c>
      <c r="R7" s="1" t="b">
        <f>IF(AND(N7=$R$3,O7=$R$3),TRUE,FALSE)</f>
        <v>0</v>
      </c>
      <c r="S7" s="24" t="s">
        <v>100</v>
      </c>
      <c r="T7" s="10">
        <v>22776</v>
      </c>
      <c r="U7" s="1">
        <f>Q7</f>
        <v>1</v>
      </c>
      <c r="V7" s="1"/>
    </row>
    <row r="8" spans="2:22">
      <c r="B8" s="1"/>
      <c r="C8" s="10">
        <v>22777</v>
      </c>
      <c r="D8" s="24" t="s">
        <v>101</v>
      </c>
      <c r="E8" s="9"/>
      <c r="F8" s="9">
        <v>12</v>
      </c>
      <c r="G8" s="9">
        <v>24</v>
      </c>
      <c r="H8" s="9"/>
      <c r="I8" s="9">
        <v>92</v>
      </c>
      <c r="J8" s="9">
        <v>30</v>
      </c>
      <c r="K8" s="18">
        <v>0.98</v>
      </c>
      <c r="L8" s="29"/>
      <c r="M8" s="1"/>
      <c r="N8" s="1" t="b">
        <f>IF(AND($M$25&gt;J7,$M$25&lt;=J8),TRUE,FALSE)</f>
        <v>1</v>
      </c>
      <c r="O8" s="1" t="b">
        <f>G8&gt;=$N$25</f>
        <v>1</v>
      </c>
      <c r="P8" s="1">
        <f>$Q$30/J8</f>
        <v>0.418904347826087</v>
      </c>
      <c r="Q8" s="1">
        <f t="shared" si="0"/>
        <v>1</v>
      </c>
      <c r="R8" s="1" t="b">
        <f>IF(AND(N8=$R$3,O8=$R$3),TRUE,FALSE)</f>
        <v>1</v>
      </c>
      <c r="S8" s="24" t="s">
        <v>101</v>
      </c>
      <c r="T8" s="10">
        <v>22777</v>
      </c>
      <c r="U8" s="1">
        <f t="shared" ref="U8:U13" si="1">Q8</f>
        <v>1</v>
      </c>
      <c r="V8" s="1"/>
    </row>
    <row r="9" spans="2:22">
      <c r="B9" s="1"/>
      <c r="C9" s="10">
        <v>22778</v>
      </c>
      <c r="D9" s="24" t="s">
        <v>102</v>
      </c>
      <c r="E9" s="9"/>
      <c r="F9" s="9">
        <v>12</v>
      </c>
      <c r="G9" s="9">
        <v>24</v>
      </c>
      <c r="H9" s="9"/>
      <c r="I9" s="9">
        <v>92</v>
      </c>
      <c r="J9" s="9">
        <v>40</v>
      </c>
      <c r="K9" s="18">
        <v>0.98</v>
      </c>
      <c r="L9" s="29"/>
      <c r="M9" s="1"/>
      <c r="N9" s="1" t="b">
        <f>M25&gt;J8</f>
        <v>0</v>
      </c>
      <c r="O9" s="1" t="b">
        <f>G9&gt;=$N$25</f>
        <v>1</v>
      </c>
      <c r="P9" s="1">
        <f>$Q$30/J9</f>
        <v>0.314178260869565</v>
      </c>
      <c r="Q9" s="1">
        <f t="shared" si="0"/>
        <v>1</v>
      </c>
      <c r="R9" s="1" t="b">
        <f t="shared" ref="R9:R13" si="2">IF(AND(N9=$R$3,O9=$R$3),TRUE,FALSE)</f>
        <v>0</v>
      </c>
      <c r="S9" s="24" t="s">
        <v>102</v>
      </c>
      <c r="T9" s="10">
        <v>22778</v>
      </c>
      <c r="U9" s="1">
        <f t="shared" si="1"/>
        <v>1</v>
      </c>
      <c r="V9" s="1"/>
    </row>
    <row r="10" spans="2:22">
      <c r="B10" s="1"/>
      <c r="C10" s="10">
        <v>22779</v>
      </c>
      <c r="D10" s="24" t="s">
        <v>102</v>
      </c>
      <c r="E10" s="9"/>
      <c r="F10" s="9">
        <v>12</v>
      </c>
      <c r="G10" s="9">
        <v>24</v>
      </c>
      <c r="H10" s="9">
        <v>48</v>
      </c>
      <c r="I10" s="9">
        <v>138</v>
      </c>
      <c r="J10" s="9">
        <v>40</v>
      </c>
      <c r="K10" s="18">
        <v>0.98</v>
      </c>
      <c r="L10" s="29"/>
      <c r="M10" s="1"/>
      <c r="N10" s="1" t="b">
        <f>IF(AND($M$25&gt;J18,$M$25&lt;=J9),TRUE,FALSE)</f>
        <v>1</v>
      </c>
      <c r="O10" s="1" t="b">
        <f>H10&gt;=$N$25</f>
        <v>1</v>
      </c>
      <c r="P10" s="1">
        <f>$Q$30/J10</f>
        <v>0.314178260869565</v>
      </c>
      <c r="Q10" s="1">
        <f t="shared" si="0"/>
        <v>1</v>
      </c>
      <c r="R10" s="1" t="b">
        <f t="shared" si="2"/>
        <v>1</v>
      </c>
      <c r="S10" s="24" t="s">
        <v>102</v>
      </c>
      <c r="T10" s="10">
        <v>22779</v>
      </c>
      <c r="U10" s="1">
        <f t="shared" si="1"/>
        <v>1</v>
      </c>
      <c r="V10" s="1"/>
    </row>
    <row r="11" spans="2:22">
      <c r="B11" s="1"/>
      <c r="C11" s="10">
        <v>22780</v>
      </c>
      <c r="D11" s="24" t="s">
        <v>103</v>
      </c>
      <c r="E11" s="9"/>
      <c r="F11" s="9">
        <v>12</v>
      </c>
      <c r="G11" s="9">
        <v>24</v>
      </c>
      <c r="H11" s="9">
        <v>48</v>
      </c>
      <c r="I11" s="9">
        <v>138</v>
      </c>
      <c r="J11" s="9">
        <v>50</v>
      </c>
      <c r="K11" s="18">
        <v>0.98</v>
      </c>
      <c r="L11" s="29"/>
      <c r="M11" s="1"/>
      <c r="N11" s="1" t="b">
        <f>IF(AND($M$25&gt;J10,$M$25&lt;=J11),TRUE,FALSE)</f>
        <v>0</v>
      </c>
      <c r="O11" s="1" t="b">
        <f>H11&gt;=$N$25</f>
        <v>1</v>
      </c>
      <c r="P11" s="1">
        <f>$Q$30/J11</f>
        <v>0.251342608695652</v>
      </c>
      <c r="Q11" s="1">
        <f t="shared" si="0"/>
        <v>1</v>
      </c>
      <c r="R11" s="1" t="b">
        <f t="shared" si="2"/>
        <v>0</v>
      </c>
      <c r="S11" s="24" t="s">
        <v>103</v>
      </c>
      <c r="T11" s="10">
        <v>22780</v>
      </c>
      <c r="U11" s="1">
        <f t="shared" si="1"/>
        <v>1</v>
      </c>
      <c r="V11" s="1"/>
    </row>
    <row r="12" spans="2:22">
      <c r="B12" s="1"/>
      <c r="C12" s="10">
        <v>22781</v>
      </c>
      <c r="D12" s="24" t="s">
        <v>104</v>
      </c>
      <c r="E12" s="9"/>
      <c r="F12" s="9">
        <v>12</v>
      </c>
      <c r="G12" s="9">
        <v>24</v>
      </c>
      <c r="H12" s="9">
        <v>48</v>
      </c>
      <c r="I12" s="9">
        <v>138</v>
      </c>
      <c r="J12" s="9">
        <v>60</v>
      </c>
      <c r="K12" s="18">
        <v>0.98</v>
      </c>
      <c r="L12" s="29"/>
      <c r="M12" s="1"/>
      <c r="N12" s="1" t="b">
        <f>IF(AND($M$25&gt;J11,$M$25&lt;=J12),TRUE,FALSE)</f>
        <v>0</v>
      </c>
      <c r="O12" s="1" t="b">
        <f>H12&gt;=$N$25</f>
        <v>1</v>
      </c>
      <c r="P12" s="1">
        <f t="shared" ref="P12:P13" si="3">$Q$30/J12</f>
        <v>0.209452173913043</v>
      </c>
      <c r="Q12" s="1">
        <f t="shared" si="0"/>
        <v>1</v>
      </c>
      <c r="R12" s="1" t="b">
        <f t="shared" si="2"/>
        <v>0</v>
      </c>
      <c r="S12" s="24" t="s">
        <v>104</v>
      </c>
      <c r="T12" s="10">
        <v>22781</v>
      </c>
      <c r="U12" s="1">
        <f t="shared" si="1"/>
        <v>1</v>
      </c>
      <c r="V12" s="1"/>
    </row>
    <row r="13" spans="2:22">
      <c r="B13" s="1"/>
      <c r="C13" s="10">
        <v>22782</v>
      </c>
      <c r="D13" s="24" t="s">
        <v>104</v>
      </c>
      <c r="E13" s="9"/>
      <c r="F13" s="9">
        <v>12</v>
      </c>
      <c r="G13" s="9">
        <v>24</v>
      </c>
      <c r="H13" s="9">
        <v>48</v>
      </c>
      <c r="I13" s="9">
        <v>180</v>
      </c>
      <c r="J13" s="9">
        <v>60</v>
      </c>
      <c r="K13" s="18">
        <v>0.98</v>
      </c>
      <c r="L13" s="29"/>
      <c r="M13" s="1"/>
      <c r="N13" s="1" t="b">
        <f>IF(AND($M$25&gt;J11,$M$25&lt;=J12),TRUE,FALSE)</f>
        <v>0</v>
      </c>
      <c r="O13" s="1" t="b">
        <f>H13&gt;=$N$25</f>
        <v>1</v>
      </c>
      <c r="P13" s="1">
        <f t="shared" si="3"/>
        <v>0.209452173913043</v>
      </c>
      <c r="Q13" s="1">
        <f t="shared" ref="Q13" si="4">ROUNDUP(P13,0)</f>
        <v>1</v>
      </c>
      <c r="R13" s="1" t="b">
        <f t="shared" si="2"/>
        <v>0</v>
      </c>
      <c r="S13" s="24" t="s">
        <v>104</v>
      </c>
      <c r="T13" s="10">
        <v>22782</v>
      </c>
      <c r="U13" s="1">
        <f t="shared" si="1"/>
        <v>1</v>
      </c>
      <c r="V13" s="1"/>
    </row>
    <row r="14" spans="2:22">
      <c r="B14" s="1"/>
      <c r="C14" s="10"/>
      <c r="D14" s="24"/>
      <c r="E14" s="9"/>
      <c r="F14" s="9"/>
      <c r="G14" s="9"/>
      <c r="H14" s="9"/>
      <c r="I14" s="9"/>
      <c r="J14" s="9"/>
      <c r="K14" s="18"/>
      <c r="L14" s="29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3.5" spans="2:22">
      <c r="B15" s="1"/>
      <c r="C15" s="12"/>
      <c r="D15" s="13"/>
      <c r="E15" s="14"/>
      <c r="F15" s="14"/>
      <c r="G15" s="14"/>
      <c r="H15" s="14"/>
      <c r="I15" s="14"/>
      <c r="J15" s="14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>
      <c r="B16" s="1"/>
      <c r="C16" s="25"/>
      <c r="D16" s="26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>
      <c r="B17" s="1"/>
      <c r="C17" s="25"/>
      <c r="D17" s="26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>
      <c r="B18" s="1"/>
      <c r="C18" s="25"/>
      <c r="D18" s="26"/>
      <c r="E18" s="25"/>
      <c r="F18" s="25"/>
      <c r="G18" s="25"/>
      <c r="H18" s="25"/>
      <c r="I18" s="25"/>
      <c r="J18" s="25">
        <v>0</v>
      </c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>
      <c r="B19" s="1"/>
      <c r="C19" s="25"/>
      <c r="D19" s="26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>
      <c r="B20" s="1"/>
      <c r="C20" s="25"/>
      <c r="D20" s="26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>
      <c r="B21" s="1"/>
      <c r="C21" s="25"/>
      <c r="D21" s="26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>
      <c r="B22" s="1"/>
      <c r="C22" s="25"/>
      <c r="D22" s="26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>
      <c r="B23" s="1"/>
      <c r="C23" s="25"/>
      <c r="D23" s="26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56.25" customHeight="1" spans="2:22">
      <c r="B24" s="1"/>
      <c r="C24" s="25"/>
      <c r="D24" s="26"/>
      <c r="E24" s="25"/>
      <c r="F24" s="25"/>
      <c r="G24" s="25"/>
      <c r="H24" s="25"/>
      <c r="I24" s="25"/>
      <c r="J24" s="25"/>
      <c r="K24" s="25"/>
      <c r="L24" s="1"/>
      <c r="M24" s="30" t="s">
        <v>105</v>
      </c>
      <c r="N24" s="31" t="s">
        <v>12</v>
      </c>
      <c r="O24" s="1"/>
      <c r="P24" s="1"/>
      <c r="Q24" s="1"/>
      <c r="R24" s="1"/>
      <c r="S24" s="1"/>
      <c r="T24" s="1"/>
      <c r="U24" s="1"/>
      <c r="V24" s="1"/>
    </row>
    <row r="25" spans="2:22">
      <c r="B25" s="1"/>
      <c r="C25" s="25"/>
      <c r="D25" s="26"/>
      <c r="E25" s="25"/>
      <c r="F25" s="25"/>
      <c r="G25" s="25"/>
      <c r="H25" s="25"/>
      <c r="I25" s="25"/>
      <c r="J25" s="25"/>
      <c r="K25" s="25"/>
      <c r="L25" s="1"/>
      <c r="M25" s="1">
        <f>Calculo!F5</f>
        <v>22</v>
      </c>
      <c r="N25" s="1">
        <f>Calculo!B7</f>
        <v>24</v>
      </c>
      <c r="O25" s="1">
        <f>Calculo!B10*Calculo!F4</f>
        <v>100.8</v>
      </c>
      <c r="P25" s="1"/>
      <c r="Q25" s="1"/>
      <c r="R25" s="1"/>
      <c r="S25" s="1"/>
      <c r="T25" s="1"/>
      <c r="U25" s="1"/>
      <c r="V25" s="1"/>
    </row>
    <row r="26" spans="2:22">
      <c r="B26" s="1"/>
      <c r="C26" s="25"/>
      <c r="D26" s="26"/>
      <c r="E26" s="25"/>
      <c r="F26" s="25"/>
      <c r="G26" s="25"/>
      <c r="H26" s="25"/>
      <c r="I26" s="25"/>
      <c r="J26" s="25"/>
      <c r="K26" s="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>
      <c r="B27" s="1"/>
      <c r="C27" s="25"/>
      <c r="D27" s="26"/>
      <c r="E27" s="25"/>
      <c r="F27" s="25"/>
      <c r="G27" s="25"/>
      <c r="H27" s="25"/>
      <c r="I27" s="25"/>
      <c r="J27" s="25"/>
      <c r="K27" s="25"/>
      <c r="L27" s="1"/>
      <c r="M27" s="25" t="s">
        <v>33</v>
      </c>
      <c r="N27" s="25"/>
      <c r="O27" s="1">
        <f>Calculo!B9</f>
        <v>11.47</v>
      </c>
      <c r="P27" s="1"/>
      <c r="Q27" s="1"/>
      <c r="R27" s="1"/>
      <c r="S27" s="1"/>
      <c r="T27" s="1"/>
      <c r="U27" s="1"/>
      <c r="V27" s="1"/>
    </row>
    <row r="28" spans="2:22">
      <c r="B28" s="1"/>
      <c r="C28" s="25"/>
      <c r="D28" s="26"/>
      <c r="E28" s="25"/>
      <c r="F28" s="25"/>
      <c r="G28" s="25"/>
      <c r="H28" s="25"/>
      <c r="I28" s="25"/>
      <c r="J28" s="25"/>
      <c r="K28" s="25"/>
      <c r="L28" s="1"/>
      <c r="M28" s="25" t="s">
        <v>35</v>
      </c>
      <c r="N28" s="25"/>
      <c r="O28" s="1">
        <f>Calculo!B10</f>
        <v>50.4</v>
      </c>
      <c r="P28" s="1"/>
      <c r="Q28" s="1"/>
      <c r="R28" s="1"/>
      <c r="S28" s="1"/>
      <c r="T28" s="1"/>
      <c r="U28" s="1"/>
      <c r="V28" s="1"/>
    </row>
    <row r="29" spans="2:22">
      <c r="B29" s="1"/>
      <c r="C29" s="25"/>
      <c r="D29" s="26"/>
      <c r="E29" s="25"/>
      <c r="F29" s="25"/>
      <c r="G29" s="25"/>
      <c r="H29" s="25"/>
      <c r="I29" s="25"/>
      <c r="J29" s="25"/>
      <c r="K29" s="2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f>O25/I7</f>
        <v>1.09565217391304</v>
      </c>
      <c r="Q30" s="1">
        <f>P30*O27</f>
        <v>12.5671304347826</v>
      </c>
      <c r="R30" s="1"/>
      <c r="S30" s="1"/>
      <c r="T30" s="1"/>
      <c r="U30" s="1"/>
      <c r="V30" s="1"/>
    </row>
    <row r="31" spans="2:2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sheetProtection formatCells="0" formatColumns="0" formatRows="0" insertRows="0" insertColumns="0" insertHyperlinks="0" deleteColumns="0" deleteRows="0" sort="0" autoFilter="0" pivotTables="0"/>
  <mergeCells count="2">
    <mergeCell ref="M27:N27"/>
    <mergeCell ref="M28:N28"/>
  </mergeCells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S18"/>
  <sheetViews>
    <sheetView workbookViewId="0">
      <selection activeCell="I8" sqref="I8"/>
    </sheetView>
  </sheetViews>
  <sheetFormatPr defaultColWidth="9" defaultRowHeight="12.75"/>
  <cols>
    <col min="4" max="4" width="61.8571428571429" customWidth="1"/>
    <col min="5" max="5" width="11.5714285714286" customWidth="1"/>
    <col min="11" max="11" width="13.1428571428571" customWidth="1"/>
  </cols>
  <sheetData>
    <row r="3" ht="13.5"/>
    <row r="4" ht="45.75" spans="2:19">
      <c r="B4" s="1"/>
      <c r="C4" s="2" t="s">
        <v>3</v>
      </c>
      <c r="D4" s="3" t="s">
        <v>106</v>
      </c>
      <c r="E4" s="3"/>
      <c r="F4" s="3" t="s">
        <v>94</v>
      </c>
      <c r="G4" s="3" t="s">
        <v>94</v>
      </c>
      <c r="H4" s="3" t="s">
        <v>94</v>
      </c>
      <c r="I4" s="3" t="s">
        <v>94</v>
      </c>
      <c r="J4" s="3" t="s">
        <v>107</v>
      </c>
      <c r="K4" s="3" t="s">
        <v>108</v>
      </c>
      <c r="L4" s="15" t="s">
        <v>109</v>
      </c>
      <c r="M4" s="2" t="s">
        <v>3</v>
      </c>
      <c r="N4" s="1"/>
      <c r="O4" s="1"/>
      <c r="P4" s="1"/>
      <c r="Q4" s="1"/>
      <c r="R4" s="1"/>
      <c r="S4" s="1"/>
    </row>
    <row r="5" spans="2:19">
      <c r="B5" s="1"/>
      <c r="C5" s="4"/>
      <c r="D5" s="5"/>
      <c r="E5" s="5"/>
      <c r="F5" s="6"/>
      <c r="G5" s="6"/>
      <c r="H5" s="6"/>
      <c r="I5" s="6"/>
      <c r="J5" s="6"/>
      <c r="K5" s="6"/>
      <c r="L5" s="16"/>
      <c r="M5" s="4"/>
      <c r="N5" s="1"/>
      <c r="O5" s="1"/>
      <c r="P5" s="1"/>
      <c r="Q5" s="1"/>
      <c r="R5" s="1"/>
      <c r="S5" s="1"/>
    </row>
    <row r="6" spans="2:19">
      <c r="B6" s="1"/>
      <c r="C6" s="7">
        <v>28887</v>
      </c>
      <c r="D6" s="8" t="s">
        <v>110</v>
      </c>
      <c r="E6" s="5" t="s">
        <v>111</v>
      </c>
      <c r="F6" s="9">
        <v>12</v>
      </c>
      <c r="G6" s="9">
        <v>24</v>
      </c>
      <c r="H6" s="9">
        <v>36</v>
      </c>
      <c r="I6" s="9">
        <v>48</v>
      </c>
      <c r="J6" s="9">
        <v>45</v>
      </c>
      <c r="K6" s="5">
        <v>0.3</v>
      </c>
      <c r="L6" s="17">
        <v>0.9</v>
      </c>
      <c r="M6" s="7">
        <v>28887</v>
      </c>
      <c r="N6" s="1"/>
      <c r="O6" s="1"/>
      <c r="P6" s="1"/>
      <c r="Q6" s="1"/>
      <c r="R6" s="1"/>
      <c r="S6" s="1"/>
    </row>
    <row r="7" spans="2:19">
      <c r="B7" s="1"/>
      <c r="C7" s="10">
        <v>27612</v>
      </c>
      <c r="D7" s="11" t="s">
        <v>112</v>
      </c>
      <c r="E7" s="5" t="s">
        <v>111</v>
      </c>
      <c r="F7" s="9">
        <v>12</v>
      </c>
      <c r="G7" s="9">
        <v>24</v>
      </c>
      <c r="H7" s="9">
        <v>36</v>
      </c>
      <c r="I7" s="9">
        <v>48</v>
      </c>
      <c r="J7" s="9">
        <v>45</v>
      </c>
      <c r="K7" s="9">
        <v>0.3</v>
      </c>
      <c r="L7" s="18">
        <v>0.9</v>
      </c>
      <c r="M7" s="10">
        <v>27612</v>
      </c>
      <c r="N7" s="1"/>
      <c r="O7" s="1"/>
      <c r="P7" s="1"/>
      <c r="Q7" s="1"/>
      <c r="R7" s="1"/>
      <c r="S7" s="1"/>
    </row>
    <row r="8" spans="2:19">
      <c r="B8" s="1"/>
      <c r="C8" s="10">
        <v>27548</v>
      </c>
      <c r="D8" s="11" t="s">
        <v>113</v>
      </c>
      <c r="E8" s="5" t="s">
        <v>111</v>
      </c>
      <c r="F8" s="9">
        <v>12</v>
      </c>
      <c r="G8" s="9">
        <v>24</v>
      </c>
      <c r="H8" s="9">
        <v>36</v>
      </c>
      <c r="I8" s="9">
        <v>48</v>
      </c>
      <c r="J8" s="9">
        <v>60</v>
      </c>
      <c r="K8" s="9">
        <v>0.3</v>
      </c>
      <c r="L8" s="18">
        <v>0.9</v>
      </c>
      <c r="M8" s="10">
        <v>27548</v>
      </c>
      <c r="N8" s="1"/>
      <c r="O8" s="1"/>
      <c r="P8" s="1"/>
      <c r="Q8" s="1"/>
      <c r="R8" s="1"/>
      <c r="S8" s="1"/>
    </row>
    <row r="9" spans="2:19">
      <c r="B9" s="1"/>
      <c r="C9" s="10">
        <v>24231</v>
      </c>
      <c r="D9" s="11" t="s">
        <v>114</v>
      </c>
      <c r="E9" s="5" t="s">
        <v>111</v>
      </c>
      <c r="F9" s="9">
        <v>12</v>
      </c>
      <c r="G9" s="9">
        <v>24</v>
      </c>
      <c r="H9" s="9">
        <v>36</v>
      </c>
      <c r="I9" s="9">
        <v>48</v>
      </c>
      <c r="J9" s="9">
        <v>150</v>
      </c>
      <c r="K9" s="9">
        <v>0.8</v>
      </c>
      <c r="L9" s="18">
        <v>0.9</v>
      </c>
      <c r="M9" s="10">
        <v>24231</v>
      </c>
      <c r="N9" s="1"/>
      <c r="O9" s="1"/>
      <c r="P9" s="1"/>
      <c r="Q9" s="1"/>
      <c r="R9" s="1"/>
      <c r="S9" s="1"/>
    </row>
    <row r="10" spans="2:19">
      <c r="B10" s="1"/>
      <c r="C10" s="10">
        <v>27919</v>
      </c>
      <c r="D10" s="11" t="s">
        <v>10</v>
      </c>
      <c r="E10" s="5" t="s">
        <v>111</v>
      </c>
      <c r="F10" s="9">
        <v>12</v>
      </c>
      <c r="G10" s="9">
        <v>24</v>
      </c>
      <c r="H10" s="9">
        <v>36</v>
      </c>
      <c r="I10" s="9">
        <v>48</v>
      </c>
      <c r="J10" s="9">
        <v>220</v>
      </c>
      <c r="K10" s="9">
        <v>0.8</v>
      </c>
      <c r="L10" s="18">
        <v>0.9</v>
      </c>
      <c r="M10" s="10">
        <v>27919</v>
      </c>
      <c r="N10" s="1"/>
      <c r="O10" s="1"/>
      <c r="P10" s="1"/>
      <c r="Q10" s="1"/>
      <c r="R10" s="1"/>
      <c r="S10" s="1"/>
    </row>
    <row r="11" ht="13.5" spans="2:19">
      <c r="B11" s="1"/>
      <c r="C11" s="12"/>
      <c r="D11" s="13"/>
      <c r="E11" s="14"/>
      <c r="F11" s="14"/>
      <c r="G11" s="14"/>
      <c r="H11" s="14"/>
      <c r="I11" s="14"/>
      <c r="J11" s="14"/>
      <c r="K11" s="14"/>
      <c r="L11" s="19"/>
      <c r="M11" s="1"/>
      <c r="N11" s="1"/>
      <c r="O11" s="1"/>
      <c r="P11" s="1"/>
      <c r="Q11" s="1"/>
      <c r="R11" s="1"/>
      <c r="S11" s="1"/>
    </row>
    <row r="12" spans="2:19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heetProtection formatCells="0" formatColumns="0" formatRows="0" insertRows="0" insertColumns="0" insertHyperlinks="0" deleteColumns="0" deleteRows="0" sort="0" autoFilter="0" pivotTables="0"/>
  <pageMargins left="0.511811024" right="0.511811024" top="0.787401575" bottom="0.787401575" header="0.31496062" footer="0.31496062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calculo" rangeCreator="" othersAccessPermission="edit"/>
  </rangeList>
  <rangeList sheetStid="1" master="" otherUserPermission="visible"/>
  <rangeList sheetStid="3" master="" otherUserPermission="visible"/>
  <rangeList sheetStid="5" master="" otherUserPermission="visible"/>
  <rangeList sheetStid="4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Layout</vt:lpstr>
      <vt:lpstr>Calculo</vt:lpstr>
      <vt:lpstr>Sis Placa Solar</vt:lpstr>
      <vt:lpstr>Sis Inversor off grid</vt:lpstr>
      <vt:lpstr>Sis Controlador de carga</vt:lpstr>
      <vt:lpstr>Sis Bateria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ped01</dc:creator>
  <cp:lastModifiedBy>Usuario</cp:lastModifiedBy>
  <dcterms:created xsi:type="dcterms:W3CDTF">2023-09-20T19:16:00Z</dcterms:created>
  <dcterms:modified xsi:type="dcterms:W3CDTF">2025-02-20T23:33:00Z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EC68B869EB7E430F98AFBBBE1D1EB5A6_13</vt:lpwstr>
  </property>
  <property fmtid="{D5CDD505-2E9C-101B-9397-08002B2CF9AE}" pid="3" name="KSOProductBuildVer">
    <vt:lpwstr>1046-12.2.0.19805</vt:lpwstr>
  </property>
</Properties>
</file>