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a Contabilidade\Downloads\"/>
    </mc:Choice>
  </mc:AlternateContent>
  <xr:revisionPtr revIDLastSave="0" documentId="13_ncr:1_{4A2249D8-6A43-4820-8343-8C7AA2164F65}" xr6:coauthVersionLast="47" xr6:coauthVersionMax="47" xr10:uidLastSave="{00000000-0000-0000-0000-000000000000}"/>
  <bookViews>
    <workbookView xWindow="28680" yWindow="-120" windowWidth="29040" windowHeight="15840" tabRatio="859" firstSheet="3" activeTab="6" xr2:uid="{00000000-000D-0000-FFFF-FFFF00000000}"/>
  </bookViews>
  <sheets>
    <sheet name="Fixa set" sheetId="139" state="hidden" r:id="rId1"/>
    <sheet name="RELATÓRIO DA DESPESA 2020" sheetId="171" state="hidden" r:id="rId2"/>
    <sheet name="RELATÓRIO DA RECEITA  2020" sheetId="170" state="hidden" r:id="rId3"/>
    <sheet name="RESULTADO" sheetId="195" r:id="rId4"/>
    <sheet name="Orçamentário e fin. 2024" sheetId="191" r:id="rId5"/>
    <sheet name="Comparativo 23 24" sheetId="192" r:id="rId6"/>
    <sheet name="Despesas por categoria 2024" sheetId="184" r:id="rId7"/>
    <sheet name="Orçamentário e fin. 2023 " sheetId="193" r:id="rId8"/>
    <sheet name="Comparativo 22 23" sheetId="194" r:id="rId9"/>
    <sheet name="Orçamentário e fin. 2022" sheetId="190" state="hidden" r:id="rId10"/>
    <sheet name="Comparativo 21 22" sheetId="189" state="hidden" r:id="rId11"/>
    <sheet name="Orçamentário e Fin. 2021" sheetId="188" state="hidden" r:id="rId12"/>
    <sheet name="Comparativo 20 21 " sheetId="187" state="hidden" r:id="rId13"/>
    <sheet name="Orçamentário e Fin. 2020" sheetId="185" state="hidden" r:id="rId14"/>
    <sheet name="Comparativo 19 20" sheetId="186" state="hidden" r:id="rId15"/>
    <sheet name="ORCAMENTÁRIO E FIN. 2019" sheetId="174" state="hidden" r:id="rId16"/>
    <sheet name="Comparativo 17 18" sheetId="183" state="hidden" r:id="rId17"/>
    <sheet name="Orçamentário e Fin. 2018" sheetId="181" state="hidden" r:id="rId18"/>
    <sheet name="Comparativo 16 17" sheetId="179" state="hidden" r:id="rId19"/>
    <sheet name="Orçamentário e Fin. 2017" sheetId="178" state="hidden" r:id="rId20"/>
    <sheet name="Orçamentário e Finc. 2016" sheetId="175" state="hidden" r:id="rId21"/>
    <sheet name="Comparativo 15 16" sheetId="176" state="hidden" r:id="rId22"/>
    <sheet name="Orçamentário e Finc. 2015" sheetId="21" state="hidden" r:id="rId23"/>
    <sheet name="Comparativo 13 14 15" sheetId="168" state="hidden" r:id="rId24"/>
    <sheet name="12 13 14 " sheetId="169" state="hidden" r:id="rId25"/>
  </sheets>
  <definedNames>
    <definedName name="_abr02" localSheetId="8">#REF!</definedName>
    <definedName name="_abr02" localSheetId="7">#REF!</definedName>
    <definedName name="_abr02">#REF!</definedName>
    <definedName name="_abr03" localSheetId="8">#REF!</definedName>
    <definedName name="_abr03" localSheetId="7">#REF!</definedName>
    <definedName name="_abr03">#REF!</definedName>
    <definedName name="_abr09" localSheetId="8">#REF!</definedName>
    <definedName name="_abr09" localSheetId="7">#REF!</definedName>
    <definedName name="_abr09">#REF!</definedName>
    <definedName name="_abr1" localSheetId="8">#REF!</definedName>
    <definedName name="_abr1" localSheetId="7">#REF!</definedName>
    <definedName name="_abr1">#REF!</definedName>
    <definedName name="_abr2" localSheetId="8">#REF!</definedName>
    <definedName name="_abr2" localSheetId="7">#REF!</definedName>
    <definedName name="_abr2">#REF!</definedName>
    <definedName name="_abr3" localSheetId="8">#REF!</definedName>
    <definedName name="_abr3" localSheetId="7">#REF!</definedName>
    <definedName name="_abr3">#REF!</definedName>
    <definedName name="_ago1" localSheetId="8">#REF!</definedName>
    <definedName name="_ago1" localSheetId="7">#REF!</definedName>
    <definedName name="_ago1">#REF!</definedName>
    <definedName name="_ago2" localSheetId="8">#REF!</definedName>
    <definedName name="_ago2" localSheetId="7">#REF!</definedName>
    <definedName name="_ago2">#REF!</definedName>
    <definedName name="_ago3" localSheetId="8">#REF!</definedName>
    <definedName name="_ago3" localSheetId="7">#REF!</definedName>
    <definedName name="_ago3">#REF!</definedName>
    <definedName name="_dez1" localSheetId="8">#REF!</definedName>
    <definedName name="_dez1" localSheetId="7">#REF!</definedName>
    <definedName name="_dez1">#REF!</definedName>
    <definedName name="_dez2" localSheetId="24">#REF!</definedName>
    <definedName name="_dez2" localSheetId="23">#REF!</definedName>
    <definedName name="_dez2" localSheetId="16">#REF!</definedName>
    <definedName name="_dez2" localSheetId="14">#REF!</definedName>
    <definedName name="_dez2" localSheetId="8">#REF!</definedName>
    <definedName name="_dez2" localSheetId="17">#REF!</definedName>
    <definedName name="_dez2" localSheetId="13">#REF!</definedName>
    <definedName name="_dez2" localSheetId="7">#REF!</definedName>
    <definedName name="_dez2">#REF!</definedName>
    <definedName name="_dez3" localSheetId="24">#REF!</definedName>
    <definedName name="_dez3" localSheetId="23">#REF!</definedName>
    <definedName name="_dez3" localSheetId="16">#REF!</definedName>
    <definedName name="_dez3" localSheetId="14">#REF!</definedName>
    <definedName name="_dez3" localSheetId="8">#REF!</definedName>
    <definedName name="_dez3" localSheetId="17">#REF!</definedName>
    <definedName name="_dez3" localSheetId="13">#REF!</definedName>
    <definedName name="_dez3" localSheetId="7">#REF!</definedName>
    <definedName name="_dez3">#REF!</definedName>
    <definedName name="_fev09" localSheetId="8">#REF!</definedName>
    <definedName name="_fev09" localSheetId="7">#REF!</definedName>
    <definedName name="_fev09">#REF!</definedName>
    <definedName name="_fev1" localSheetId="8">#REF!</definedName>
    <definedName name="_fev1" localSheetId="7">#REF!</definedName>
    <definedName name="_fev1">#REF!</definedName>
    <definedName name="_fev2" localSheetId="8">#REF!</definedName>
    <definedName name="_fev2" localSheetId="7">#REF!</definedName>
    <definedName name="_fev2">#REF!</definedName>
    <definedName name="_fev3" localSheetId="8">#REF!</definedName>
    <definedName name="_fev3" localSheetId="7">#REF!</definedName>
    <definedName name="_fev3">#REF!</definedName>
    <definedName name="_jan09" localSheetId="8">#REF!</definedName>
    <definedName name="_jan09" localSheetId="7">#REF!</definedName>
    <definedName name="_jan09">#REF!</definedName>
    <definedName name="_jan1" localSheetId="8">#REF!</definedName>
    <definedName name="_jan1" localSheetId="7">#REF!</definedName>
    <definedName name="_jan1">#REF!</definedName>
    <definedName name="_jan2" localSheetId="8">#REF!</definedName>
    <definedName name="_jan2" localSheetId="7">#REF!</definedName>
    <definedName name="_jan2">#REF!</definedName>
    <definedName name="_jan3" localSheetId="8">#REF!</definedName>
    <definedName name="_jan3" localSheetId="7">#REF!</definedName>
    <definedName name="_jan3">#REF!</definedName>
    <definedName name="_jul1" localSheetId="8">#REF!</definedName>
    <definedName name="_jul1" localSheetId="7">#REF!</definedName>
    <definedName name="_jul1">#REF!</definedName>
    <definedName name="_jul2" localSheetId="8">#REF!</definedName>
    <definedName name="_jul2" localSheetId="7">#REF!</definedName>
    <definedName name="_jul2">#REF!</definedName>
    <definedName name="_jul3" localSheetId="8">#REF!</definedName>
    <definedName name="_jul3" localSheetId="7">#REF!</definedName>
    <definedName name="_jul3">#REF!</definedName>
    <definedName name="_jun1" localSheetId="8">#REF!</definedName>
    <definedName name="_jun1" localSheetId="7">#REF!</definedName>
    <definedName name="_jun1">#REF!</definedName>
    <definedName name="_jun2" localSheetId="8">#REF!</definedName>
    <definedName name="_jun2" localSheetId="7">#REF!</definedName>
    <definedName name="_jun2">#REF!</definedName>
    <definedName name="_jun3" localSheetId="8">#REF!</definedName>
    <definedName name="_jun3" localSheetId="7">#REF!</definedName>
    <definedName name="_jun3">#REF!</definedName>
    <definedName name="_mai1" localSheetId="8">#REF!</definedName>
    <definedName name="_mai1" localSheetId="7">#REF!</definedName>
    <definedName name="_mai1">#REF!</definedName>
    <definedName name="_mai2" localSheetId="8">#REF!</definedName>
    <definedName name="_mai2" localSheetId="7">#REF!</definedName>
    <definedName name="_mai2">#REF!</definedName>
    <definedName name="_mai3" localSheetId="8">#REF!</definedName>
    <definedName name="_mai3" localSheetId="7">#REF!</definedName>
    <definedName name="_mai3">#REF!</definedName>
    <definedName name="_mar02" localSheetId="8">#REF!</definedName>
    <definedName name="_mar02" localSheetId="7">#REF!</definedName>
    <definedName name="_mar02">#REF!</definedName>
    <definedName name="_mar09" localSheetId="8">#REF!</definedName>
    <definedName name="_mar09" localSheetId="7">#REF!</definedName>
    <definedName name="_mar09">#REF!</definedName>
    <definedName name="_mar1" localSheetId="8">#REF!</definedName>
    <definedName name="_mar1" localSheetId="7">#REF!</definedName>
    <definedName name="_mar1">#REF!</definedName>
    <definedName name="_mar2" localSheetId="8">#REF!</definedName>
    <definedName name="_mar2" localSheetId="7">#REF!</definedName>
    <definedName name="_mar2">#REF!</definedName>
    <definedName name="_mar3" localSheetId="8">#REF!</definedName>
    <definedName name="_mar3" localSheetId="7">#REF!</definedName>
    <definedName name="_mar3">#REF!</definedName>
    <definedName name="_nov1" localSheetId="8">#REF!</definedName>
    <definedName name="_nov1" localSheetId="7">#REF!</definedName>
    <definedName name="_nov1">#REF!</definedName>
    <definedName name="_nov2" localSheetId="8">#REF!</definedName>
    <definedName name="_nov2" localSheetId="7">#REF!</definedName>
    <definedName name="_nov2">#REF!</definedName>
    <definedName name="_nov3" localSheetId="8">#REF!</definedName>
    <definedName name="_nov3" localSheetId="7">#REF!</definedName>
    <definedName name="_nov3">#REF!</definedName>
    <definedName name="_out1" localSheetId="8">#REF!</definedName>
    <definedName name="_out1" localSheetId="7">#REF!</definedName>
    <definedName name="_out1">#REF!</definedName>
    <definedName name="_out2" localSheetId="8">#REF!</definedName>
    <definedName name="_out2" localSheetId="7">#REF!</definedName>
    <definedName name="_out2">#REF!</definedName>
    <definedName name="_out3" localSheetId="8">#REF!</definedName>
    <definedName name="_out3" localSheetId="7">#REF!</definedName>
    <definedName name="_out3">#REF!</definedName>
    <definedName name="_set1" localSheetId="8">#REF!</definedName>
    <definedName name="_set1" localSheetId="7">#REF!</definedName>
    <definedName name="_set1">#REF!</definedName>
    <definedName name="_set2" localSheetId="8">#REF!</definedName>
    <definedName name="_set2" localSheetId="7">#REF!</definedName>
    <definedName name="_set2">#REF!</definedName>
    <definedName name="_set3" localSheetId="8">#REF!</definedName>
    <definedName name="_set3" localSheetId="7">#REF!</definedName>
    <definedName name="_set3">#REF!</definedName>
    <definedName name="acumfev" localSheetId="8">#REF!</definedName>
    <definedName name="acumfev" localSheetId="7">#REF!</definedName>
    <definedName name="acumfev">#REF!</definedName>
    <definedName name="acumjan" localSheetId="8">#REF!</definedName>
    <definedName name="acumjan" localSheetId="7">#REF!</definedName>
    <definedName name="acumjan">#REF!</definedName>
    <definedName name="acumreg" localSheetId="8">#REF!</definedName>
    <definedName name="acumreg" localSheetId="7">#REF!</definedName>
    <definedName name="acumreg">#REF!</definedName>
    <definedName name="comis" localSheetId="8">#REF!</definedName>
    <definedName name="comis" localSheetId="7">#REF!</definedName>
    <definedName name="comis">#REF!</definedName>
    <definedName name="DESPESAS_POR_CATEGORIA__rubrica__EXERCÍCIO_DE_2024">'Despesas por categoria 2024'!$B$6:$G$30</definedName>
    <definedName name="Despesas_por_categoria_2024">'Despesas por categoria 2024'!$D$34:$S$53</definedName>
    <definedName name="maio" localSheetId="24">#REF!</definedName>
    <definedName name="maio" localSheetId="23">#REF!</definedName>
    <definedName name="maio" localSheetId="16">#REF!</definedName>
    <definedName name="maio" localSheetId="14">#REF!</definedName>
    <definedName name="maio" localSheetId="8">#REF!</definedName>
    <definedName name="maio" localSheetId="17">#REF!</definedName>
    <definedName name="maio" localSheetId="13">#REF!</definedName>
    <definedName name="maio" localSheetId="7">#REF!</definedName>
    <definedName name="maio">#REF!</definedName>
    <definedName name="RESULTADO">'Despesas por categoria 2024'!$B$34:$C$38</definedName>
    <definedName name="totalcomisjun" localSheetId="8">#REF!</definedName>
    <definedName name="totalcomisjun" localSheetId="7">#REF!</definedName>
    <definedName name="totalcomisjun">#REF!</definedName>
    <definedName name="totalinvest" localSheetId="8">#REF!</definedName>
    <definedName name="totalinvest" localSheetId="7">#REF!</definedName>
    <definedName name="totalinvest">#REF!</definedName>
    <definedName name="totalinvestjun" localSheetId="8">#REF!</definedName>
    <definedName name="totalinvestjun" localSheetId="7">#REF!</definedName>
    <definedName name="totalinvestjun">#REF!</definedName>
    <definedName name="totaljanjun" localSheetId="8">#REF!</definedName>
    <definedName name="totaljanjun" localSheetId="7">#REF!</definedName>
    <definedName name="totaljanjun">#REF!</definedName>
    <definedName name="totaljun" localSheetId="8">#REF!</definedName>
    <definedName name="totaljun" localSheetId="7">#REF!</definedName>
    <definedName name="totaljun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91" l="1"/>
  <c r="D10" i="184"/>
  <c r="D7" i="184"/>
  <c r="C12" i="184"/>
  <c r="C7" i="184"/>
  <c r="C9" i="184"/>
  <c r="H21" i="192"/>
  <c r="I21" i="192" s="1"/>
  <c r="D21" i="192"/>
  <c r="E21" i="192" s="1"/>
  <c r="K20" i="191"/>
  <c r="F20" i="191"/>
  <c r="G20" i="191"/>
  <c r="H20" i="191"/>
  <c r="D20" i="191"/>
  <c r="G20" i="192"/>
  <c r="F20" i="192"/>
  <c r="C20" i="192"/>
  <c r="D20" i="192" s="1"/>
  <c r="E20" i="192" s="1"/>
  <c r="K19" i="191"/>
  <c r="G19" i="191"/>
  <c r="H19" i="191" s="1"/>
  <c r="F19" i="191"/>
  <c r="D19" i="191"/>
  <c r="E23" i="191"/>
  <c r="G19" i="192"/>
  <c r="F19" i="192"/>
  <c r="C19" i="192"/>
  <c r="B19" i="192"/>
  <c r="K18" i="191"/>
  <c r="G18" i="191"/>
  <c r="H18" i="191" s="1"/>
  <c r="F27" i="191"/>
  <c r="F18" i="191"/>
  <c r="D18" i="191"/>
  <c r="F18" i="192"/>
  <c r="G18" i="192"/>
  <c r="C18" i="192"/>
  <c r="B18" i="192"/>
  <c r="K17" i="191"/>
  <c r="G17" i="191"/>
  <c r="H17" i="191" s="1"/>
  <c r="F17" i="191"/>
  <c r="D17" i="191"/>
  <c r="G17" i="192"/>
  <c r="F17" i="192"/>
  <c r="C17" i="192"/>
  <c r="B17" i="192"/>
  <c r="K16" i="191"/>
  <c r="G26" i="191"/>
  <c r="F16" i="191"/>
  <c r="G16" i="191"/>
  <c r="H16" i="191"/>
  <c r="D16" i="191"/>
  <c r="G16" i="192"/>
  <c r="F16" i="192"/>
  <c r="C16" i="192"/>
  <c r="B16" i="192"/>
  <c r="K15" i="191"/>
  <c r="G15" i="191"/>
  <c r="H15" i="191" s="1"/>
  <c r="F15" i="191"/>
  <c r="D15" i="191"/>
  <c r="G15" i="192"/>
  <c r="F15" i="192"/>
  <c r="C15" i="192"/>
  <c r="B15" i="192"/>
  <c r="K14" i="191"/>
  <c r="G14" i="191"/>
  <c r="H14" i="191" s="1"/>
  <c r="F14" i="191"/>
  <c r="D14" i="191"/>
  <c r="C12" i="194"/>
  <c r="G14" i="192"/>
  <c r="F14" i="192"/>
  <c r="C14" i="192"/>
  <c r="B14" i="192"/>
  <c r="K13" i="191"/>
  <c r="K23" i="191"/>
  <c r="G13" i="191"/>
  <c r="H13" i="191" s="1"/>
  <c r="F13" i="191"/>
  <c r="D13" i="191"/>
  <c r="E11" i="184"/>
  <c r="G11" i="184" s="1"/>
  <c r="G13" i="192"/>
  <c r="F13" i="192"/>
  <c r="C13" i="192"/>
  <c r="B13" i="192"/>
  <c r="K12" i="191"/>
  <c r="G12" i="191"/>
  <c r="H12" i="191" s="1"/>
  <c r="F12" i="191"/>
  <c r="D12" i="191"/>
  <c r="F12" i="192"/>
  <c r="B12" i="192"/>
  <c r="D18" i="192" l="1"/>
  <c r="E18" i="192" s="1"/>
  <c r="D19" i="192"/>
  <c r="E19" i="192" s="1"/>
  <c r="H19" i="192"/>
  <c r="I19" i="192" s="1"/>
  <c r="H20" i="192"/>
  <c r="I20" i="192" s="1"/>
  <c r="C30" i="184"/>
  <c r="H18" i="192"/>
  <c r="I18" i="192" s="1"/>
  <c r="D13" i="192"/>
  <c r="E13" i="192" s="1"/>
  <c r="H13" i="192"/>
  <c r="I13" i="192" s="1"/>
  <c r="D14" i="192"/>
  <c r="E14" i="192" s="1"/>
  <c r="H14" i="192"/>
  <c r="I14" i="192" s="1"/>
  <c r="D15" i="192"/>
  <c r="E15" i="192" s="1"/>
  <c r="H15" i="192"/>
  <c r="I15" i="192" s="1"/>
  <c r="D16" i="192"/>
  <c r="E16" i="192" s="1"/>
  <c r="H16" i="192"/>
  <c r="I16" i="192" s="1"/>
  <c r="D17" i="192"/>
  <c r="E17" i="192" s="1"/>
  <c r="H17" i="192"/>
  <c r="I17" i="192" s="1"/>
  <c r="D30" i="184"/>
  <c r="G10" i="191"/>
  <c r="D11" i="191"/>
  <c r="D10" i="191"/>
  <c r="F11" i="192"/>
  <c r="B11" i="192"/>
  <c r="B24" i="192" s="1"/>
  <c r="G22" i="194"/>
  <c r="H22" i="194" s="1"/>
  <c r="I22" i="194" s="1"/>
  <c r="C22" i="194"/>
  <c r="D22" i="194" s="1"/>
  <c r="E22" i="194" s="1"/>
  <c r="G21" i="194"/>
  <c r="F21" i="194"/>
  <c r="C21" i="194"/>
  <c r="B21" i="194"/>
  <c r="G20" i="194"/>
  <c r="F20" i="194"/>
  <c r="C20" i="194"/>
  <c r="B20" i="194"/>
  <c r="G19" i="194"/>
  <c r="F19" i="194"/>
  <c r="C19" i="194"/>
  <c r="B19" i="194"/>
  <c r="G18" i="194"/>
  <c r="F18" i="194"/>
  <c r="C18" i="194"/>
  <c r="B18" i="194"/>
  <c r="G17" i="194"/>
  <c r="C17" i="194"/>
  <c r="G16" i="194"/>
  <c r="F16" i="194"/>
  <c r="C16" i="194"/>
  <c r="B16" i="194"/>
  <c r="G15" i="194"/>
  <c r="F15" i="194"/>
  <c r="C15" i="194"/>
  <c r="B15" i="194"/>
  <c r="G14" i="194"/>
  <c r="F14" i="194"/>
  <c r="C14" i="194"/>
  <c r="B14" i="194"/>
  <c r="G13" i="194"/>
  <c r="F13" i="194"/>
  <c r="C13" i="194"/>
  <c r="B13" i="194"/>
  <c r="G12" i="194"/>
  <c r="F12" i="194"/>
  <c r="B12" i="194"/>
  <c r="G11" i="194"/>
  <c r="H11" i="194" s="1"/>
  <c r="I11" i="194" s="1"/>
  <c r="C11" i="194"/>
  <c r="D11" i="194" s="1"/>
  <c r="E11" i="194" s="1"/>
  <c r="F27" i="193"/>
  <c r="D27" i="193"/>
  <c r="G26" i="193"/>
  <c r="J23" i="193"/>
  <c r="I23" i="193"/>
  <c r="K23" i="193" s="1"/>
  <c r="E23" i="193"/>
  <c r="F23" i="193" s="1"/>
  <c r="C23" i="193"/>
  <c r="K21" i="193"/>
  <c r="G21" i="193"/>
  <c r="H21" i="193" s="1"/>
  <c r="F21" i="193"/>
  <c r="D21" i="193"/>
  <c r="K20" i="193"/>
  <c r="G20" i="193"/>
  <c r="H20" i="193" s="1"/>
  <c r="F20" i="193"/>
  <c r="D20" i="193"/>
  <c r="K19" i="193"/>
  <c r="G19" i="193"/>
  <c r="H19" i="193" s="1"/>
  <c r="F19" i="193"/>
  <c r="D19" i="193"/>
  <c r="K18" i="193"/>
  <c r="G18" i="193"/>
  <c r="H18" i="193" s="1"/>
  <c r="F18" i="193"/>
  <c r="D18" i="193"/>
  <c r="K17" i="193"/>
  <c r="G17" i="193"/>
  <c r="H17" i="193" s="1"/>
  <c r="F17" i="193"/>
  <c r="D17" i="193"/>
  <c r="K16" i="193"/>
  <c r="G16" i="193"/>
  <c r="H16" i="193" s="1"/>
  <c r="F16" i="193"/>
  <c r="D16" i="193"/>
  <c r="K15" i="193"/>
  <c r="G15" i="193"/>
  <c r="H15" i="193" s="1"/>
  <c r="F15" i="193"/>
  <c r="D15" i="193"/>
  <c r="K14" i="193"/>
  <c r="G14" i="193"/>
  <c r="H14" i="193" s="1"/>
  <c r="F14" i="193"/>
  <c r="D14" i="193"/>
  <c r="K13" i="193"/>
  <c r="G13" i="193"/>
  <c r="H13" i="193" s="1"/>
  <c r="F13" i="193"/>
  <c r="D13" i="193"/>
  <c r="K12" i="193"/>
  <c r="G12" i="193"/>
  <c r="H12" i="193" s="1"/>
  <c r="F12" i="193"/>
  <c r="D12" i="193"/>
  <c r="K11" i="193"/>
  <c r="G11" i="193"/>
  <c r="H11" i="193" s="1"/>
  <c r="F11" i="193"/>
  <c r="D11" i="193"/>
  <c r="K10" i="193"/>
  <c r="G10" i="193"/>
  <c r="H10" i="193" s="1"/>
  <c r="F10" i="193"/>
  <c r="D10" i="193"/>
  <c r="D23" i="193" l="1"/>
  <c r="G23" i="193"/>
  <c r="D12" i="194"/>
  <c r="E12" i="194" s="1"/>
  <c r="H12" i="194"/>
  <c r="I12" i="194" s="1"/>
  <c r="D13" i="194"/>
  <c r="E13" i="194" s="1"/>
  <c r="H13" i="194"/>
  <c r="I13" i="194" s="1"/>
  <c r="D14" i="194"/>
  <c r="E14" i="194" s="1"/>
  <c r="H14" i="194"/>
  <c r="I14" i="194" s="1"/>
  <c r="D15" i="194"/>
  <c r="E15" i="194" s="1"/>
  <c r="H15" i="194"/>
  <c r="I15" i="194" s="1"/>
  <c r="D16" i="194"/>
  <c r="E16" i="194" s="1"/>
  <c r="H16" i="194"/>
  <c r="I16" i="194" s="1"/>
  <c r="D18" i="194"/>
  <c r="E18" i="194" s="1"/>
  <c r="H18" i="194"/>
  <c r="I18" i="194" s="1"/>
  <c r="D19" i="194"/>
  <c r="E19" i="194" s="1"/>
  <c r="H19" i="194"/>
  <c r="I19" i="194" s="1"/>
  <c r="D20" i="194"/>
  <c r="E20" i="194" s="1"/>
  <c r="H20" i="194"/>
  <c r="I20" i="194" s="1"/>
  <c r="D21" i="194"/>
  <c r="E21" i="194" s="1"/>
  <c r="H21" i="194"/>
  <c r="I21" i="194" s="1"/>
  <c r="G24" i="194"/>
  <c r="C24" i="194"/>
  <c r="H23" i="193"/>
  <c r="C46" i="184"/>
  <c r="B46" i="184"/>
  <c r="C47" i="184"/>
  <c r="C45" i="184"/>
  <c r="C44" i="184"/>
  <c r="C43" i="184"/>
  <c r="E20" i="184"/>
  <c r="F20" i="184" s="1"/>
  <c r="D27" i="191"/>
  <c r="E22" i="184"/>
  <c r="F23" i="191"/>
  <c r="E13" i="184"/>
  <c r="F13" i="184" s="1"/>
  <c r="F24" i="192"/>
  <c r="E19" i="184"/>
  <c r="F19" i="184" s="1"/>
  <c r="E12" i="184"/>
  <c r="E21" i="184"/>
  <c r="E15" i="184"/>
  <c r="C35" i="184"/>
  <c r="G12" i="192"/>
  <c r="C12" i="192"/>
  <c r="K11" i="191"/>
  <c r="G11" i="192"/>
  <c r="C11" i="192"/>
  <c r="K10" i="191"/>
  <c r="F10" i="191"/>
  <c r="D23" i="191"/>
  <c r="G11" i="191"/>
  <c r="H11" i="191" s="1"/>
  <c r="F11" i="191"/>
  <c r="H10" i="191"/>
  <c r="D27" i="190"/>
  <c r="G22" i="189"/>
  <c r="C22" i="189"/>
  <c r="B22" i="189"/>
  <c r="K21" i="190"/>
  <c r="G21" i="190"/>
  <c r="H21" i="190" s="1"/>
  <c r="F21" i="190"/>
  <c r="D21" i="190"/>
  <c r="E16" i="184"/>
  <c r="G16" i="184" s="1"/>
  <c r="E24" i="184"/>
  <c r="G21" i="189"/>
  <c r="F21" i="189"/>
  <c r="C21" i="189"/>
  <c r="B21" i="189"/>
  <c r="K20" i="190"/>
  <c r="G26" i="190"/>
  <c r="G20" i="190"/>
  <c r="H20" i="190" s="1"/>
  <c r="F20" i="190"/>
  <c r="D20" i="190"/>
  <c r="E28" i="184"/>
  <c r="G20" i="189"/>
  <c r="F20" i="189"/>
  <c r="C20" i="189"/>
  <c r="B20" i="189"/>
  <c r="K19" i="190"/>
  <c r="G19" i="190"/>
  <c r="H19" i="190" s="1"/>
  <c r="F19" i="190"/>
  <c r="D19" i="190"/>
  <c r="E27" i="184"/>
  <c r="G19" i="189"/>
  <c r="F19" i="189"/>
  <c r="C19" i="189"/>
  <c r="B19" i="189"/>
  <c r="K18" i="190"/>
  <c r="F18" i="190"/>
  <c r="G18" i="190"/>
  <c r="H18" i="190"/>
  <c r="D18" i="190"/>
  <c r="F27" i="190"/>
  <c r="H11" i="192" l="1"/>
  <c r="G24" i="192"/>
  <c r="F15" i="184"/>
  <c r="G15" i="184"/>
  <c r="F21" i="184"/>
  <c r="G21" i="184"/>
  <c r="H24" i="192"/>
  <c r="I24" i="192" s="1"/>
  <c r="F12" i="184"/>
  <c r="G12" i="184"/>
  <c r="F16" i="184"/>
  <c r="D20" i="189"/>
  <c r="E20" i="189" s="1"/>
  <c r="H20" i="189"/>
  <c r="I20" i="189" s="1"/>
  <c r="D21" i="189"/>
  <c r="E21" i="189" s="1"/>
  <c r="H21" i="189"/>
  <c r="I21" i="189" s="1"/>
  <c r="D22" i="189"/>
  <c r="E22" i="189" s="1"/>
  <c r="G23" i="191"/>
  <c r="C24" i="192"/>
  <c r="D24" i="192" s="1"/>
  <c r="C34" i="184"/>
  <c r="C36" i="184" s="1"/>
  <c r="C42" i="184"/>
  <c r="C37" i="184"/>
  <c r="H23" i="191"/>
  <c r="D11" i="192"/>
  <c r="E11" i="192" s="1"/>
  <c r="I11" i="192"/>
  <c r="D12" i="192"/>
  <c r="E12" i="192" s="1"/>
  <c r="H12" i="192"/>
  <c r="I12" i="192" s="1"/>
  <c r="D19" i="189"/>
  <c r="E19" i="189" s="1"/>
  <c r="H19" i="189"/>
  <c r="I19" i="189" s="1"/>
  <c r="G18" i="189"/>
  <c r="F18" i="189"/>
  <c r="C18" i="189"/>
  <c r="B18" i="189"/>
  <c r="K17" i="190"/>
  <c r="F17" i="190"/>
  <c r="G17" i="190"/>
  <c r="H17" i="190" s="1"/>
  <c r="D17" i="190"/>
  <c r="E24" i="192" l="1"/>
  <c r="D18" i="189"/>
  <c r="E18" i="189" s="1"/>
  <c r="H18" i="189"/>
  <c r="I18" i="189" s="1"/>
  <c r="E26" i="184" l="1"/>
  <c r="G16" i="190"/>
  <c r="G17" i="189" l="1"/>
  <c r="F17" i="194" s="1"/>
  <c r="F17" i="189"/>
  <c r="F16" i="189"/>
  <c r="B17" i="189"/>
  <c r="C17" i="189"/>
  <c r="C16" i="189"/>
  <c r="B16" i="189"/>
  <c r="K16" i="190"/>
  <c r="F16" i="190"/>
  <c r="H16" i="190"/>
  <c r="D16" i="190"/>
  <c r="D17" i="189" l="1"/>
  <c r="E17" i="189" s="1"/>
  <c r="B17" i="194"/>
  <c r="F24" i="194"/>
  <c r="H24" i="194" s="1"/>
  <c r="I24" i="194" s="1"/>
  <c r="H17" i="194"/>
  <c r="I17" i="194" s="1"/>
  <c r="H17" i="189"/>
  <c r="I17" i="189" s="1"/>
  <c r="D16" i="189"/>
  <c r="E16" i="189" s="1"/>
  <c r="E23" i="190"/>
  <c r="F23" i="190" s="1"/>
  <c r="G15" i="190"/>
  <c r="B24" i="194" l="1"/>
  <c r="D24" i="194" s="1"/>
  <c r="E24" i="194" s="1"/>
  <c r="D17" i="194"/>
  <c r="E17" i="194" s="1"/>
  <c r="G16" i="189"/>
  <c r="H16" i="189" s="1"/>
  <c r="I16" i="189" s="1"/>
  <c r="K15" i="190"/>
  <c r="F15" i="190"/>
  <c r="H15" i="190"/>
  <c r="D15" i="190"/>
  <c r="G15" i="189" l="1"/>
  <c r="F15" i="189"/>
  <c r="C15" i="189"/>
  <c r="B15" i="189"/>
  <c r="K14" i="190"/>
  <c r="F14" i="190"/>
  <c r="G14" i="190"/>
  <c r="H14" i="190" s="1"/>
  <c r="D14" i="190"/>
  <c r="D15" i="189" l="1"/>
  <c r="E15" i="189" s="1"/>
  <c r="H15" i="189"/>
  <c r="I15" i="189" s="1"/>
  <c r="G13" i="190"/>
  <c r="G14" i="189" l="1"/>
  <c r="F14" i="189"/>
  <c r="B14" i="189"/>
  <c r="C14" i="189"/>
  <c r="D14" i="189" s="1"/>
  <c r="E14" i="189" s="1"/>
  <c r="K13" i="190"/>
  <c r="H13" i="190"/>
  <c r="F13" i="190"/>
  <c r="D13" i="190"/>
  <c r="H14" i="189" l="1"/>
  <c r="I14" i="189" s="1"/>
  <c r="G13" i="189"/>
  <c r="F13" i="189"/>
  <c r="C13" i="189"/>
  <c r="B13" i="189"/>
  <c r="K12" i="190"/>
  <c r="G12" i="190"/>
  <c r="H12" i="190" s="1"/>
  <c r="F12" i="190"/>
  <c r="D12" i="190"/>
  <c r="D11" i="190"/>
  <c r="D10" i="190"/>
  <c r="K11" i="190"/>
  <c r="G12" i="189"/>
  <c r="F12" i="189"/>
  <c r="C12" i="189"/>
  <c r="B12" i="189"/>
  <c r="G11" i="190"/>
  <c r="H11" i="190" s="1"/>
  <c r="F11" i="190"/>
  <c r="C38" i="184"/>
  <c r="G11" i="189"/>
  <c r="F11" i="189"/>
  <c r="C11" i="189"/>
  <c r="B11" i="189"/>
  <c r="C23" i="190"/>
  <c r="K10" i="190"/>
  <c r="G10" i="190"/>
  <c r="H10" i="190" s="1"/>
  <c r="F10" i="190"/>
  <c r="G23" i="190" l="1"/>
  <c r="D23" i="190"/>
  <c r="H23" i="190"/>
  <c r="D12" i="189"/>
  <c r="E12" i="189" s="1"/>
  <c r="H12" i="189"/>
  <c r="I12" i="189" s="1"/>
  <c r="B24" i="189"/>
  <c r="D13" i="189"/>
  <c r="E13" i="189" s="1"/>
  <c r="H13" i="189"/>
  <c r="I13" i="189" s="1"/>
  <c r="H11" i="189"/>
  <c r="I11" i="189" s="1"/>
  <c r="D11" i="189"/>
  <c r="E11" i="189" s="1"/>
  <c r="C24" i="189"/>
  <c r="G24" i="189"/>
  <c r="E21" i="188"/>
  <c r="F22" i="189" s="1"/>
  <c r="F27" i="188"/>
  <c r="G22" i="187"/>
  <c r="C22" i="187"/>
  <c r="B22" i="187"/>
  <c r="K21" i="188"/>
  <c r="G26" i="188"/>
  <c r="G21" i="188"/>
  <c r="H21" i="188" s="1"/>
  <c r="F21" i="188"/>
  <c r="D21" i="188"/>
  <c r="E25" i="184"/>
  <c r="F25" i="184" s="1"/>
  <c r="D31" i="184"/>
  <c r="G21" i="187"/>
  <c r="C21" i="187"/>
  <c r="K20" i="188"/>
  <c r="F20" i="188"/>
  <c r="G20" i="188"/>
  <c r="H20" i="188"/>
  <c r="D20" i="188"/>
  <c r="E9" i="184"/>
  <c r="G20" i="187"/>
  <c r="F20" i="187"/>
  <c r="H20" i="187" s="1"/>
  <c r="I20" i="187" s="1"/>
  <c r="C20" i="187"/>
  <c r="B20" i="187"/>
  <c r="D20" i="187"/>
  <c r="E20" i="187"/>
  <c r="K19" i="188"/>
  <c r="F19" i="188"/>
  <c r="G19" i="188"/>
  <c r="H19" i="188"/>
  <c r="D19" i="188"/>
  <c r="G19" i="187"/>
  <c r="F19" i="187"/>
  <c r="C19" i="187"/>
  <c r="B19" i="187"/>
  <c r="K18" i="188"/>
  <c r="F18" i="188"/>
  <c r="G18" i="188"/>
  <c r="H18" i="188"/>
  <c r="D27" i="188"/>
  <c r="D18" i="188"/>
  <c r="F14" i="188"/>
  <c r="G17" i="188"/>
  <c r="H17" i="188"/>
  <c r="G18" i="187"/>
  <c r="C18" i="187"/>
  <c r="K17" i="188"/>
  <c r="F17" i="188"/>
  <c r="D17" i="188"/>
  <c r="D15" i="188"/>
  <c r="F15" i="188"/>
  <c r="E23" i="188"/>
  <c r="F23" i="188" s="1"/>
  <c r="G17" i="187"/>
  <c r="F17" i="187"/>
  <c r="C17" i="187"/>
  <c r="B17" i="187"/>
  <c r="D17" i="187" s="1"/>
  <c r="E17" i="187" s="1"/>
  <c r="K16" i="188"/>
  <c r="F16" i="188"/>
  <c r="G16" i="188"/>
  <c r="H16" i="188"/>
  <c r="D16" i="188"/>
  <c r="G16" i="187"/>
  <c r="F16" i="187"/>
  <c r="C16" i="187"/>
  <c r="B16" i="187"/>
  <c r="K15" i="188"/>
  <c r="G15" i="188"/>
  <c r="H15" i="188"/>
  <c r="D14" i="188"/>
  <c r="G15" i="187"/>
  <c r="F15" i="187"/>
  <c r="H15" i="187" s="1"/>
  <c r="I15" i="187" s="1"/>
  <c r="C15" i="187"/>
  <c r="B15" i="187"/>
  <c r="K14" i="188"/>
  <c r="G14" i="188"/>
  <c r="H14" i="188"/>
  <c r="G14" i="187"/>
  <c r="F14" i="187"/>
  <c r="H14" i="187" s="1"/>
  <c r="I14" i="187" s="1"/>
  <c r="C14" i="187"/>
  <c r="B14" i="187"/>
  <c r="D14" i="187" s="1"/>
  <c r="E14" i="187" s="1"/>
  <c r="K13" i="188"/>
  <c r="G13" i="188"/>
  <c r="H13" i="188"/>
  <c r="F13" i="188"/>
  <c r="D13" i="188"/>
  <c r="D12" i="188"/>
  <c r="D11" i="188"/>
  <c r="D10" i="188"/>
  <c r="K12" i="188"/>
  <c r="G13" i="187"/>
  <c r="F13" i="187"/>
  <c r="C13" i="187"/>
  <c r="B13" i="187"/>
  <c r="D13" i="187" s="1"/>
  <c r="E13" i="187" s="1"/>
  <c r="G12" i="188"/>
  <c r="H12" i="188"/>
  <c r="F12" i="188"/>
  <c r="G12" i="187"/>
  <c r="F12" i="187"/>
  <c r="C12" i="187"/>
  <c r="B12" i="187"/>
  <c r="G11" i="187"/>
  <c r="F11" i="187"/>
  <c r="H11" i="187"/>
  <c r="I11" i="187"/>
  <c r="C11" i="187"/>
  <c r="B11" i="187"/>
  <c r="C23" i="188"/>
  <c r="D23" i="188"/>
  <c r="K11" i="188"/>
  <c r="G11" i="188"/>
  <c r="H11" i="188"/>
  <c r="F11" i="188"/>
  <c r="K10" i="188"/>
  <c r="G10" i="188"/>
  <c r="H10" i="188"/>
  <c r="F10" i="188"/>
  <c r="H19" i="187"/>
  <c r="I19" i="187"/>
  <c r="H17" i="187"/>
  <c r="I17" i="187"/>
  <c r="H12" i="187"/>
  <c r="I12" i="187"/>
  <c r="J23" i="185"/>
  <c r="F22" i="186"/>
  <c r="H22" i="186"/>
  <c r="I22" i="186"/>
  <c r="C22" i="186"/>
  <c r="B22" i="186"/>
  <c r="D22" i="186" s="1"/>
  <c r="E22" i="186" s="1"/>
  <c r="K21" i="185"/>
  <c r="K23" i="185" s="1"/>
  <c r="E21" i="185"/>
  <c r="F22" i="187" s="1"/>
  <c r="H22" i="187" s="1"/>
  <c r="I22" i="187" s="1"/>
  <c r="F21" i="185"/>
  <c r="D21" i="185"/>
  <c r="G26" i="185"/>
  <c r="K20" i="185"/>
  <c r="G21" i="186"/>
  <c r="F21" i="186"/>
  <c r="B21" i="186"/>
  <c r="C21" i="186"/>
  <c r="B21" i="187" s="1"/>
  <c r="F20" i="185"/>
  <c r="G20" i="185"/>
  <c r="H20" i="185"/>
  <c r="D20" i="185"/>
  <c r="G20" i="186"/>
  <c r="F20" i="186"/>
  <c r="C20" i="186"/>
  <c r="B20" i="186"/>
  <c r="D20" i="186" s="1"/>
  <c r="E20" i="186" s="1"/>
  <c r="K19" i="185"/>
  <c r="F19" i="185"/>
  <c r="G19" i="185"/>
  <c r="H19" i="185"/>
  <c r="D19" i="185"/>
  <c r="G19" i="186"/>
  <c r="C19" i="186"/>
  <c r="F19" i="186"/>
  <c r="B19" i="186"/>
  <c r="D19" i="186"/>
  <c r="E19" i="186"/>
  <c r="K18" i="185"/>
  <c r="F18" i="185"/>
  <c r="G18" i="185"/>
  <c r="H18" i="185"/>
  <c r="D18" i="185"/>
  <c r="G18" i="186"/>
  <c r="F18" i="187"/>
  <c r="C18" i="186"/>
  <c r="B18" i="187"/>
  <c r="F18" i="186"/>
  <c r="B18" i="186"/>
  <c r="D18" i="186" s="1"/>
  <c r="E18" i="186" s="1"/>
  <c r="K17" i="185"/>
  <c r="F17" i="185"/>
  <c r="G17" i="185"/>
  <c r="H17" i="185"/>
  <c r="D17" i="185"/>
  <c r="G17" i="186"/>
  <c r="F17" i="186"/>
  <c r="B17" i="186"/>
  <c r="C17" i="186"/>
  <c r="D17" i="186"/>
  <c r="E17" i="186"/>
  <c r="K16" i="185"/>
  <c r="F16" i="185"/>
  <c r="G16" i="185"/>
  <c r="H16" i="185"/>
  <c r="D16" i="185"/>
  <c r="G16" i="186"/>
  <c r="F16" i="186"/>
  <c r="C16" i="186"/>
  <c r="B16" i="186"/>
  <c r="D16" i="186" s="1"/>
  <c r="E16" i="186" s="1"/>
  <c r="K15" i="185"/>
  <c r="F15" i="185"/>
  <c r="G15" i="185"/>
  <c r="H15" i="185"/>
  <c r="D15" i="185"/>
  <c r="C15" i="186"/>
  <c r="G15" i="186"/>
  <c r="G14" i="186"/>
  <c r="G13" i="185"/>
  <c r="G14" i="185"/>
  <c r="H14" i="185"/>
  <c r="K14" i="185"/>
  <c r="F14" i="185"/>
  <c r="D14" i="185"/>
  <c r="F15" i="186"/>
  <c r="H15" i="186" s="1"/>
  <c r="I15" i="186" s="1"/>
  <c r="B15" i="186"/>
  <c r="D15" i="186" s="1"/>
  <c r="E15" i="186" s="1"/>
  <c r="F14" i="186"/>
  <c r="C14" i="186"/>
  <c r="B14" i="186"/>
  <c r="D14" i="186" s="1"/>
  <c r="E14" i="186" s="1"/>
  <c r="K13" i="185"/>
  <c r="H13" i="185"/>
  <c r="F13" i="185"/>
  <c r="D13" i="185"/>
  <c r="F11" i="170"/>
  <c r="F12" i="186"/>
  <c r="G13" i="186"/>
  <c r="F13" i="186"/>
  <c r="H13" i="186"/>
  <c r="I13" i="186"/>
  <c r="C13" i="186"/>
  <c r="B13" i="186"/>
  <c r="D13" i="186" s="1"/>
  <c r="E13" i="186" s="1"/>
  <c r="K12" i="185"/>
  <c r="G12" i="185"/>
  <c r="H12" i="185"/>
  <c r="F12" i="185"/>
  <c r="D12" i="185"/>
  <c r="E51" i="170"/>
  <c r="E48" i="170"/>
  <c r="E45" i="170"/>
  <c r="E42" i="170"/>
  <c r="D42" i="170"/>
  <c r="E16" i="170"/>
  <c r="E11" i="170"/>
  <c r="E15" i="171"/>
  <c r="O83" i="171"/>
  <c r="P83" i="171"/>
  <c r="O82" i="171"/>
  <c r="O81" i="171"/>
  <c r="O72" i="171"/>
  <c r="Q72" i="171"/>
  <c r="O67" i="171"/>
  <c r="Q67" i="171"/>
  <c r="O68" i="171"/>
  <c r="Q68" i="171"/>
  <c r="O70" i="171"/>
  <c r="O65" i="171"/>
  <c r="P65" i="171"/>
  <c r="O64" i="171"/>
  <c r="Q64" i="171"/>
  <c r="O63" i="171"/>
  <c r="O60" i="171"/>
  <c r="P60" i="171"/>
  <c r="O56" i="171"/>
  <c r="O55" i="171"/>
  <c r="P55" i="171"/>
  <c r="O54" i="171"/>
  <c r="P54" i="171"/>
  <c r="O52" i="171"/>
  <c r="Q52" i="171"/>
  <c r="O51" i="171"/>
  <c r="O47" i="171"/>
  <c r="O48" i="171"/>
  <c r="O45" i="171"/>
  <c r="O44" i="171"/>
  <c r="Q44" i="171"/>
  <c r="O41" i="171"/>
  <c r="P41" i="171"/>
  <c r="O40" i="171"/>
  <c r="O39" i="171"/>
  <c r="P39" i="171"/>
  <c r="O25" i="171"/>
  <c r="P25" i="171"/>
  <c r="O24" i="171"/>
  <c r="O23" i="171"/>
  <c r="Q23" i="171"/>
  <c r="O22" i="171"/>
  <c r="P22" i="171"/>
  <c r="O20" i="171"/>
  <c r="O21" i="171"/>
  <c r="O18" i="171"/>
  <c r="O17" i="171"/>
  <c r="O16" i="171"/>
  <c r="O11" i="171"/>
  <c r="P11" i="171"/>
  <c r="O9" i="171"/>
  <c r="P9" i="171"/>
  <c r="Q9" i="171"/>
  <c r="O8" i="171"/>
  <c r="P8" i="171"/>
  <c r="O7" i="171"/>
  <c r="Q7" i="171"/>
  <c r="O5" i="171"/>
  <c r="O4" i="171"/>
  <c r="P4" i="171"/>
  <c r="G12" i="186"/>
  <c r="C12" i="186"/>
  <c r="B12" i="186"/>
  <c r="D12" i="186"/>
  <c r="E12" i="186"/>
  <c r="K11" i="185"/>
  <c r="G11" i="185"/>
  <c r="H11" i="185"/>
  <c r="F11" i="185"/>
  <c r="D11" i="185"/>
  <c r="D51" i="170"/>
  <c r="D48" i="170"/>
  <c r="D45" i="170"/>
  <c r="C42" i="170"/>
  <c r="D11" i="170"/>
  <c r="C11" i="170"/>
  <c r="C16" i="170"/>
  <c r="D15" i="171"/>
  <c r="C15" i="171"/>
  <c r="E29" i="184"/>
  <c r="F29" i="184" s="1"/>
  <c r="E23" i="184"/>
  <c r="F23" i="184" s="1"/>
  <c r="E18" i="184"/>
  <c r="E17" i="184"/>
  <c r="F17" i="184" s="1"/>
  <c r="E14" i="184"/>
  <c r="F11" i="184"/>
  <c r="E10" i="184"/>
  <c r="E8" i="184"/>
  <c r="K10" i="185"/>
  <c r="G10" i="185"/>
  <c r="H10" i="185"/>
  <c r="F10" i="185"/>
  <c r="D10" i="185"/>
  <c r="C11" i="186"/>
  <c r="F11" i="186"/>
  <c r="F24" i="186"/>
  <c r="B11" i="186"/>
  <c r="B24" i="186"/>
  <c r="C23" i="185"/>
  <c r="C51" i="170"/>
  <c r="C48" i="170"/>
  <c r="C45" i="170"/>
  <c r="C40" i="170"/>
  <c r="C38" i="170"/>
  <c r="C36" i="170"/>
  <c r="C34" i="170"/>
  <c r="C32" i="170"/>
  <c r="C29" i="170"/>
  <c r="C22" i="170"/>
  <c r="C28" i="170" s="1"/>
  <c r="C5" i="170"/>
  <c r="B54" i="170"/>
  <c r="B16" i="170"/>
  <c r="B5" i="170"/>
  <c r="B42" i="170"/>
  <c r="B29" i="170"/>
  <c r="B22" i="170"/>
  <c r="B28" i="170" s="1"/>
  <c r="B51" i="170"/>
  <c r="B48" i="170"/>
  <c r="B45" i="170"/>
  <c r="B40" i="170"/>
  <c r="B38" i="170"/>
  <c r="B36" i="170"/>
  <c r="B34" i="170"/>
  <c r="B32" i="170"/>
  <c r="O101" i="171"/>
  <c r="O102" i="171"/>
  <c r="P102" i="171"/>
  <c r="O94" i="171"/>
  <c r="O95" i="171"/>
  <c r="Q95" i="171"/>
  <c r="O96" i="171"/>
  <c r="Q96" i="171"/>
  <c r="O97" i="171"/>
  <c r="Q97" i="171"/>
  <c r="O98" i="171"/>
  <c r="O99" i="171"/>
  <c r="P99" i="171"/>
  <c r="O100" i="171"/>
  <c r="P100" i="171"/>
  <c r="O93" i="171"/>
  <c r="O91" i="171"/>
  <c r="O89" i="171"/>
  <c r="O90" i="171"/>
  <c r="Q89" i="171"/>
  <c r="Q90" i="171"/>
  <c r="O86" i="171"/>
  <c r="Q86" i="171"/>
  <c r="O87" i="171"/>
  <c r="Q87" i="171"/>
  <c r="O85" i="171"/>
  <c r="Q85" i="171"/>
  <c r="O78" i="171"/>
  <c r="O53" i="171"/>
  <c r="O57" i="171"/>
  <c r="Q57" i="171"/>
  <c r="O58" i="171"/>
  <c r="Q58" i="171"/>
  <c r="O59" i="171"/>
  <c r="O61" i="171"/>
  <c r="P61" i="171"/>
  <c r="O62" i="171"/>
  <c r="P62" i="171"/>
  <c r="O66" i="171"/>
  <c r="P66" i="171"/>
  <c r="O69" i="171"/>
  <c r="P69" i="171"/>
  <c r="O71" i="171"/>
  <c r="P71" i="171"/>
  <c r="O73" i="171"/>
  <c r="Q73" i="171"/>
  <c r="O74" i="171"/>
  <c r="O75" i="171"/>
  <c r="Q75" i="171"/>
  <c r="O76" i="171"/>
  <c r="P76" i="171"/>
  <c r="O49" i="171"/>
  <c r="O38" i="171"/>
  <c r="Q38" i="171"/>
  <c r="O42" i="171"/>
  <c r="O37" i="171"/>
  <c r="Q37" i="171"/>
  <c r="O28" i="171"/>
  <c r="O29" i="171"/>
  <c r="O30" i="171"/>
  <c r="O31" i="171"/>
  <c r="P31" i="171"/>
  <c r="O32" i="171"/>
  <c r="Q32" i="171"/>
  <c r="O33" i="171"/>
  <c r="Q33" i="171"/>
  <c r="O34" i="171"/>
  <c r="Q34" i="171"/>
  <c r="O35" i="171"/>
  <c r="O27" i="171"/>
  <c r="O6" i="171"/>
  <c r="Q6" i="171"/>
  <c r="O10" i="171"/>
  <c r="O12" i="171"/>
  <c r="O13" i="171"/>
  <c r="O14" i="171"/>
  <c r="P14" i="171"/>
  <c r="C103" i="171"/>
  <c r="C84" i="171"/>
  <c r="P97" i="171"/>
  <c r="P94" i="171"/>
  <c r="B77" i="171"/>
  <c r="C26" i="171"/>
  <c r="B26" i="171"/>
  <c r="B15" i="171"/>
  <c r="E23" i="185"/>
  <c r="F23" i="185"/>
  <c r="N51" i="170"/>
  <c r="M48" i="170"/>
  <c r="N48" i="170"/>
  <c r="N45" i="170"/>
  <c r="M42" i="170"/>
  <c r="N42" i="170"/>
  <c r="M45" i="170"/>
  <c r="L26" i="171"/>
  <c r="M50" i="171"/>
  <c r="M36" i="171"/>
  <c r="L77" i="171"/>
  <c r="O6" i="170"/>
  <c r="L42" i="170"/>
  <c r="L45" i="170"/>
  <c r="L48" i="170"/>
  <c r="K48" i="170"/>
  <c r="K51" i="170"/>
  <c r="K45" i="170"/>
  <c r="K42" i="170"/>
  <c r="K40" i="170"/>
  <c r="Q94" i="171"/>
  <c r="Q100" i="171"/>
  <c r="Q102" i="171"/>
  <c r="K103" i="171"/>
  <c r="J88" i="171"/>
  <c r="J36" i="171"/>
  <c r="J51" i="170"/>
  <c r="L51" i="170"/>
  <c r="M51" i="170"/>
  <c r="J48" i="170"/>
  <c r="J45" i="170"/>
  <c r="J42" i="170"/>
  <c r="I5" i="170"/>
  <c r="I51" i="170"/>
  <c r="I48" i="170"/>
  <c r="I45" i="170"/>
  <c r="I42" i="170"/>
  <c r="I40" i="170"/>
  <c r="P40" i="171"/>
  <c r="I21" i="171"/>
  <c r="I77" i="171"/>
  <c r="I79" i="171"/>
  <c r="O79" i="171"/>
  <c r="Q79" i="171"/>
  <c r="I84" i="171"/>
  <c r="I88" i="171"/>
  <c r="I103" i="171"/>
  <c r="I36" i="171"/>
  <c r="O33" i="170"/>
  <c r="O53" i="170"/>
  <c r="O52" i="170"/>
  <c r="O50" i="170"/>
  <c r="O49" i="170"/>
  <c r="O47" i="170"/>
  <c r="O46" i="170"/>
  <c r="O44" i="170"/>
  <c r="O43" i="170"/>
  <c r="H51" i="170"/>
  <c r="H48" i="170"/>
  <c r="H45" i="170"/>
  <c r="H42" i="170"/>
  <c r="H29" i="170"/>
  <c r="P72" i="171"/>
  <c r="P56" i="171"/>
  <c r="Q55" i="171"/>
  <c r="G103" i="171"/>
  <c r="G84" i="171"/>
  <c r="G77" i="171"/>
  <c r="G46" i="171"/>
  <c r="G43" i="171"/>
  <c r="G36" i="171"/>
  <c r="G26" i="171"/>
  <c r="G21" i="171"/>
  <c r="G19" i="171"/>
  <c r="G15" i="171"/>
  <c r="G45" i="170"/>
  <c r="G42" i="170"/>
  <c r="G51" i="170"/>
  <c r="G48" i="170"/>
  <c r="F51" i="170"/>
  <c r="F48" i="170"/>
  <c r="F45" i="170"/>
  <c r="F42" i="170"/>
  <c r="F84" i="171"/>
  <c r="F46" i="171"/>
  <c r="F43" i="171"/>
  <c r="F36" i="171"/>
  <c r="F26" i="171"/>
  <c r="F19" i="171"/>
  <c r="F15" i="171"/>
  <c r="F77" i="171"/>
  <c r="E46" i="171"/>
  <c r="E32" i="170"/>
  <c r="E29" i="170"/>
  <c r="E22" i="170"/>
  <c r="E28" i="170"/>
  <c r="E5" i="170"/>
  <c r="E48" i="171"/>
  <c r="E50" i="171"/>
  <c r="E103" i="171"/>
  <c r="E84" i="171"/>
  <c r="E77" i="171"/>
  <c r="E43" i="171"/>
  <c r="E36" i="171"/>
  <c r="E26" i="171"/>
  <c r="E21" i="171"/>
  <c r="E19" i="171"/>
  <c r="D26" i="171"/>
  <c r="D16" i="170"/>
  <c r="Q71" i="171"/>
  <c r="P73" i="171"/>
  <c r="Q74" i="171"/>
  <c r="C11" i="169"/>
  <c r="D11" i="169"/>
  <c r="E11" i="169"/>
  <c r="F11" i="169"/>
  <c r="H11" i="169"/>
  <c r="I11" i="169"/>
  <c r="J11" i="169" s="1"/>
  <c r="K11" i="169" s="1"/>
  <c r="C12" i="169"/>
  <c r="D12" i="169"/>
  <c r="E12" i="169" s="1"/>
  <c r="F12" i="169" s="1"/>
  <c r="H12" i="169"/>
  <c r="I12" i="169"/>
  <c r="C13" i="169"/>
  <c r="D13" i="169"/>
  <c r="E13" i="169"/>
  <c r="F13" i="169"/>
  <c r="I13" i="169"/>
  <c r="J13" i="169"/>
  <c r="K13" i="169"/>
  <c r="C14" i="169"/>
  <c r="D14" i="169"/>
  <c r="E14" i="169"/>
  <c r="F14" i="169"/>
  <c r="I14" i="169"/>
  <c r="C15" i="169"/>
  <c r="D15" i="169"/>
  <c r="I15" i="169"/>
  <c r="J15" i="169"/>
  <c r="K15" i="169"/>
  <c r="C16" i="169"/>
  <c r="D16" i="169"/>
  <c r="I16" i="169"/>
  <c r="J16" i="169"/>
  <c r="K16" i="169"/>
  <c r="C17" i="169"/>
  <c r="D17" i="169"/>
  <c r="E17" i="169" s="1"/>
  <c r="F17" i="169" s="1"/>
  <c r="I17" i="169"/>
  <c r="J17" i="169"/>
  <c r="K17" i="169"/>
  <c r="C18" i="169"/>
  <c r="D18" i="169"/>
  <c r="I18" i="169"/>
  <c r="J18" i="169"/>
  <c r="K18" i="169"/>
  <c r="E19" i="169"/>
  <c r="F19" i="169"/>
  <c r="J19" i="169"/>
  <c r="K19" i="169"/>
  <c r="E20" i="169"/>
  <c r="F20" i="169"/>
  <c r="J20" i="169"/>
  <c r="K20" i="169"/>
  <c r="E21" i="169"/>
  <c r="F21" i="169"/>
  <c r="J21" i="169"/>
  <c r="K21" i="169"/>
  <c r="E22" i="169"/>
  <c r="F22" i="169"/>
  <c r="J22" i="169"/>
  <c r="K22" i="169"/>
  <c r="B23" i="169"/>
  <c r="G23" i="169"/>
  <c r="E11" i="168"/>
  <c r="F11" i="168"/>
  <c r="J11" i="168"/>
  <c r="K11" i="168"/>
  <c r="E12" i="168"/>
  <c r="F12" i="168"/>
  <c r="J12" i="168"/>
  <c r="K12" i="168"/>
  <c r="E13" i="168"/>
  <c r="F13" i="168"/>
  <c r="J13" i="168"/>
  <c r="K13" i="168"/>
  <c r="E14" i="168"/>
  <c r="F14" i="168"/>
  <c r="J14" i="168"/>
  <c r="K14" i="168"/>
  <c r="E15" i="168"/>
  <c r="F15" i="168"/>
  <c r="J15" i="168"/>
  <c r="K15" i="168"/>
  <c r="E16" i="168"/>
  <c r="F16" i="168"/>
  <c r="J16" i="168"/>
  <c r="K16" i="168"/>
  <c r="E17" i="168"/>
  <c r="F17" i="168"/>
  <c r="J17" i="168"/>
  <c r="K17" i="168"/>
  <c r="E18" i="168"/>
  <c r="F18" i="168"/>
  <c r="J18" i="168"/>
  <c r="K18" i="168"/>
  <c r="E19" i="168"/>
  <c r="F19" i="168"/>
  <c r="J19" i="168"/>
  <c r="K19" i="168"/>
  <c r="E20" i="168"/>
  <c r="F20" i="168"/>
  <c r="J20" i="168"/>
  <c r="K20" i="168"/>
  <c r="E21" i="168"/>
  <c r="F21" i="168"/>
  <c r="J21" i="168"/>
  <c r="K21" i="168"/>
  <c r="E22" i="168"/>
  <c r="F22" i="168"/>
  <c r="J22" i="168"/>
  <c r="K22" i="168"/>
  <c r="B24" i="168"/>
  <c r="C24" i="168"/>
  <c r="D24" i="168"/>
  <c r="E24" i="168"/>
  <c r="F24" i="168"/>
  <c r="G24" i="168"/>
  <c r="H24" i="168"/>
  <c r="I24" i="168"/>
  <c r="J26" i="168"/>
  <c r="K26" i="168"/>
  <c r="D10" i="21"/>
  <c r="F10" i="21"/>
  <c r="G10" i="21"/>
  <c r="K10" i="21"/>
  <c r="D11" i="21"/>
  <c r="F11" i="21"/>
  <c r="G11" i="21"/>
  <c r="K11" i="21"/>
  <c r="D12" i="21"/>
  <c r="F12" i="21"/>
  <c r="G12" i="21"/>
  <c r="H12" i="21"/>
  <c r="K12" i="21"/>
  <c r="D13" i="21"/>
  <c r="F13" i="21"/>
  <c r="G13" i="21"/>
  <c r="H13" i="21"/>
  <c r="K13" i="21"/>
  <c r="D14" i="21"/>
  <c r="F14" i="21"/>
  <c r="G14" i="21"/>
  <c r="H14" i="21"/>
  <c r="K14" i="21"/>
  <c r="D15" i="21"/>
  <c r="F15" i="21"/>
  <c r="G15" i="21"/>
  <c r="H15" i="21"/>
  <c r="K15" i="21"/>
  <c r="D16" i="21"/>
  <c r="E16" i="21"/>
  <c r="E23" i="21"/>
  <c r="F16" i="21"/>
  <c r="K16" i="21"/>
  <c r="D17" i="21"/>
  <c r="F17" i="21"/>
  <c r="G17" i="21"/>
  <c r="H17" i="21"/>
  <c r="K17" i="21"/>
  <c r="D18" i="21"/>
  <c r="F18" i="21"/>
  <c r="G18" i="21"/>
  <c r="H18" i="21"/>
  <c r="K18" i="21"/>
  <c r="D19" i="21"/>
  <c r="F19" i="21"/>
  <c r="G19" i="21"/>
  <c r="H19" i="21"/>
  <c r="K19" i="21"/>
  <c r="D20" i="21"/>
  <c r="F20" i="21"/>
  <c r="G20" i="21"/>
  <c r="H20" i="21"/>
  <c r="K20" i="21"/>
  <c r="D21" i="21"/>
  <c r="F21" i="21"/>
  <c r="G21" i="21"/>
  <c r="H21" i="21"/>
  <c r="K21" i="21"/>
  <c r="C23" i="21"/>
  <c r="D23" i="21"/>
  <c r="I23" i="21"/>
  <c r="J23" i="21"/>
  <c r="K23" i="21"/>
  <c r="G25" i="21"/>
  <c r="D11" i="176"/>
  <c r="E11" i="176"/>
  <c r="H11" i="176"/>
  <c r="I11" i="176"/>
  <c r="D12" i="176"/>
  <c r="E12" i="176"/>
  <c r="H12" i="176"/>
  <c r="I12" i="176"/>
  <c r="D13" i="176"/>
  <c r="E13" i="176"/>
  <c r="H13" i="176"/>
  <c r="I13" i="176"/>
  <c r="D14" i="176"/>
  <c r="E14" i="176"/>
  <c r="H14" i="176"/>
  <c r="I14" i="176"/>
  <c r="D15" i="176"/>
  <c r="E15" i="176"/>
  <c r="H15" i="176"/>
  <c r="I15" i="176"/>
  <c r="D16" i="176"/>
  <c r="E16" i="176"/>
  <c r="H16" i="176"/>
  <c r="I16" i="176"/>
  <c r="D17" i="176"/>
  <c r="E17" i="176"/>
  <c r="H17" i="176"/>
  <c r="I17" i="176"/>
  <c r="D18" i="176"/>
  <c r="E18" i="176"/>
  <c r="H18" i="176"/>
  <c r="I18" i="176"/>
  <c r="D19" i="176"/>
  <c r="E19" i="176"/>
  <c r="H19" i="176"/>
  <c r="I19" i="176"/>
  <c r="D20" i="176"/>
  <c r="E20" i="176"/>
  <c r="H20" i="176"/>
  <c r="I20" i="176"/>
  <c r="D21" i="176"/>
  <c r="E21" i="176"/>
  <c r="H21" i="176"/>
  <c r="I21" i="176"/>
  <c r="D22" i="176"/>
  <c r="E22" i="176"/>
  <c r="H22" i="176"/>
  <c r="I22" i="176"/>
  <c r="B24" i="176"/>
  <c r="C24" i="176"/>
  <c r="F24" i="176"/>
  <c r="G24" i="176"/>
  <c r="C28" i="176"/>
  <c r="D10" i="175"/>
  <c r="F10" i="175"/>
  <c r="G10" i="175"/>
  <c r="H10" i="175"/>
  <c r="K10" i="175"/>
  <c r="D11" i="175"/>
  <c r="F11" i="175"/>
  <c r="G11" i="175"/>
  <c r="H11" i="175"/>
  <c r="K11" i="175"/>
  <c r="D12" i="175"/>
  <c r="F12" i="175"/>
  <c r="G12" i="175"/>
  <c r="H12" i="175"/>
  <c r="K12" i="175"/>
  <c r="D13" i="175"/>
  <c r="F13" i="175"/>
  <c r="G13" i="175"/>
  <c r="H13" i="175"/>
  <c r="K13" i="175"/>
  <c r="D14" i="175"/>
  <c r="F14" i="175"/>
  <c r="G14" i="175"/>
  <c r="H14" i="175"/>
  <c r="K14" i="175"/>
  <c r="B15" i="175"/>
  <c r="F15" i="175"/>
  <c r="G15" i="175"/>
  <c r="H15" i="175"/>
  <c r="K15" i="175"/>
  <c r="G16" i="175"/>
  <c r="H16" i="175"/>
  <c r="K16" i="175"/>
  <c r="G17" i="175"/>
  <c r="H17" i="175"/>
  <c r="K17" i="175"/>
  <c r="G18" i="175"/>
  <c r="H18" i="175"/>
  <c r="K18" i="175"/>
  <c r="G19" i="175"/>
  <c r="H19" i="175"/>
  <c r="K19" i="175"/>
  <c r="G20" i="175"/>
  <c r="H20" i="175"/>
  <c r="K20" i="175"/>
  <c r="G21" i="175"/>
  <c r="H21" i="175"/>
  <c r="I21" i="175"/>
  <c r="C23" i="175"/>
  <c r="E23" i="175"/>
  <c r="J23" i="175"/>
  <c r="D10" i="178"/>
  <c r="F10" i="178"/>
  <c r="G10" i="178"/>
  <c r="H10" i="178"/>
  <c r="K10" i="178"/>
  <c r="D11" i="178"/>
  <c r="F11" i="178"/>
  <c r="G11" i="178"/>
  <c r="H11" i="178"/>
  <c r="K11" i="178"/>
  <c r="D12" i="178"/>
  <c r="F12" i="178"/>
  <c r="G12" i="178"/>
  <c r="H12" i="178"/>
  <c r="K12" i="178"/>
  <c r="D13" i="178"/>
  <c r="F13" i="178"/>
  <c r="G13" i="178"/>
  <c r="H13" i="178"/>
  <c r="K13" i="178"/>
  <c r="D14" i="178"/>
  <c r="F14" i="178"/>
  <c r="G14" i="178"/>
  <c r="H14" i="178"/>
  <c r="K14" i="178"/>
  <c r="D15" i="178"/>
  <c r="F15" i="178"/>
  <c r="G15" i="178"/>
  <c r="H15" i="178"/>
  <c r="K15" i="178"/>
  <c r="D16" i="178"/>
  <c r="F16" i="178"/>
  <c r="G16" i="178"/>
  <c r="H16" i="178"/>
  <c r="K16" i="178"/>
  <c r="D17" i="178"/>
  <c r="F17" i="178"/>
  <c r="G17" i="178"/>
  <c r="H17" i="178"/>
  <c r="K17" i="178"/>
  <c r="D18" i="178"/>
  <c r="F18" i="178"/>
  <c r="G18" i="178"/>
  <c r="H18" i="178"/>
  <c r="K18" i="178"/>
  <c r="D19" i="178"/>
  <c r="F19" i="178"/>
  <c r="G19" i="178"/>
  <c r="H19" i="178"/>
  <c r="K19" i="178"/>
  <c r="D20" i="178"/>
  <c r="F20" i="178"/>
  <c r="G20" i="178"/>
  <c r="H20" i="178"/>
  <c r="K20" i="178"/>
  <c r="D21" i="178"/>
  <c r="F21" i="178"/>
  <c r="G21" i="178"/>
  <c r="H21" i="178"/>
  <c r="K21" i="178"/>
  <c r="K23" i="178"/>
  <c r="C23" i="178"/>
  <c r="E23" i="178"/>
  <c r="F23" i="178"/>
  <c r="I23" i="178"/>
  <c r="J23" i="178"/>
  <c r="D11" i="179"/>
  <c r="E11" i="179"/>
  <c r="H11" i="179"/>
  <c r="I11" i="179"/>
  <c r="D12" i="179"/>
  <c r="E12" i="179"/>
  <c r="H12" i="179"/>
  <c r="I12" i="179"/>
  <c r="D13" i="179"/>
  <c r="E13" i="179"/>
  <c r="G13" i="179"/>
  <c r="F13" i="183"/>
  <c r="H13" i="179"/>
  <c r="I13" i="179"/>
  <c r="D14" i="179"/>
  <c r="E14" i="179"/>
  <c r="H14" i="179"/>
  <c r="I14" i="179"/>
  <c r="D15" i="179"/>
  <c r="E15" i="179"/>
  <c r="G15" i="179"/>
  <c r="H15" i="179"/>
  <c r="I15" i="179"/>
  <c r="D16" i="179"/>
  <c r="E16" i="179"/>
  <c r="G16" i="179"/>
  <c r="H16" i="179"/>
  <c r="I16" i="179"/>
  <c r="B17" i="179"/>
  <c r="C17" i="179"/>
  <c r="F17" i="179"/>
  <c r="G17" i="179"/>
  <c r="F17" i="183"/>
  <c r="D18" i="179"/>
  <c r="E18" i="179"/>
  <c r="G18" i="179"/>
  <c r="D19" i="179"/>
  <c r="E19" i="179"/>
  <c r="F19" i="179"/>
  <c r="G19" i="179"/>
  <c r="H19" i="179"/>
  <c r="I19" i="179"/>
  <c r="C20" i="179"/>
  <c r="D20" i="179"/>
  <c r="E20" i="179"/>
  <c r="F20" i="179"/>
  <c r="G20" i="179"/>
  <c r="D21" i="179"/>
  <c r="E21" i="179"/>
  <c r="H21" i="179"/>
  <c r="I21" i="179"/>
  <c r="B22" i="179"/>
  <c r="B24" i="179"/>
  <c r="C22" i="179"/>
  <c r="F22" i="179"/>
  <c r="G22" i="179"/>
  <c r="B11" i="183"/>
  <c r="C11" i="183"/>
  <c r="D11" i="183"/>
  <c r="E11" i="183"/>
  <c r="F11" i="183"/>
  <c r="G11" i="183"/>
  <c r="B12" i="183"/>
  <c r="C12" i="183"/>
  <c r="F12" i="183"/>
  <c r="G12" i="183"/>
  <c r="H12" i="183" s="1"/>
  <c r="B13" i="183"/>
  <c r="C13" i="183"/>
  <c r="G13" i="183"/>
  <c r="H13" i="183"/>
  <c r="I13" i="183"/>
  <c r="D14" i="183"/>
  <c r="E14" i="183"/>
  <c r="G14" i="183"/>
  <c r="C15" i="183"/>
  <c r="D15" i="183"/>
  <c r="E15" i="183"/>
  <c r="F15" i="183"/>
  <c r="G15" i="183"/>
  <c r="D16" i="183"/>
  <c r="E16" i="183"/>
  <c r="H16" i="183"/>
  <c r="I16" i="183"/>
  <c r="C17" i="183"/>
  <c r="G17" i="183"/>
  <c r="D18" i="183"/>
  <c r="E18" i="183"/>
  <c r="G18" i="183"/>
  <c r="B19" i="183"/>
  <c r="C19" i="183"/>
  <c r="D19" i="183"/>
  <c r="E19" i="183"/>
  <c r="G19" i="183"/>
  <c r="C20" i="183"/>
  <c r="G20" i="183"/>
  <c r="B21" i="183"/>
  <c r="C21" i="183"/>
  <c r="F21" i="183"/>
  <c r="G21" i="183"/>
  <c r="H21" i="183"/>
  <c r="I21" i="183"/>
  <c r="C22" i="183"/>
  <c r="G22" i="183"/>
  <c r="D10" i="181"/>
  <c r="F10" i="181"/>
  <c r="G10" i="181"/>
  <c r="H10" i="181"/>
  <c r="K10" i="181"/>
  <c r="D11" i="181"/>
  <c r="F11" i="181"/>
  <c r="G11" i="181"/>
  <c r="H11" i="181"/>
  <c r="K11" i="181"/>
  <c r="D12" i="181"/>
  <c r="F12" i="181"/>
  <c r="G12" i="181"/>
  <c r="H12" i="181"/>
  <c r="K12" i="181"/>
  <c r="D13" i="181"/>
  <c r="F13" i="181"/>
  <c r="G13" i="181"/>
  <c r="H13" i="181"/>
  <c r="K13" i="181"/>
  <c r="D14" i="181"/>
  <c r="F14" i="181"/>
  <c r="G14" i="181"/>
  <c r="H14" i="181"/>
  <c r="K14" i="181"/>
  <c r="D15" i="181"/>
  <c r="F15" i="181"/>
  <c r="G15" i="181"/>
  <c r="H15" i="181"/>
  <c r="K15" i="181"/>
  <c r="D16" i="181"/>
  <c r="F16" i="181"/>
  <c r="G16" i="181"/>
  <c r="H16" i="181"/>
  <c r="K16" i="181"/>
  <c r="D17" i="181"/>
  <c r="F17" i="181"/>
  <c r="G17" i="181"/>
  <c r="H17" i="181"/>
  <c r="K17" i="181"/>
  <c r="D18" i="181"/>
  <c r="F18" i="181"/>
  <c r="G18" i="181"/>
  <c r="H18" i="181"/>
  <c r="K18" i="181"/>
  <c r="D19" i="181"/>
  <c r="F19" i="181"/>
  <c r="G19" i="181"/>
  <c r="H19" i="181"/>
  <c r="K19" i="181"/>
  <c r="D20" i="181"/>
  <c r="F20" i="181"/>
  <c r="G20" i="181"/>
  <c r="H20" i="181"/>
  <c r="K20" i="181"/>
  <c r="D21" i="181"/>
  <c r="F21" i="181"/>
  <c r="G21" i="181"/>
  <c r="H21" i="181"/>
  <c r="K21" i="181"/>
  <c r="K23" i="181"/>
  <c r="C23" i="181"/>
  <c r="E23" i="181"/>
  <c r="F23" i="181"/>
  <c r="I23" i="181"/>
  <c r="J23" i="181"/>
  <c r="C26" i="181"/>
  <c r="E26" i="181"/>
  <c r="G26" i="181"/>
  <c r="D5" i="170"/>
  <c r="F5" i="170"/>
  <c r="G5" i="170"/>
  <c r="H5" i="170"/>
  <c r="J5" i="170"/>
  <c r="K5" i="170"/>
  <c r="L5" i="170"/>
  <c r="M5" i="170"/>
  <c r="N5" i="170"/>
  <c r="O7" i="170"/>
  <c r="O8" i="170"/>
  <c r="O9" i="170"/>
  <c r="O10" i="170"/>
  <c r="B11" i="170"/>
  <c r="G11" i="170"/>
  <c r="H11" i="170"/>
  <c r="I11" i="170"/>
  <c r="J11" i="170"/>
  <c r="K11" i="170"/>
  <c r="L11" i="170"/>
  <c r="M11" i="170"/>
  <c r="N11" i="170"/>
  <c r="O11" i="170"/>
  <c r="O12" i="170"/>
  <c r="O13" i="170"/>
  <c r="F16" i="170"/>
  <c r="G16" i="170"/>
  <c r="H16" i="170"/>
  <c r="I16" i="170"/>
  <c r="J16" i="170"/>
  <c r="K16" i="170"/>
  <c r="L16" i="170"/>
  <c r="M16" i="170"/>
  <c r="N16" i="170"/>
  <c r="O17" i="170"/>
  <c r="O18" i="170"/>
  <c r="O19" i="170"/>
  <c r="O20" i="170"/>
  <c r="O21" i="170"/>
  <c r="D22" i="170"/>
  <c r="D28" i="170"/>
  <c r="F22" i="170"/>
  <c r="G22" i="170"/>
  <c r="H22" i="170"/>
  <c r="H28" i="170"/>
  <c r="I22" i="170"/>
  <c r="J22" i="170"/>
  <c r="K22" i="170"/>
  <c r="K28" i="170" s="1"/>
  <c r="L22" i="170"/>
  <c r="L28" i="170" s="1"/>
  <c r="M22" i="170"/>
  <c r="M28" i="170"/>
  <c r="N22" i="170"/>
  <c r="O23" i="170"/>
  <c r="O24" i="170"/>
  <c r="O25" i="170"/>
  <c r="O26" i="170"/>
  <c r="O27" i="170"/>
  <c r="O14" i="170"/>
  <c r="O15" i="170"/>
  <c r="D29" i="170"/>
  <c r="F29" i="170"/>
  <c r="G29" i="170"/>
  <c r="I29" i="170"/>
  <c r="J29" i="170"/>
  <c r="K29" i="170"/>
  <c r="L29" i="170"/>
  <c r="M29" i="170"/>
  <c r="N29" i="170"/>
  <c r="O29" i="170" s="1"/>
  <c r="O30" i="170"/>
  <c r="O31" i="170"/>
  <c r="D32" i="170"/>
  <c r="F32" i="170"/>
  <c r="M32" i="170"/>
  <c r="N32" i="170"/>
  <c r="D34" i="170"/>
  <c r="E34" i="170"/>
  <c r="F34" i="170"/>
  <c r="G34" i="170"/>
  <c r="G32" i="170"/>
  <c r="H34" i="170"/>
  <c r="H32" i="170"/>
  <c r="I34" i="170"/>
  <c r="I32" i="170"/>
  <c r="J34" i="170"/>
  <c r="J32" i="170"/>
  <c r="K34" i="170"/>
  <c r="K32" i="170"/>
  <c r="L34" i="170"/>
  <c r="L32" i="170"/>
  <c r="O35" i="170"/>
  <c r="D36" i="170"/>
  <c r="E36" i="170"/>
  <c r="F36" i="170"/>
  <c r="G36" i="170"/>
  <c r="H36" i="170"/>
  <c r="I36" i="170"/>
  <c r="J36" i="170"/>
  <c r="K36" i="170"/>
  <c r="L36" i="170"/>
  <c r="M36" i="170"/>
  <c r="O37" i="170"/>
  <c r="D38" i="170"/>
  <c r="E38" i="170"/>
  <c r="F38" i="170"/>
  <c r="G38" i="170"/>
  <c r="H38" i="170"/>
  <c r="I38" i="170"/>
  <c r="J38" i="170"/>
  <c r="K38" i="170"/>
  <c r="L38" i="170"/>
  <c r="M38" i="170"/>
  <c r="N38" i="170"/>
  <c r="O39" i="170"/>
  <c r="D40" i="170"/>
  <c r="E40" i="170"/>
  <c r="F40" i="170"/>
  <c r="G40" i="170"/>
  <c r="H40" i="170"/>
  <c r="J40" i="170"/>
  <c r="L40" i="170"/>
  <c r="M40" i="170"/>
  <c r="N40" i="170"/>
  <c r="O40" i="170" s="1"/>
  <c r="O41" i="170"/>
  <c r="H15" i="171"/>
  <c r="I15" i="171"/>
  <c r="J15" i="171"/>
  <c r="K15" i="171"/>
  <c r="L15" i="171"/>
  <c r="M15" i="171"/>
  <c r="N15" i="171"/>
  <c r="B19" i="171"/>
  <c r="C19" i="171"/>
  <c r="D19" i="171"/>
  <c r="H19" i="171"/>
  <c r="I19" i="171"/>
  <c r="J19" i="171"/>
  <c r="K19" i="171"/>
  <c r="L19" i="171"/>
  <c r="M19" i="171"/>
  <c r="N19" i="171"/>
  <c r="B21" i="171"/>
  <c r="P21" i="171"/>
  <c r="C21" i="171"/>
  <c r="D21" i="171"/>
  <c r="F21" i="171"/>
  <c r="H21" i="171"/>
  <c r="J21" i="171"/>
  <c r="K21" i="171"/>
  <c r="L21" i="171"/>
  <c r="M21" i="171"/>
  <c r="N21" i="171"/>
  <c r="H26" i="171"/>
  <c r="I26" i="171"/>
  <c r="J26" i="171"/>
  <c r="K26" i="171"/>
  <c r="M26" i="171"/>
  <c r="N26" i="171"/>
  <c r="P29" i="171"/>
  <c r="Q29" i="171"/>
  <c r="Q31" i="171"/>
  <c r="Q35" i="171"/>
  <c r="B36" i="171"/>
  <c r="C36" i="171"/>
  <c r="D36" i="171"/>
  <c r="H36" i="171"/>
  <c r="K36" i="171"/>
  <c r="L36" i="171"/>
  <c r="N36" i="171"/>
  <c r="Q41" i="171"/>
  <c r="B43" i="171"/>
  <c r="C43" i="171"/>
  <c r="D43" i="171"/>
  <c r="H43" i="171"/>
  <c r="I43" i="171"/>
  <c r="J43" i="171"/>
  <c r="K43" i="171"/>
  <c r="L43" i="171"/>
  <c r="M43" i="171"/>
  <c r="N43" i="171"/>
  <c r="B46" i="171"/>
  <c r="C46" i="171"/>
  <c r="D46" i="171"/>
  <c r="H46" i="171"/>
  <c r="I46" i="171"/>
  <c r="J46" i="171"/>
  <c r="K46" i="171"/>
  <c r="L46" i="171"/>
  <c r="M46" i="171"/>
  <c r="N46" i="171"/>
  <c r="B48" i="171"/>
  <c r="C48" i="171"/>
  <c r="D48" i="171"/>
  <c r="F48" i="171"/>
  <c r="G48" i="171"/>
  <c r="H48" i="171"/>
  <c r="I48" i="171"/>
  <c r="J48" i="171"/>
  <c r="K48" i="171"/>
  <c r="L48" i="171"/>
  <c r="M48" i="171"/>
  <c r="N48" i="171"/>
  <c r="B50" i="171"/>
  <c r="C50" i="171"/>
  <c r="D50" i="171"/>
  <c r="F50" i="171"/>
  <c r="G50" i="171"/>
  <c r="H50" i="171"/>
  <c r="I50" i="171"/>
  <c r="J50" i="171"/>
  <c r="K50" i="171"/>
  <c r="L50" i="171"/>
  <c r="N50" i="171"/>
  <c r="C77" i="171"/>
  <c r="D77" i="171"/>
  <c r="H77" i="171"/>
  <c r="J77" i="171"/>
  <c r="K77" i="171"/>
  <c r="M77" i="171"/>
  <c r="N77" i="171"/>
  <c r="B80" i="171"/>
  <c r="C80" i="171"/>
  <c r="D80" i="171"/>
  <c r="E80" i="171"/>
  <c r="F80" i="171"/>
  <c r="G80" i="171"/>
  <c r="H80" i="171"/>
  <c r="I80" i="171"/>
  <c r="J80" i="171"/>
  <c r="K80" i="171"/>
  <c r="L80" i="171"/>
  <c r="M80" i="171"/>
  <c r="N80" i="171"/>
  <c r="Q83" i="171"/>
  <c r="B84" i="171"/>
  <c r="D84" i="171"/>
  <c r="H84" i="171"/>
  <c r="J84" i="171"/>
  <c r="K84" i="171"/>
  <c r="L84" i="171"/>
  <c r="M84" i="171"/>
  <c r="N84" i="171"/>
  <c r="B88" i="171"/>
  <c r="C88" i="171"/>
  <c r="D88" i="171"/>
  <c r="E88" i="171"/>
  <c r="F88" i="171"/>
  <c r="G88" i="171"/>
  <c r="H88" i="171"/>
  <c r="K88" i="171"/>
  <c r="L88" i="171"/>
  <c r="M88" i="171"/>
  <c r="N88" i="171"/>
  <c r="B90" i="171"/>
  <c r="P90" i="171"/>
  <c r="C90" i="171"/>
  <c r="D90" i="171"/>
  <c r="E90" i="171"/>
  <c r="F90" i="171"/>
  <c r="G90" i="171"/>
  <c r="H90" i="171"/>
  <c r="I90" i="171"/>
  <c r="J90" i="171"/>
  <c r="K90" i="171"/>
  <c r="L90" i="171"/>
  <c r="M90" i="171"/>
  <c r="N90" i="171"/>
  <c r="B92" i="171"/>
  <c r="C92" i="171"/>
  <c r="D92" i="171"/>
  <c r="E92" i="171"/>
  <c r="F92" i="171"/>
  <c r="G92" i="171"/>
  <c r="H92" i="171"/>
  <c r="I92" i="171"/>
  <c r="J92" i="171"/>
  <c r="K92" i="171"/>
  <c r="L92" i="171"/>
  <c r="M92" i="171"/>
  <c r="N92" i="171"/>
  <c r="P93" i="171"/>
  <c r="B103" i="171"/>
  <c r="D103" i="171"/>
  <c r="F103" i="171"/>
  <c r="H103" i="171"/>
  <c r="J103" i="171"/>
  <c r="L103" i="171"/>
  <c r="M103" i="171"/>
  <c r="N103" i="171"/>
  <c r="D8" i="139"/>
  <c r="E10" i="139"/>
  <c r="F10" i="139"/>
  <c r="H10" i="139"/>
  <c r="J10" i="139"/>
  <c r="E11" i="139"/>
  <c r="F11" i="139"/>
  <c r="H11" i="139"/>
  <c r="J11" i="139"/>
  <c r="E12" i="139"/>
  <c r="F12" i="139"/>
  <c r="H12" i="139"/>
  <c r="J12" i="139"/>
  <c r="E13" i="139"/>
  <c r="E15" i="139"/>
  <c r="F13" i="139"/>
  <c r="H13" i="139"/>
  <c r="J13" i="139"/>
  <c r="J14" i="139"/>
  <c r="B15" i="139"/>
  <c r="C15" i="139"/>
  <c r="F15" i="139" s="1"/>
  <c r="D15" i="139"/>
  <c r="G15" i="139"/>
  <c r="Q54" i="171"/>
  <c r="Q56" i="171"/>
  <c r="P89" i="171"/>
  <c r="Q60" i="171"/>
  <c r="Q20" i="171"/>
  <c r="Q21" i="171"/>
  <c r="Q93" i="171"/>
  <c r="P74" i="171"/>
  <c r="Q65" i="171"/>
  <c r="Q76" i="171"/>
  <c r="Q40" i="171"/>
  <c r="Q22" i="171"/>
  <c r="H15" i="183"/>
  <c r="I15" i="183"/>
  <c r="P95" i="171"/>
  <c r="H18" i="179"/>
  <c r="I18" i="179"/>
  <c r="F18" i="183"/>
  <c r="H18" i="183"/>
  <c r="I18" i="183"/>
  <c r="D23" i="181"/>
  <c r="D13" i="183"/>
  <c r="E13" i="183"/>
  <c r="D21" i="183"/>
  <c r="E21" i="183"/>
  <c r="I11" i="139"/>
  <c r="G16" i="21"/>
  <c r="H16" i="21"/>
  <c r="J14" i="169"/>
  <c r="K14" i="169"/>
  <c r="D20" i="183"/>
  <c r="E20" i="183"/>
  <c r="H14" i="183"/>
  <c r="I14" i="183"/>
  <c r="C25" i="178"/>
  <c r="G25" i="178"/>
  <c r="H11" i="21"/>
  <c r="E15" i="169"/>
  <c r="F15" i="169"/>
  <c r="P57" i="171"/>
  <c r="Q47" i="171"/>
  <c r="P24" i="171"/>
  <c r="Q24" i="171"/>
  <c r="Q8" i="171"/>
  <c r="N28" i="170"/>
  <c r="P87" i="171"/>
  <c r="Q61" i="171"/>
  <c r="Q14" i="171"/>
  <c r="Q99" i="171"/>
  <c r="P81" i="171"/>
  <c r="Q39" i="171"/>
  <c r="Q11" i="171"/>
  <c r="O88" i="171"/>
  <c r="P88" i="171"/>
  <c r="P75" i="171"/>
  <c r="Q66" i="171"/>
  <c r="Q53" i="171"/>
  <c r="P96" i="171"/>
  <c r="Q62" i="171"/>
  <c r="Q42" i="171"/>
  <c r="Q43" i="171" s="1"/>
  <c r="P58" i="171"/>
  <c r="P52" i="171"/>
  <c r="O36" i="171"/>
  <c r="P36" i="171"/>
  <c r="P23" i="171"/>
  <c r="O26" i="171"/>
  <c r="P26" i="171"/>
  <c r="O80" i="171"/>
  <c r="P80" i="171"/>
  <c r="Q45" i="171"/>
  <c r="Q25" i="171"/>
  <c r="P20" i="171"/>
  <c r="Q4" i="171"/>
  <c r="H14" i="186"/>
  <c r="I14" i="186"/>
  <c r="K21" i="175"/>
  <c r="I23" i="175"/>
  <c r="K23" i="175"/>
  <c r="Q16" i="171"/>
  <c r="P16" i="171"/>
  <c r="Q13" i="171"/>
  <c r="P13" i="171"/>
  <c r="P68" i="171"/>
  <c r="O34" i="170"/>
  <c r="P18" i="171"/>
  <c r="Q18" i="171"/>
  <c r="O46" i="171"/>
  <c r="P46" i="171"/>
  <c r="Q10" i="171"/>
  <c r="P10" i="171"/>
  <c r="Q5" i="171"/>
  <c r="P5" i="171"/>
  <c r="P48" i="171"/>
  <c r="Q48" i="171"/>
  <c r="Q81" i="171"/>
  <c r="O84" i="171"/>
  <c r="P84" i="171"/>
  <c r="P91" i="171"/>
  <c r="O92" i="171"/>
  <c r="P92" i="171"/>
  <c r="Q91" i="171"/>
  <c r="Q92" i="171"/>
  <c r="P101" i="171"/>
  <c r="Q101" i="171"/>
  <c r="E104" i="171"/>
  <c r="E108" i="171"/>
  <c r="D22" i="179"/>
  <c r="E22" i="179"/>
  <c r="D17" i="179"/>
  <c r="E17" i="179"/>
  <c r="Q28" i="171"/>
  <c r="P28" i="171"/>
  <c r="Q88" i="171"/>
  <c r="C23" i="169"/>
  <c r="P6" i="171"/>
  <c r="P67" i="171"/>
  <c r="D23" i="175"/>
  <c r="C25" i="175"/>
  <c r="G25" i="175"/>
  <c r="O51" i="170"/>
  <c r="O43" i="171"/>
  <c r="P43" i="171"/>
  <c r="H11" i="186"/>
  <c r="I11" i="186"/>
  <c r="H12" i="186"/>
  <c r="I12" i="186"/>
  <c r="P98" i="171"/>
  <c r="Q98" i="171"/>
  <c r="D54" i="170"/>
  <c r="D107" i="171"/>
  <c r="B22" i="183"/>
  <c r="D22" i="183"/>
  <c r="E22" i="183"/>
  <c r="F20" i="183"/>
  <c r="B17" i="183"/>
  <c r="O77" i="171"/>
  <c r="P77" i="171"/>
  <c r="P64" i="171"/>
  <c r="D23" i="178"/>
  <c r="H54" i="170"/>
  <c r="H107" i="171"/>
  <c r="D24" i="176"/>
  <c r="E24" i="176"/>
  <c r="D11" i="186"/>
  <c r="E11" i="186"/>
  <c r="H20" i="183"/>
  <c r="I20" i="183"/>
  <c r="J12" i="169"/>
  <c r="K12" i="169"/>
  <c r="I23" i="169"/>
  <c r="Q70" i="171"/>
  <c r="P70" i="171"/>
  <c r="B24" i="183"/>
  <c r="Q69" i="171"/>
  <c r="L104" i="171"/>
  <c r="L108" i="171"/>
  <c r="F104" i="171"/>
  <c r="F108" i="171"/>
  <c r="J104" i="171"/>
  <c r="J108" i="171"/>
  <c r="C104" i="171"/>
  <c r="C108" i="171"/>
  <c r="J28" i="170"/>
  <c r="O22" i="170"/>
  <c r="O16" i="170"/>
  <c r="O28" i="170"/>
  <c r="H11" i="183"/>
  <c r="I11" i="183"/>
  <c r="G24" i="183"/>
  <c r="Q49" i="171"/>
  <c r="O50" i="171"/>
  <c r="Q50" i="171"/>
  <c r="D104" i="171"/>
  <c r="D108" i="171"/>
  <c r="D109" i="171" s="1"/>
  <c r="P51" i="171"/>
  <c r="Q51" i="171"/>
  <c r="L54" i="170"/>
  <c r="L107" i="171"/>
  <c r="L109" i="171" s="1"/>
  <c r="J15" i="139"/>
  <c r="H104" i="171"/>
  <c r="H108" i="171"/>
  <c r="H109" i="171" s="1"/>
  <c r="O38" i="170"/>
  <c r="O36" i="170"/>
  <c r="G28" i="170"/>
  <c r="J54" i="170"/>
  <c r="J107" i="171"/>
  <c r="J109" i="171"/>
  <c r="D17" i="183"/>
  <c r="E17" i="183"/>
  <c r="H22" i="179"/>
  <c r="I22" i="179"/>
  <c r="G24" i="179"/>
  <c r="F22" i="183"/>
  <c r="H22" i="183"/>
  <c r="I22" i="183"/>
  <c r="H10" i="21"/>
  <c r="G23" i="21"/>
  <c r="Q12" i="171"/>
  <c r="Q15" i="171"/>
  <c r="P12" i="171"/>
  <c r="O15" i="171"/>
  <c r="P17" i="171"/>
  <c r="O19" i="171"/>
  <c r="P19" i="171"/>
  <c r="Q17" i="171"/>
  <c r="Q19" i="171"/>
  <c r="Q63" i="171"/>
  <c r="P63" i="171"/>
  <c r="H19" i="186"/>
  <c r="I19" i="186"/>
  <c r="I12" i="139"/>
  <c r="I13" i="139"/>
  <c r="H15" i="139"/>
  <c r="I10" i="139"/>
  <c r="I28" i="170"/>
  <c r="G23" i="181"/>
  <c r="H23" i="181"/>
  <c r="D12" i="183"/>
  <c r="E12" i="183"/>
  <c r="C24" i="183"/>
  <c r="D24" i="183" s="1"/>
  <c r="E24" i="183" s="1"/>
  <c r="O45" i="170"/>
  <c r="O48" i="170"/>
  <c r="B104" i="171"/>
  <c r="Q59" i="171"/>
  <c r="P59" i="171"/>
  <c r="Q78" i="171"/>
  <c r="Q80" i="171"/>
  <c r="P78" i="171"/>
  <c r="Q103" i="171"/>
  <c r="Q82" i="171"/>
  <c r="Q84" i="171"/>
  <c r="P82" i="171"/>
  <c r="F28" i="170"/>
  <c r="H23" i="175"/>
  <c r="F23" i="175"/>
  <c r="H20" i="186"/>
  <c r="I20" i="186"/>
  <c r="G23" i="175"/>
  <c r="E18" i="169"/>
  <c r="F18" i="169"/>
  <c r="C54" i="170"/>
  <c r="C107" i="171"/>
  <c r="H16" i="186"/>
  <c r="I16" i="186"/>
  <c r="H17" i="186"/>
  <c r="I17" i="186"/>
  <c r="N54" i="170"/>
  <c r="N107" i="171"/>
  <c r="H23" i="178"/>
  <c r="G24" i="186"/>
  <c r="H24" i="186"/>
  <c r="I24" i="186"/>
  <c r="P15" i="171"/>
  <c r="Q77" i="171"/>
  <c r="G21" i="185"/>
  <c r="H21" i="185"/>
  <c r="H23" i="185"/>
  <c r="D23" i="185"/>
  <c r="C24" i="186"/>
  <c r="D24" i="186"/>
  <c r="E24" i="186"/>
  <c r="D21" i="186"/>
  <c r="E21" i="186"/>
  <c r="G23" i="185"/>
  <c r="C24" i="187"/>
  <c r="D11" i="187"/>
  <c r="E11" i="187"/>
  <c r="D12" i="187"/>
  <c r="E12" i="187"/>
  <c r="B24" i="187"/>
  <c r="D24" i="187" s="1"/>
  <c r="E24" i="187" s="1"/>
  <c r="E7" i="184"/>
  <c r="G7" i="184" s="1"/>
  <c r="H13" i="187"/>
  <c r="I13" i="187"/>
  <c r="H16" i="187"/>
  <c r="I16" i="187"/>
  <c r="G24" i="187"/>
  <c r="G23" i="188"/>
  <c r="H23" i="188"/>
  <c r="I12" i="183"/>
  <c r="F23" i="21"/>
  <c r="H23" i="21"/>
  <c r="O32" i="170"/>
  <c r="K54" i="170"/>
  <c r="K107" i="171"/>
  <c r="C109" i="171"/>
  <c r="H17" i="183"/>
  <c r="I17" i="183"/>
  <c r="F19" i="183"/>
  <c r="F24" i="183" s="1"/>
  <c r="H19" i="183"/>
  <c r="I19" i="183"/>
  <c r="H17" i="179"/>
  <c r="I17" i="179"/>
  <c r="G23" i="178"/>
  <c r="D15" i="175"/>
  <c r="O103" i="171"/>
  <c r="E54" i="170"/>
  <c r="O42" i="170"/>
  <c r="Q30" i="171"/>
  <c r="P30" i="171"/>
  <c r="D18" i="187"/>
  <c r="E18" i="187"/>
  <c r="H23" i="169"/>
  <c r="J23" i="169"/>
  <c r="K23" i="169"/>
  <c r="Q46" i="171"/>
  <c r="H18" i="187"/>
  <c r="I18" i="187"/>
  <c r="H20" i="179"/>
  <c r="I20" i="179"/>
  <c r="C24" i="179"/>
  <c r="D24" i="179"/>
  <c r="E24" i="179"/>
  <c r="B16" i="175"/>
  <c r="H24" i="176"/>
  <c r="I24" i="176"/>
  <c r="J24" i="168"/>
  <c r="K24" i="168"/>
  <c r="Q27" i="171"/>
  <c r="Q36" i="171"/>
  <c r="P27" i="171"/>
  <c r="H18" i="186"/>
  <c r="I18" i="186"/>
  <c r="E107" i="171"/>
  <c r="H24" i="183"/>
  <c r="I24" i="183"/>
  <c r="D16" i="175"/>
  <c r="B17" i="175"/>
  <c r="F16" i="175"/>
  <c r="P103" i="171"/>
  <c r="O104" i="171"/>
  <c r="P104" i="171"/>
  <c r="F17" i="175"/>
  <c r="B18" i="175"/>
  <c r="D17" i="175"/>
  <c r="E109" i="171"/>
  <c r="F18" i="175"/>
  <c r="B19" i="175"/>
  <c r="D18" i="175"/>
  <c r="B20" i="175"/>
  <c r="F19" i="175"/>
  <c r="D19" i="175"/>
  <c r="D20" i="175"/>
  <c r="F20" i="175"/>
  <c r="B21" i="175"/>
  <c r="D21" i="175"/>
  <c r="F21" i="175"/>
  <c r="F18" i="184" l="1"/>
  <c r="G18" i="184"/>
  <c r="F14" i="184"/>
  <c r="G14" i="184"/>
  <c r="F10" i="184"/>
  <c r="G10" i="184"/>
  <c r="F9" i="184"/>
  <c r="G9" i="184"/>
  <c r="F8" i="184"/>
  <c r="G8" i="184"/>
  <c r="H22" i="189"/>
  <c r="I22" i="189" s="1"/>
  <c r="F24" i="189"/>
  <c r="H24" i="189"/>
  <c r="I24" i="189" s="1"/>
  <c r="E30" i="184"/>
  <c r="G30" i="184" s="1"/>
  <c r="D24" i="189"/>
  <c r="E24" i="189" s="1"/>
  <c r="F7" i="184"/>
  <c r="C31" i="184"/>
  <c r="Q26" i="171"/>
  <c r="Q104" i="171" s="1"/>
  <c r="G104" i="171"/>
  <c r="G108" i="171" s="1"/>
  <c r="N104" i="171"/>
  <c r="N108" i="171" s="1"/>
  <c r="N109" i="171" s="1"/>
  <c r="K104" i="171"/>
  <c r="K108" i="171" s="1"/>
  <c r="K109" i="171" s="1"/>
  <c r="M104" i="171"/>
  <c r="M108" i="171" s="1"/>
  <c r="I104" i="171"/>
  <c r="I108" i="171" s="1"/>
  <c r="M54" i="170"/>
  <c r="M107" i="171" s="1"/>
  <c r="M109" i="171" s="1"/>
  <c r="I54" i="170"/>
  <c r="I107" i="171" s="1"/>
  <c r="I109" i="171" s="1"/>
  <c r="G54" i="170"/>
  <c r="G107" i="171" s="1"/>
  <c r="G109" i="171" s="1"/>
  <c r="F54" i="170"/>
  <c r="O5" i="170"/>
  <c r="F24" i="179"/>
  <c r="H24" i="179" s="1"/>
  <c r="I24" i="179" s="1"/>
  <c r="D23" i="169"/>
  <c r="E23" i="169" s="1"/>
  <c r="F23" i="169" s="1"/>
  <c r="E16" i="169"/>
  <c r="F16" i="169" s="1"/>
  <c r="F21" i="187"/>
  <c r="H21" i="186"/>
  <c r="I21" i="186" s="1"/>
  <c r="D15" i="187"/>
  <c r="E15" i="187" s="1"/>
  <c r="D16" i="187"/>
  <c r="E16" i="187" s="1"/>
  <c r="D19" i="187"/>
  <c r="E19" i="187" s="1"/>
  <c r="D21" i="187"/>
  <c r="E21" i="187" s="1"/>
  <c r="D22" i="187"/>
  <c r="E22" i="187" s="1"/>
  <c r="H21" i="187" l="1"/>
  <c r="I21" i="187" s="1"/>
  <c r="F24" i="187"/>
  <c r="H24" i="187" s="1"/>
  <c r="I24" i="187" s="1"/>
  <c r="F107" i="171"/>
  <c r="O54" i="170"/>
  <c r="O108" i="171"/>
  <c r="E31" i="184"/>
  <c r="F31" i="184" s="1"/>
  <c r="F30" i="184"/>
  <c r="F109" i="171" l="1"/>
  <c r="O107" i="171"/>
  <c r="O109" i="171" s="1"/>
</calcChain>
</file>

<file path=xl/sharedStrings.xml><?xml version="1.0" encoding="utf-8"?>
<sst xmlns="http://schemas.openxmlformats.org/spreadsheetml/2006/main" count="1081" uniqueCount="324">
  <si>
    <t>Conselho Federal de Serviço Social - CFESS</t>
  </si>
  <si>
    <t>Quadro Demonstrativo de Despesa Prevista com a Realizada</t>
  </si>
  <si>
    <t>Exercício de 2010 - Despesas Fixas</t>
  </si>
  <si>
    <t>FL. 01</t>
  </si>
  <si>
    <t>Despesa</t>
  </si>
  <si>
    <t>Análise</t>
  </si>
  <si>
    <t>Saldo</t>
  </si>
  <si>
    <t>Discriminação da Despesa</t>
  </si>
  <si>
    <t>Prevista</t>
  </si>
  <si>
    <t xml:space="preserve">Prevista </t>
  </si>
  <si>
    <t>Realizada</t>
  </si>
  <si>
    <t>Diferença</t>
  </si>
  <si>
    <t>%</t>
  </si>
  <si>
    <t>Ah%</t>
  </si>
  <si>
    <t>Av%</t>
  </si>
  <si>
    <t>Orçament.</t>
  </si>
  <si>
    <t>até set/10</t>
  </si>
  <si>
    <t>Pessoal e Encargos Sociais</t>
  </si>
  <si>
    <t>Material de Consumo</t>
  </si>
  <si>
    <t>Serviços de Terceiros e Encargos</t>
  </si>
  <si>
    <t>Outros Serviços e Encargos</t>
  </si>
  <si>
    <t>Total Geral</t>
  </si>
  <si>
    <t>CONSELHO REGIONAL DE PSICOLOGIA DO DISTRITO FEDERAL - CRP-DF</t>
  </si>
  <si>
    <t>DISCRIMINAÇÃO</t>
  </si>
  <si>
    <t>ORÇADO</t>
  </si>
  <si>
    <t>DESPESAS</t>
  </si>
  <si>
    <t>TOTAL</t>
  </si>
  <si>
    <t>% REALIZADO</t>
  </si>
  <si>
    <t>SALDO ORÇAMENTÁRIO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</si>
  <si>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</si>
  <si>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</si>
  <si>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</si>
  <si>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</si>
  <si>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</si>
  <si>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</si>
  <si>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</si>
  <si>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</si>
  <si>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</si>
  <si>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</si>
  <si>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</si>
  <si>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</si>
  <si>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- SALÁRIOS </t>
  </si>
  <si>
    <t xml:space="preserve"> - GRATIFICAÇÃO POR TEMPO DE SERVIÇO</t>
  </si>
  <si>
    <t xml:space="preserve"> - GRATIFICAÇÃO POR ENCARGOS DE CHEFIA</t>
  </si>
  <si>
    <t xml:space="preserve"> - ABONO PECUNIARIO DE FÉRIAS</t>
  </si>
  <si>
    <t xml:space="preserve"> - 13º SALÁRIO</t>
  </si>
  <si>
    <t xml:space="preserve"> - FÉRIAS</t>
  </si>
  <si>
    <t xml:space="preserve">  GRATIFICAÇÃO</t>
  </si>
  <si>
    <t xml:space="preserve">  1/3 DE FÉRIAS </t>
  </si>
  <si>
    <t xml:space="preserve">  HORAS EXTRAS</t>
  </si>
  <si>
    <t xml:space="preserve"> - DIÁRIAS A FUNCIONÁRIOS EM SERVIÇO</t>
  </si>
  <si>
    <t xml:space="preserve"> INDENIZAÇÕES TRABALHISTAS</t>
  </si>
  <si>
    <t>TOTAL DE  REMUNERAÇÃO C/PESSOAL</t>
  </si>
  <si>
    <t xml:space="preserve"> - INSS</t>
  </si>
  <si>
    <t xml:space="preserve"> - FGTS</t>
  </si>
  <si>
    <t xml:space="preserve"> - PIS/PASEP</t>
  </si>
  <si>
    <t>TOTAL DE ENCARGOS PATRONAIS</t>
  </si>
  <si>
    <t>Juros sobre empréstimos</t>
  </si>
  <si>
    <t>TOTAL JUROS SOBRE EMPRÉSTIMOS</t>
  </si>
  <si>
    <t xml:space="preserve"> - VALE TRANSPORTE</t>
  </si>
  <si>
    <t xml:space="preserve"> - AUXILIO ALIMENTAÇÃO</t>
  </si>
  <si>
    <t xml:space="preserve"> - ASSISTENCIA MÉDICA E ODONTOLOGICA</t>
  </si>
  <si>
    <t xml:space="preserve"> - AUXILIO CRECHE</t>
  </si>
  <si>
    <t>TOTAL BENEFÍCIOS PESSOAL</t>
  </si>
  <si>
    <t xml:space="preserve"> - IMPRESSOS E MATERIAIS DE EXPEDIENTE</t>
  </si>
  <si>
    <t xml:space="preserve"> - GENEROS DE ALIMENTAÇÃO</t>
  </si>
  <si>
    <t>- MATERIAL P/ AUDIO, VÍDEO E FOTO</t>
  </si>
  <si>
    <t xml:space="preserve"> - MATERIAL PARA PROCESSAMENTO DE DADOS</t>
  </si>
  <si>
    <t xml:space="preserve">   MATERIAL ELÉTRICOS E DE TELEFONIA</t>
  </si>
  <si>
    <t xml:space="preserve"> - MATERIAIS PARA MANUT. DE BENS MOVEIS</t>
  </si>
  <si>
    <t xml:space="preserve"> -  MATERIAL  P/ MANUT.DE BENS IMOVEIS/INSTALAÇÕES</t>
  </si>
  <si>
    <t xml:space="preserve"> - MATERIAL DE COPA E COZINHA</t>
  </si>
  <si>
    <t xml:space="preserve"> - OUTROS MATERIAIS DE CONSUMO</t>
  </si>
  <si>
    <t>TOTAL MATERIAL DE CONSUMO</t>
  </si>
  <si>
    <t>SERVIÇOS DE ASSESSORIA E CONSULTORIA</t>
  </si>
  <si>
    <t>SERVIÇO DE MOTORISTA</t>
  </si>
  <si>
    <t>REMUNERAÇÃO DE ESTAGIÁRIOS</t>
  </si>
  <si>
    <t>INSS S/SERVIÇOS PRESTADOS</t>
  </si>
  <si>
    <t>SERVIÇOS TECNICOS PROFISSIONAIS - PF</t>
  </si>
  <si>
    <t>SERVIÇO DE LIMPEZA,CONSERVAÇÃO E JARDINAGEM</t>
  </si>
  <si>
    <t>TOTAL SERVIÇOS PF</t>
  </si>
  <si>
    <t xml:space="preserve"> - DIÁRIAS A  CONSELHEIROS E/OU REPRESENTANTES</t>
  </si>
  <si>
    <t xml:space="preserve"> - AJUDAS DE CUSTO A CONSELHEIROS E COLABORADOR</t>
  </si>
  <si>
    <t>DIARIAS,AJUDAS DE CUSTO E JETONS</t>
  </si>
  <si>
    <t xml:space="preserve"> - PASSAGENS PARA O PAIS</t>
  </si>
  <si>
    <t>TOTAL COM PASSAGEM</t>
  </si>
  <si>
    <t>FRETES E TRANSP. DE ENCOMENDAS</t>
  </si>
  <si>
    <t>TOTAL COM LOCOMOÇÃO</t>
  </si>
  <si>
    <t xml:space="preserve"> - SERVIÇOS CONTÁBEIS</t>
  </si>
  <si>
    <t xml:space="preserve"> - ASSESSORIA E CONSULTORIA EM INFORMÁTICA/INTERNET</t>
  </si>
  <si>
    <t xml:space="preserve"> - SERVIÇOS DE ASSESORIA E CONSULTORIA </t>
  </si>
  <si>
    <t xml:space="preserve"> - SERVIÇOS DE LIMPEZA E CONSERVAÇÃO</t>
  </si>
  <si>
    <t>- SERVIÇOS DE MEDICINA DO TRABALHO</t>
  </si>
  <si>
    <t>- SERVIÇOS DE INTERMEDIAÇÃO DE ESTAGIOS</t>
  </si>
  <si>
    <t xml:space="preserve">-RECEPÇÃO, FESTIVIDADES E HOMENAGENS </t>
  </si>
  <si>
    <t xml:space="preserve"> - SEGUROS EM GERAL</t>
  </si>
  <si>
    <t xml:space="preserve"> - LOCAÇÃO DE BENS MOVEIS EM GERAL</t>
  </si>
  <si>
    <t xml:space="preserve"> - CONDOMINIOS</t>
  </si>
  <si>
    <t xml:space="preserve"> - MANUTENÇÃO E CONSERVAÇÃO DE BENS MÓVEIS</t>
  </si>
  <si>
    <t xml:space="preserve"> - MANUTENÇÃO E CONSERVAÇÃO DE BENS IMOVEIS</t>
  </si>
  <si>
    <t xml:space="preserve"> - SERVIÇOS DE ENERGIA ELÉTRICA</t>
  </si>
  <si>
    <t xml:space="preserve"> - SERVIÇOS DE POSTAGEM DE MALOTES E SIMILARES</t>
  </si>
  <si>
    <t xml:space="preserve"> - SERVIÇOS DE TELECOMUNICAÇÕES</t>
  </si>
  <si>
    <t>- SERVIÇOS FOTOGRÁFICOS E VÍDEO</t>
  </si>
  <si>
    <t xml:space="preserve"> - ASSINATURAS E JORNAIS, PERIÓDICOS E REVISTAS</t>
  </si>
  <si>
    <t xml:space="preserve"> - PUBLICAÇÕES DE EDITAIS</t>
  </si>
  <si>
    <t>- SERVIÇOS DE PUBLICAÇÃO INSTITUCIONAL</t>
  </si>
  <si>
    <t xml:space="preserve"> - SERVIÇOS GRÁFICOS E IMPRESSOS</t>
  </si>
  <si>
    <t>- ELEIÇOES, PRÉ CONGRESSE E CONGRESSO</t>
  </si>
  <si>
    <t xml:space="preserve"> - DESPESAS COM TAXI</t>
  </si>
  <si>
    <t>-COREP</t>
  </si>
  <si>
    <t>-SERVIÇOS DE COMUNICAÇÃO</t>
  </si>
  <si>
    <t xml:space="preserve"> - OUTRAS DESPESAS DE PESSOA JURÍDICA</t>
  </si>
  <si>
    <t>- SERVIÇOS DE SELEÇÃO,TREINAMENTO E ORIENTAÇÃO PROFI</t>
  </si>
  <si>
    <t>TOTAL DE SERVIÇOS DE TERCEIROS PESSOA JURÍDICA</t>
  </si>
  <si>
    <t>IMPOSTOS E TAXAS</t>
  </si>
  <si>
    <t xml:space="preserve"> - DESPESAS JUDICIAIS </t>
  </si>
  <si>
    <t>TOTAL TRIBUTOS</t>
  </si>
  <si>
    <t xml:space="preserve"> - COTA PARTE</t>
  </si>
  <si>
    <t xml:space="preserve"> - COTA REVISTA</t>
  </si>
  <si>
    <t xml:space="preserve"> - FUNDO DE SEÇÕES</t>
  </si>
  <si>
    <t>TOTAL DE TRIBUTÁRIAS E CONTRIBUTIVAS</t>
  </si>
  <si>
    <t xml:space="preserve"> - SENTENÇAS JUDICIAIS</t>
  </si>
  <si>
    <t xml:space="preserve">INDENIZAÇÃO DE TRANSPORTES  QUILOMETRAGEM </t>
  </si>
  <si>
    <t xml:space="preserve"> - DESPESAS MIUDAS DE PRONTO PAGAMENTO</t>
  </si>
  <si>
    <t>TOTAL DE DEMAIS DESPESAS CORRENTES</t>
  </si>
  <si>
    <t xml:space="preserve"> - DESPESAS COM COBRANÇA</t>
  </si>
  <si>
    <t>OBRAS, INSTALAÇÕES E REFORMAS</t>
  </si>
  <si>
    <t>REFORMAS</t>
  </si>
  <si>
    <t xml:space="preserve">EQUIPAMENTOS, MATERIAIS PERMANENTES E INVERSÕES Fin. </t>
  </si>
  <si>
    <t>MÓVEIS E UTENSÍLIOS</t>
  </si>
  <si>
    <t>UTENSILHOS DE COPA E COZINHA</t>
  </si>
  <si>
    <t xml:space="preserve"> - EQUIPAMENTOS DE  PROCESSAMENTO DE DADOS</t>
  </si>
  <si>
    <t xml:space="preserve">  -INSTALAÇÕES</t>
  </si>
  <si>
    <t>-MOBILIARIO EM GERAL</t>
  </si>
  <si>
    <t xml:space="preserve"> - MÁQUINAS, MOTORES E APARELHOS</t>
  </si>
  <si>
    <t xml:space="preserve"> - EMPRÉSTIMO CFP</t>
  </si>
  <si>
    <t xml:space="preserve"> - INADIMPLENCIA</t>
  </si>
  <si>
    <t xml:space="preserve"> - RESERVAS</t>
  </si>
  <si>
    <t>SISTEMA DE PROCESSAMENTO DE DADOS</t>
  </si>
  <si>
    <t>TOTAL DESPESAS DE CAPITAL</t>
  </si>
  <si>
    <t>TOTAL GERAL</t>
  </si>
  <si>
    <t>RESULTADO ORÇAMENTÁRIO</t>
  </si>
  <si>
    <t>RECEITA</t>
  </si>
  <si>
    <t>DESPESA</t>
  </si>
  <si>
    <t>SUPERÁVIT/DÉFICIT ORÇAMENTÁRIO</t>
  </si>
  <si>
    <t xml:space="preserve"> RECEITA 2020</t>
  </si>
  <si>
    <t>RECEITA DE CONTRIBUIÇÕES</t>
  </si>
  <si>
    <t>ANUIDADES PF</t>
  </si>
  <si>
    <t>ANUIDADES PF DE EXERCÍCIOS ANTERIORES</t>
  </si>
  <si>
    <t>ANUIDADES PJ</t>
  </si>
  <si>
    <t>ANUIDADES PJ DE EXERCÍCIOS ANTERIORES</t>
  </si>
  <si>
    <t>FUNDO DE SEÇÕES</t>
  </si>
  <si>
    <t>RECEITA PATRIMONIAL</t>
  </si>
  <si>
    <t xml:space="preserve"> ALUGUEIS</t>
  </si>
  <si>
    <t>OUTRAS RECEITAS IMOBILIÁRIAS</t>
  </si>
  <si>
    <t xml:space="preserve"> TÍTULOS DE RENDA FIXA CDB</t>
  </si>
  <si>
    <t xml:space="preserve"> POUPANÇA</t>
  </si>
  <si>
    <t>RECEITA DE SERVIÇOS</t>
  </si>
  <si>
    <t>INSCRIÇÕES PF</t>
  </si>
  <si>
    <t>INSCRIÇÕES PJ</t>
  </si>
  <si>
    <t xml:space="preserve"> CARTEIRAS PF</t>
  </si>
  <si>
    <t>2ª VIA DE CARTEIRA</t>
  </si>
  <si>
    <t>CERTIDÃO PJ</t>
  </si>
  <si>
    <t>RECEITAS DIVERSAS</t>
  </si>
  <si>
    <t>TAXA DE CANCELAMENTO</t>
  </si>
  <si>
    <t>Outras receitas correntes</t>
  </si>
  <si>
    <t>Renovação de Certificado PJ</t>
  </si>
  <si>
    <t>Troca Responsavel Téc.Certificado - PJ</t>
  </si>
  <si>
    <t>Taxa de Troca de Endereço</t>
  </si>
  <si>
    <t xml:space="preserve">RECEITAS DE SERVIÇOS e Receitas Diversas </t>
  </si>
  <si>
    <t>DÍVIDA ATIVA</t>
  </si>
  <si>
    <t xml:space="preserve"> DÍVIDA ATIVA - FASE EXECUTIVA</t>
  </si>
  <si>
    <t xml:space="preserve"> DÍVIDA ATIVA - FASE ADMINISTRATIVA</t>
  </si>
  <si>
    <t xml:space="preserve">RECEITAS NÃO IDENTIFICADAS </t>
  </si>
  <si>
    <t>OUTRAS RECEITAS CORRENTES</t>
  </si>
  <si>
    <t>X</t>
  </si>
  <si>
    <t>RECEITA DE CAPITAL</t>
  </si>
  <si>
    <t>SALAS</t>
  </si>
  <si>
    <t>EMPRESTIMOS TOMADOS</t>
  </si>
  <si>
    <t>EMPRESTIMOS P/ DESPESAS DE CUSTEIO</t>
  </si>
  <si>
    <t>SUPERÁVIT FINANCEIROS</t>
  </si>
  <si>
    <t>INDENIZAÇÕES E RESTITUIÇOES</t>
  </si>
  <si>
    <t>Restituições</t>
  </si>
  <si>
    <t>JUROS DE MORA S/ ANUIDADE</t>
  </si>
  <si>
    <t>JUROS DE MORA S/ ANUIDADE PF</t>
  </si>
  <si>
    <t>JUROS DE MORA S/ ANUIDADE PJ</t>
  </si>
  <si>
    <t xml:space="preserve">JUROS DE MORA S/ DÍVIDA ATIVA </t>
  </si>
  <si>
    <t>JUROS DE MORA S/ DÍVIDA ATIVA ADM PF</t>
  </si>
  <si>
    <t>JUROS DE MORA S/ DÍVIDA ATIVA ADM PJ</t>
  </si>
  <si>
    <t>MULTAS S/ ANUIDADES</t>
  </si>
  <si>
    <t>MULTAS S/ ANUIDADES PF</t>
  </si>
  <si>
    <t>MULTAS S/ DÍVIDA ATIVA</t>
  </si>
  <si>
    <t>MULTAS S/ DÍVIDA ATIVA PF</t>
  </si>
  <si>
    <t>MULTAS S/ DÍVIDA ATIVA  PJ</t>
  </si>
  <si>
    <t>RECEITA REALIZADA</t>
  </si>
  <si>
    <t>Conselho Regional de Psicologia - DF</t>
  </si>
  <si>
    <t>QUADRO DEMONSTRATIVO DA EXECUÇÃO ORÇAMENTÁRIA E FINANCEIRA</t>
  </si>
  <si>
    <t>EXERCÍCIO DE 2024</t>
  </si>
  <si>
    <t>RESULTADO FINANCEIRO</t>
  </si>
  <si>
    <t>Proposta</t>
  </si>
  <si>
    <t>Receita</t>
  </si>
  <si>
    <t>Superávit</t>
  </si>
  <si>
    <t>Contas a</t>
  </si>
  <si>
    <t>Mês/Ano</t>
  </si>
  <si>
    <t>Orçamentária</t>
  </si>
  <si>
    <t>Arrecadada</t>
  </si>
  <si>
    <t>Orçamentário</t>
  </si>
  <si>
    <t>Disponível</t>
  </si>
  <si>
    <t>Pagar</t>
  </si>
  <si>
    <t>Financeiro</t>
  </si>
  <si>
    <t>s/PO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</si>
  <si>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</si>
  <si>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</si>
  <si>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</si>
  <si>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</si>
  <si>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</si>
  <si>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</si>
  <si>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</si>
  <si>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</si>
  <si>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</si>
  <si>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</si>
  <si>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</si>
  <si>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</si>
  <si>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TOTAIS</t>
  </si>
  <si>
    <t>Receita Corrrente</t>
  </si>
  <si>
    <t>Despesa Corrente</t>
  </si>
  <si>
    <t>Superávit Primário</t>
  </si>
  <si>
    <t>PREVISTA</t>
  </si>
  <si>
    <t>Receita/Despesa Corrente</t>
  </si>
  <si>
    <t>Conselho Regional de Psicologia DF</t>
  </si>
  <si>
    <t xml:space="preserve">QUADRO COMPARATIVO DA SITUAÇÃO ORÇAMENTÁRIA </t>
  </si>
  <si>
    <t>EXERCÍCIOS 2023/2024</t>
  </si>
  <si>
    <t xml:space="preserve">SITUAÇÃO ORÇAMENTÁRIA </t>
  </si>
  <si>
    <t>SITUAÇÃO ORÇAMENTÁRIA</t>
  </si>
  <si>
    <t>MÊS</t>
  </si>
  <si>
    <t>Apurada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</si>
  <si>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</si>
  <si>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</si>
  <si>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</si>
  <si>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</si>
  <si>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</si>
  <si>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</si>
  <si>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</si>
  <si>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</si>
  <si>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</si>
  <si>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</si>
  <si>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</si>
  <si>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</si>
  <si>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Percentual</t>
  </si>
  <si>
    <t>Pessoal, encargos e benefícios.</t>
  </si>
  <si>
    <t>Cota Parte (CFP)</t>
  </si>
  <si>
    <t>Material de consumo</t>
  </si>
  <si>
    <t>Serviços de Terceiro - PF</t>
  </si>
  <si>
    <t xml:space="preserve">Ajuda de custos/diárias </t>
  </si>
  <si>
    <t>Passagens</t>
  </si>
  <si>
    <t>Fretes</t>
  </si>
  <si>
    <t>Serviços de Terceiro - PJ</t>
  </si>
  <si>
    <t>Impostos e taxas</t>
  </si>
  <si>
    <t>Despesas miúdas</t>
  </si>
  <si>
    <t xml:space="preserve">Demais despesas </t>
  </si>
  <si>
    <t>Despesas bancárias</t>
  </si>
  <si>
    <t>Computadores e sistemas de inf.</t>
  </si>
  <si>
    <t>emprestímo CFP</t>
  </si>
  <si>
    <t>Máquinas e equipamentos</t>
  </si>
  <si>
    <t>Utensílios de copa e cozinha</t>
  </si>
  <si>
    <t>Aparelhos celulares e equip. comunicação</t>
  </si>
  <si>
    <t>Máquinas , motores e aparelhos</t>
  </si>
  <si>
    <t>Computadores e sistemas de informática</t>
  </si>
  <si>
    <t>Equipamento de processamento de dados</t>
  </si>
  <si>
    <t>Total c/Indenização</t>
  </si>
  <si>
    <t>Total sem indenização</t>
  </si>
  <si>
    <t>Receita bruta</t>
  </si>
  <si>
    <t>(-) Cota parte CFP</t>
  </si>
  <si>
    <t>(=) Receita Líquida</t>
  </si>
  <si>
    <t>Despesa com Pessoal (até 11.2024)</t>
  </si>
  <si>
    <t>Percentual da despesa s/receita</t>
  </si>
  <si>
    <t>EXERCÍCIO DE 2023</t>
  </si>
  <si>
    <t>EXERCÍCIOS 2022/2023</t>
  </si>
  <si>
    <t>2023/22</t>
  </si>
  <si>
    <t>2022/23</t>
  </si>
  <si>
    <t>EXERCÍCIO DE 2022</t>
  </si>
  <si>
    <t>* Contas a pagar incluído o empréstimo do CFP</t>
  </si>
  <si>
    <t>EXERCÍCIOS 2021/2022</t>
  </si>
  <si>
    <t>2022/21</t>
  </si>
  <si>
    <t>EXERCÍCIO DE 2021</t>
  </si>
  <si>
    <t>EXERCÍCIOS 2020/2021</t>
  </si>
  <si>
    <t>2021/20</t>
  </si>
  <si>
    <t>EXERCÍCIO DE 2020</t>
  </si>
  <si>
    <t>EXERCÍCIOS 2019/2020</t>
  </si>
  <si>
    <t>2020/19</t>
  </si>
  <si>
    <t>EXERCÍCIO DE 2019</t>
  </si>
  <si>
    <t>EXERCÍCIOS 2017/2018</t>
  </si>
  <si>
    <t>2018/17</t>
  </si>
  <si>
    <t>EXERCÍCIO DE 2018</t>
  </si>
  <si>
    <t>EXERCÍCIOS 2017/2016</t>
  </si>
  <si>
    <t>2017/16</t>
  </si>
  <si>
    <t>EXERCÍCIO DE 2017</t>
  </si>
  <si>
    <t>EXERCÍCIO DE 2016</t>
  </si>
  <si>
    <t>EXERCÍCIOS 2015/2016</t>
  </si>
  <si>
    <t>2016/15</t>
  </si>
  <si>
    <t>Receita Corrente 2015</t>
  </si>
  <si>
    <t>Receita Corrente 2016</t>
  </si>
  <si>
    <t>Superávit Receita corrente</t>
  </si>
  <si>
    <t>EXERCÍCIO DE 2015</t>
  </si>
  <si>
    <t>EXERCÍCIOS 2013/14/2015</t>
  </si>
  <si>
    <t>2015/14</t>
  </si>
  <si>
    <t xml:space="preserve">Exercício </t>
  </si>
  <si>
    <t>EXERCÍCIOS 2012/2013/2014</t>
  </si>
  <si>
    <t>2014/13</t>
  </si>
  <si>
    <t>Receita Arrecadada 2024</t>
  </si>
  <si>
    <t>Proposta Orçamentária 2024</t>
  </si>
  <si>
    <t>Saldo Disponível 2024</t>
  </si>
  <si>
    <t>Contas a Pagar 2024</t>
  </si>
  <si>
    <t>Superávit Financeiro 2024</t>
  </si>
  <si>
    <t>DESPESAS POR CATEGORIA (rubrica) EXERCÍCIO DE 2024</t>
  </si>
  <si>
    <t>RESULTADO</t>
  </si>
  <si>
    <t>Despesa Realizada 2024</t>
  </si>
  <si>
    <t xml:space="preserve">REALIZADO </t>
  </si>
  <si>
    <t>Percentual (%)</t>
  </si>
  <si>
    <t>Diferença Apurada 2023/24</t>
  </si>
  <si>
    <t xml:space="preserve">TOTAL </t>
  </si>
  <si>
    <t>VALOR</t>
  </si>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</sst>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_);_(* \(#,##0\);_(* &quot;-&quot;_);_(@_)"/>
    <numFmt numFmtId="166" formatCode="_(* #,##0.00_);_(* \(#,##0.00\);_(* &quot;-&quot;??_);_(@_)"/>
    <numFmt numFmtId="167" formatCode="_(&quot;R$&quot;* #,##0.00_);_(&quot;R$&quot;* \(#,##0.00\);_(&quot;R$&quot;* &quot;-&quot;??_);_(@_)"/>
    <numFmt numFmtId="168" formatCode="_(* #,##0.00_);_(* \(#,##0.00\);_(* &quot;-&quot;_);_(@_)"/>
    <numFmt numFmtId="169" formatCode="_(* #,##0.000_);_(* \(#,##0.000\);_(* &quot;-&quot;??_);_(@_)"/>
    <numFmt numFmtId="170" formatCode="&quot;R$&quot;\ #,##0.00"/>
    <numFmt numFmtId="171" formatCode="&quot;R$&quot;#,##0.00"/>
    <numFmt numFmtId="172" formatCode="_-[$R$-416]\ * #,##0.00_-;\-[$R$-416]\ * #,##0.00_-;_-[$R$-416]\ * &quot;-&quot;??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0070C0"/>
      <name val="Arial"/>
      <family val="2"/>
    </font>
    <font>
      <b/>
      <sz val="8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9"/>
      <color rgb="FFFF0000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167" fontId="6" fillId="0" borderId="0" applyFont="0" applyFill="0" applyBorder="0" applyAlignment="0" applyProtection="0"/>
    <xf numFmtId="0" fontId="6" fillId="0" borderId="0"/>
    <xf numFmtId="0" fontId="19" fillId="0" borderId="0"/>
    <xf numFmtId="0" fontId="14" fillId="0" borderId="0"/>
    <xf numFmtId="0" fontId="6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8" fillId="0" borderId="0" applyFont="0" applyFill="0" applyBorder="0" applyAlignment="0" applyProtection="0"/>
  </cellStyleXfs>
  <cellXfs count="67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5" xfId="0" applyFont="1" applyBorder="1" applyAlignment="1">
      <alignment horizontal="center"/>
    </xf>
    <xf numFmtId="4" fontId="6" fillId="0" borderId="1" xfId="0" applyNumberFormat="1" applyFont="1" applyBorder="1"/>
    <xf numFmtId="10" fontId="6" fillId="0" borderId="1" xfId="6" applyNumberFormat="1" applyFont="1" applyBorder="1"/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6" fillId="0" borderId="0" xfId="0" applyFont="1"/>
    <xf numFmtId="0" fontId="8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6" xfId="0" applyFont="1" applyBorder="1" applyAlignment="1">
      <alignment horizontal="centerContinuous"/>
    </xf>
    <xf numFmtId="0" fontId="9" fillId="0" borderId="7" xfId="0" applyFont="1" applyBorder="1" applyAlignment="1">
      <alignment horizontal="centerContinuous"/>
    </xf>
    <xf numFmtId="0" fontId="9" fillId="0" borderId="8" xfId="0" applyFont="1" applyBorder="1" applyAlignment="1">
      <alignment horizontal="centerContinuous"/>
    </xf>
    <xf numFmtId="0" fontId="6" fillId="0" borderId="3" xfId="0" applyFont="1" applyBorder="1" applyAlignment="1">
      <alignment horizontal="center"/>
    </xf>
    <xf numFmtId="0" fontId="9" fillId="0" borderId="0" xfId="0" applyFont="1" applyAlignment="1">
      <alignment horizontal="centerContinuous"/>
    </xf>
    <xf numFmtId="0" fontId="0" fillId="0" borderId="9" xfId="0" applyBorder="1" applyAlignment="1">
      <alignment horizontal="center"/>
    </xf>
    <xf numFmtId="0" fontId="2" fillId="0" borderId="1" xfId="0" applyFont="1" applyBorder="1"/>
    <xf numFmtId="166" fontId="0" fillId="0" borderId="0" xfId="12" applyFont="1"/>
    <xf numFmtId="166" fontId="2" fillId="0" borderId="1" xfId="0" applyNumberFormat="1" applyFont="1" applyBorder="1"/>
    <xf numFmtId="10" fontId="2" fillId="0" borderId="1" xfId="6" applyNumberFormat="1" applyFont="1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166" fontId="0" fillId="0" borderId="1" xfId="0" applyNumberFormat="1" applyBorder="1"/>
    <xf numFmtId="166" fontId="1" fillId="0" borderId="1" xfId="12" applyBorder="1"/>
    <xf numFmtId="166" fontId="1" fillId="0" borderId="1" xfId="12" applyFont="1" applyBorder="1"/>
    <xf numFmtId="10" fontId="1" fillId="0" borderId="1" xfId="6" applyNumberFormat="1" applyBorder="1"/>
    <xf numFmtId="0" fontId="6" fillId="0" borderId="12" xfId="0" applyFont="1" applyBorder="1" applyAlignment="1">
      <alignment horizontal="center"/>
    </xf>
    <xf numFmtId="4" fontId="6" fillId="0" borderId="4" xfId="0" applyNumberFormat="1" applyFont="1" applyBorder="1"/>
    <xf numFmtId="0" fontId="0" fillId="0" borderId="6" xfId="0" applyBorder="1" applyAlignment="1">
      <alignment horizontal="center"/>
    </xf>
    <xf numFmtId="17" fontId="0" fillId="0" borderId="13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6" fontId="0" fillId="0" borderId="0" xfId="0" applyNumberFormat="1"/>
    <xf numFmtId="17" fontId="6" fillId="0" borderId="13" xfId="0" applyNumberFormat="1" applyFont="1" applyBorder="1" applyAlignment="1">
      <alignment horizontal="center"/>
    </xf>
    <xf numFmtId="0" fontId="6" fillId="0" borderId="15" xfId="0" applyFont="1" applyBorder="1"/>
    <xf numFmtId="0" fontId="6" fillId="0" borderId="16" xfId="0" applyFont="1" applyBorder="1" applyAlignment="1">
      <alignment horizontal="center"/>
    </xf>
    <xf numFmtId="0" fontId="6" fillId="0" borderId="17" xfId="0" applyFont="1" applyBorder="1"/>
    <xf numFmtId="0" fontId="6" fillId="0" borderId="18" xfId="0" applyFont="1" applyBorder="1"/>
    <xf numFmtId="17" fontId="6" fillId="0" borderId="19" xfId="0" applyNumberFormat="1" applyFont="1" applyBorder="1" applyAlignment="1">
      <alignment horizontal="center"/>
    </xf>
    <xf numFmtId="0" fontId="6" fillId="0" borderId="20" xfId="0" applyFont="1" applyBorder="1"/>
    <xf numFmtId="4" fontId="6" fillId="0" borderId="13" xfId="0" applyNumberFormat="1" applyFont="1" applyBorder="1"/>
    <xf numFmtId="0" fontId="6" fillId="0" borderId="6" xfId="0" applyFont="1" applyBorder="1"/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4" fontId="6" fillId="0" borderId="19" xfId="0" applyNumberFormat="1" applyFont="1" applyBorder="1"/>
    <xf numFmtId="168" fontId="6" fillId="0" borderId="19" xfId="9" applyNumberFormat="1" applyFont="1" applyBorder="1"/>
    <xf numFmtId="10" fontId="6" fillId="0" borderId="13" xfId="6" applyNumberFormat="1" applyFont="1" applyBorder="1"/>
    <xf numFmtId="10" fontId="6" fillId="0" borderId="21" xfId="6" applyNumberFormat="1" applyFont="1" applyBorder="1"/>
    <xf numFmtId="10" fontId="6" fillId="0" borderId="22" xfId="6" applyNumberFormat="1" applyFont="1" applyBorder="1"/>
    <xf numFmtId="10" fontId="6" fillId="0" borderId="23" xfId="6" applyNumberFormat="1" applyFont="1" applyBorder="1"/>
    <xf numFmtId="0" fontId="6" fillId="0" borderId="8" xfId="0" applyFont="1" applyBorder="1"/>
    <xf numFmtId="4" fontId="6" fillId="0" borderId="24" xfId="0" applyNumberFormat="1" applyFont="1" applyBorder="1"/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4" fontId="6" fillId="0" borderId="27" xfId="0" applyNumberFormat="1" applyFont="1" applyBorder="1"/>
    <xf numFmtId="168" fontId="6" fillId="0" borderId="27" xfId="9" applyNumberFormat="1" applyFont="1" applyBorder="1"/>
    <xf numFmtId="0" fontId="6" fillId="0" borderId="28" xfId="0" applyFont="1" applyBorder="1"/>
    <xf numFmtId="4" fontId="6" fillId="0" borderId="22" xfId="0" applyNumberFormat="1" applyFont="1" applyBorder="1"/>
    <xf numFmtId="4" fontId="6" fillId="0" borderId="23" xfId="0" applyNumberFormat="1" applyFont="1" applyBorder="1"/>
    <xf numFmtId="168" fontId="6" fillId="0" borderId="1" xfId="9" applyNumberFormat="1" applyFont="1" applyBorder="1"/>
    <xf numFmtId="168" fontId="6" fillId="0" borderId="1" xfId="6" applyNumberFormat="1" applyFont="1" applyBorder="1"/>
    <xf numFmtId="0" fontId="2" fillId="0" borderId="29" xfId="0" applyFont="1" applyBorder="1" applyAlignment="1">
      <alignment horizontal="center"/>
    </xf>
    <xf numFmtId="4" fontId="2" fillId="0" borderId="30" xfId="0" applyNumberFormat="1" applyFont="1" applyBorder="1"/>
    <xf numFmtId="4" fontId="2" fillId="0" borderId="29" xfId="0" applyNumberFormat="1" applyFont="1" applyBorder="1"/>
    <xf numFmtId="10" fontId="2" fillId="0" borderId="30" xfId="6" applyNumberFormat="1" applyFont="1" applyFill="1" applyBorder="1"/>
    <xf numFmtId="10" fontId="2" fillId="0" borderId="31" xfId="6" applyNumberFormat="1" applyFont="1" applyFill="1" applyBorder="1"/>
    <xf numFmtId="4" fontId="2" fillId="0" borderId="32" xfId="0" applyNumberFormat="1" applyFont="1" applyBorder="1"/>
    <xf numFmtId="168" fontId="0" fillId="0" borderId="0" xfId="0" applyNumberFormat="1"/>
    <xf numFmtId="168" fontId="6" fillId="0" borderId="4" xfId="6" applyNumberFormat="1" applyFont="1" applyBorder="1"/>
    <xf numFmtId="0" fontId="20" fillId="0" borderId="33" xfId="0" applyFont="1" applyBorder="1" applyAlignment="1">
      <alignment horizontal="centerContinuous"/>
    </xf>
    <xf numFmtId="0" fontId="21" fillId="0" borderId="33" xfId="0" applyFont="1" applyBorder="1" applyAlignment="1">
      <alignment horizontal="centerContinuous"/>
    </xf>
    <xf numFmtId="0" fontId="22" fillId="0" borderId="34" xfId="0" applyFont="1" applyBorder="1" applyAlignment="1">
      <alignment horizontal="centerContinuous"/>
    </xf>
    <xf numFmtId="0" fontId="23" fillId="0" borderId="33" xfId="0" applyFont="1" applyBorder="1" applyAlignment="1">
      <alignment horizontal="centerContinuous"/>
    </xf>
    <xf numFmtId="0" fontId="24" fillId="0" borderId="34" xfId="0" applyFont="1" applyBorder="1" applyAlignment="1">
      <alignment horizontal="centerContinuous"/>
    </xf>
    <xf numFmtId="0" fontId="23" fillId="0" borderId="34" xfId="0" applyFont="1" applyBorder="1" applyAlignment="1">
      <alignment horizontal="centerContinuous"/>
    </xf>
    <xf numFmtId="4" fontId="6" fillId="0" borderId="35" xfId="0" applyNumberFormat="1" applyFont="1" applyBorder="1"/>
    <xf numFmtId="168" fontId="6" fillId="0" borderId="24" xfId="9" applyNumberFormat="1" applyFont="1" applyBorder="1"/>
    <xf numFmtId="0" fontId="6" fillId="0" borderId="36" xfId="0" applyFont="1" applyBorder="1"/>
    <xf numFmtId="0" fontId="6" fillId="0" borderId="37" xfId="0" applyFont="1" applyBorder="1" applyAlignment="1">
      <alignment horizontal="center"/>
    </xf>
    <xf numFmtId="10" fontId="6" fillId="0" borderId="4" xfId="6" applyNumberFormat="1" applyFont="1" applyBorder="1"/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/>
    <xf numFmtId="0" fontId="9" fillId="0" borderId="0" xfId="0" applyFont="1" applyAlignment="1">
      <alignment horizontal="center"/>
    </xf>
    <xf numFmtId="0" fontId="3" fillId="0" borderId="0" xfId="0" applyFont="1"/>
    <xf numFmtId="166" fontId="0" fillId="0" borderId="0" xfId="12" applyFont="1" applyFill="1" applyBorder="1"/>
    <xf numFmtId="0" fontId="9" fillId="0" borderId="0" xfId="0" applyFont="1"/>
    <xf numFmtId="43" fontId="0" fillId="0" borderId="0" xfId="0" applyNumberFormat="1"/>
    <xf numFmtId="0" fontId="25" fillId="0" borderId="0" xfId="0" applyFont="1"/>
    <xf numFmtId="4" fontId="24" fillId="0" borderId="29" xfId="0" applyNumberFormat="1" applyFont="1" applyBorder="1"/>
    <xf numFmtId="0" fontId="6" fillId="0" borderId="44" xfId="0" applyFont="1" applyBorder="1" applyAlignment="1">
      <alignment horizontal="center"/>
    </xf>
    <xf numFmtId="0" fontId="26" fillId="0" borderId="44" xfId="0" applyFont="1" applyBorder="1" applyAlignment="1">
      <alignment horizontal="centerContinuous"/>
    </xf>
    <xf numFmtId="0" fontId="6" fillId="0" borderId="3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10" fontId="6" fillId="0" borderId="46" xfId="6" applyNumberFormat="1" applyFont="1" applyBorder="1"/>
    <xf numFmtId="10" fontId="6" fillId="0" borderId="47" xfId="6" applyNumberFormat="1" applyFont="1" applyBorder="1"/>
    <xf numFmtId="0" fontId="6" fillId="0" borderId="2" xfId="0" applyFont="1" applyBorder="1"/>
    <xf numFmtId="168" fontId="6" fillId="0" borderId="2" xfId="6" applyNumberFormat="1" applyFont="1" applyBorder="1"/>
    <xf numFmtId="10" fontId="6" fillId="0" borderId="48" xfId="6" applyNumberFormat="1" applyFont="1" applyBorder="1"/>
    <xf numFmtId="168" fontId="2" fillId="0" borderId="49" xfId="0" applyNumberFormat="1" applyFont="1" applyBorder="1"/>
    <xf numFmtId="166" fontId="24" fillId="0" borderId="30" xfId="12" applyFont="1" applyBorder="1"/>
    <xf numFmtId="166" fontId="24" fillId="0" borderId="29" xfId="12" applyFont="1" applyBorder="1"/>
    <xf numFmtId="0" fontId="2" fillId="0" borderId="30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168" fontId="6" fillId="0" borderId="0" xfId="0" applyNumberFormat="1" applyFont="1"/>
    <xf numFmtId="0" fontId="6" fillId="2" borderId="5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168" fontId="2" fillId="2" borderId="45" xfId="6" applyNumberFormat="1" applyFont="1" applyFill="1" applyBorder="1"/>
    <xf numFmtId="10" fontId="2" fillId="2" borderId="51" xfId="6" applyNumberFormat="1" applyFont="1" applyFill="1" applyBorder="1"/>
    <xf numFmtId="4" fontId="2" fillId="2" borderId="29" xfId="0" applyNumberFormat="1" applyFont="1" applyFill="1" applyBorder="1"/>
    <xf numFmtId="10" fontId="2" fillId="2" borderId="31" xfId="6" applyNumberFormat="1" applyFont="1" applyFill="1" applyBorder="1"/>
    <xf numFmtId="168" fontId="2" fillId="2" borderId="49" xfId="6" applyNumberFormat="1" applyFont="1" applyFill="1" applyBorder="1"/>
    <xf numFmtId="10" fontId="2" fillId="2" borderId="49" xfId="6" applyNumberFormat="1" applyFont="1" applyFill="1" applyBorder="1"/>
    <xf numFmtId="0" fontId="2" fillId="2" borderId="5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vertical="center"/>
    </xf>
    <xf numFmtId="168" fontId="2" fillId="2" borderId="1" xfId="6" applyNumberFormat="1" applyFont="1" applyFill="1" applyBorder="1" applyAlignment="1">
      <alignment vertical="center"/>
    </xf>
    <xf numFmtId="10" fontId="2" fillId="2" borderId="1" xfId="6" applyNumberFormat="1" applyFont="1" applyFill="1" applyBorder="1" applyAlignment="1">
      <alignment vertical="center"/>
    </xf>
    <xf numFmtId="168" fontId="2" fillId="2" borderId="53" xfId="6" applyNumberFormat="1" applyFont="1" applyFill="1" applyBorder="1" applyAlignment="1">
      <alignment vertical="center"/>
    </xf>
    <xf numFmtId="10" fontId="2" fillId="2" borderId="1" xfId="6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10" fontId="6" fillId="0" borderId="0" xfId="0" applyNumberFormat="1" applyFont="1"/>
    <xf numFmtId="170" fontId="6" fillId="0" borderId="0" xfId="0" applyNumberFormat="1" applyFont="1"/>
    <xf numFmtId="0" fontId="6" fillId="3" borderId="19" xfId="2" applyFill="1" applyBorder="1" applyAlignment="1">
      <alignment vertical="center"/>
    </xf>
    <xf numFmtId="166" fontId="6" fillId="0" borderId="35" xfId="13" applyFont="1" applyFill="1" applyBorder="1" applyAlignment="1">
      <alignment vertical="center"/>
    </xf>
    <xf numFmtId="166" fontId="6" fillId="3" borderId="19" xfId="13" applyFont="1" applyFill="1" applyBorder="1" applyAlignment="1">
      <alignment vertical="center"/>
    </xf>
    <xf numFmtId="0" fontId="6" fillId="3" borderId="1" xfId="2" applyFill="1" applyBorder="1" applyAlignment="1">
      <alignment vertical="center"/>
    </xf>
    <xf numFmtId="166" fontId="6" fillId="0" borderId="1" xfId="13" applyFont="1" applyFill="1" applyBorder="1" applyAlignment="1">
      <alignment vertical="center"/>
    </xf>
    <xf numFmtId="166" fontId="6" fillId="3" borderId="1" xfId="13" applyFont="1" applyFill="1" applyBorder="1" applyAlignment="1">
      <alignment vertical="center"/>
    </xf>
    <xf numFmtId="166" fontId="6" fillId="0" borderId="1" xfId="13" applyFont="1" applyBorder="1" applyAlignment="1">
      <alignment vertical="center"/>
    </xf>
    <xf numFmtId="10" fontId="6" fillId="3" borderId="1" xfId="13" applyNumberFormat="1" applyFont="1" applyFill="1" applyBorder="1" applyAlignment="1">
      <alignment vertical="center"/>
    </xf>
    <xf numFmtId="0" fontId="6" fillId="3" borderId="2" xfId="2" applyFill="1" applyBorder="1" applyAlignment="1">
      <alignment vertical="center"/>
    </xf>
    <xf numFmtId="166" fontId="6" fillId="3" borderId="2" xfId="13" applyFont="1" applyFill="1" applyBorder="1" applyAlignment="1">
      <alignment vertical="center"/>
    </xf>
    <xf numFmtId="166" fontId="6" fillId="0" borderId="2" xfId="13" applyFont="1" applyBorder="1" applyAlignment="1">
      <alignment vertical="center"/>
    </xf>
    <xf numFmtId="166" fontId="6" fillId="3" borderId="15" xfId="13" applyFont="1" applyFill="1" applyBorder="1" applyAlignment="1">
      <alignment vertical="center"/>
    </xf>
    <xf numFmtId="166" fontId="6" fillId="0" borderId="19" xfId="13" applyFont="1" applyFill="1" applyBorder="1" applyAlignment="1">
      <alignment vertical="center"/>
    </xf>
    <xf numFmtId="0" fontId="6" fillId="3" borderId="24" xfId="2" applyFill="1" applyBorder="1" applyAlignment="1">
      <alignment vertical="center"/>
    </xf>
    <xf numFmtId="166" fontId="6" fillId="0" borderId="24" xfId="13" applyFont="1" applyFill="1" applyBorder="1" applyAlignment="1">
      <alignment vertical="center"/>
    </xf>
    <xf numFmtId="166" fontId="6" fillId="3" borderId="24" xfId="13" applyFont="1" applyFill="1" applyBorder="1" applyAlignment="1">
      <alignment vertical="center"/>
    </xf>
    <xf numFmtId="0" fontId="6" fillId="3" borderId="20" xfId="2" applyFill="1" applyBorder="1" applyAlignment="1">
      <alignment vertical="center"/>
    </xf>
    <xf numFmtId="166" fontId="6" fillId="0" borderId="20" xfId="13" applyFont="1" applyFill="1" applyBorder="1" applyAlignment="1">
      <alignment vertical="center"/>
    </xf>
    <xf numFmtId="166" fontId="6" fillId="3" borderId="20" xfId="13" applyFont="1" applyFill="1" applyBorder="1" applyAlignment="1">
      <alignment vertical="center"/>
    </xf>
    <xf numFmtId="0" fontId="6" fillId="3" borderId="15" xfId="2" applyFill="1" applyBorder="1" applyAlignment="1">
      <alignment horizontal="left" vertical="top"/>
    </xf>
    <xf numFmtId="166" fontId="6" fillId="3" borderId="35" xfId="13" applyFont="1" applyFill="1" applyBorder="1" applyAlignment="1">
      <alignment vertical="center"/>
    </xf>
    <xf numFmtId="0" fontId="6" fillId="3" borderId="36" xfId="2" applyFill="1" applyBorder="1" applyAlignment="1">
      <alignment vertical="center"/>
    </xf>
    <xf numFmtId="166" fontId="6" fillId="3" borderId="36" xfId="13" applyFont="1" applyFill="1" applyBorder="1" applyAlignment="1">
      <alignment vertical="center"/>
    </xf>
    <xf numFmtId="0" fontId="6" fillId="3" borderId="15" xfId="2" applyFill="1" applyBorder="1" applyAlignment="1">
      <alignment horizontal="left"/>
    </xf>
    <xf numFmtId="166" fontId="6" fillId="3" borderId="26" xfId="13" applyFont="1" applyFill="1" applyBorder="1" applyAlignment="1">
      <alignment vertical="center"/>
    </xf>
    <xf numFmtId="0" fontId="6" fillId="3" borderId="15" xfId="2" applyFill="1" applyBorder="1" applyAlignment="1">
      <alignment vertical="center"/>
    </xf>
    <xf numFmtId="166" fontId="6" fillId="0" borderId="15" xfId="13" applyFont="1" applyFill="1" applyBorder="1" applyAlignment="1">
      <alignment vertical="center"/>
    </xf>
    <xf numFmtId="0" fontId="6" fillId="3" borderId="54" xfId="2" applyFill="1" applyBorder="1" applyAlignment="1">
      <alignment horizontal="left" vertical="top"/>
    </xf>
    <xf numFmtId="166" fontId="2" fillId="3" borderId="12" xfId="13" applyFont="1" applyFill="1" applyBorder="1" applyAlignment="1">
      <alignment vertical="center"/>
    </xf>
    <xf numFmtId="166" fontId="6" fillId="3" borderId="3" xfId="13" applyFont="1" applyFill="1" applyBorder="1" applyAlignment="1">
      <alignment vertical="center"/>
    </xf>
    <xf numFmtId="0" fontId="6" fillId="3" borderId="35" xfId="2" applyFill="1" applyBorder="1" applyAlignment="1">
      <alignment vertical="center"/>
    </xf>
    <xf numFmtId="166" fontId="6" fillId="0" borderId="36" xfId="13" applyFont="1" applyFill="1" applyBorder="1" applyAlignment="1">
      <alignment vertical="center"/>
    </xf>
    <xf numFmtId="166" fontId="6" fillId="3" borderId="18" xfId="13" applyFont="1" applyFill="1" applyBorder="1" applyAlignment="1">
      <alignment vertical="center"/>
    </xf>
    <xf numFmtId="0" fontId="6" fillId="3" borderId="3" xfId="2" applyFill="1" applyBorder="1" applyAlignment="1">
      <alignment vertical="center"/>
    </xf>
    <xf numFmtId="166" fontId="6" fillId="0" borderId="3" xfId="13" applyFont="1" applyFill="1" applyBorder="1" applyAlignment="1">
      <alignment vertical="center"/>
    </xf>
    <xf numFmtId="0" fontId="6" fillId="3" borderId="24" xfId="2" applyFill="1" applyBorder="1" applyAlignment="1">
      <alignment horizontal="left" vertical="center"/>
    </xf>
    <xf numFmtId="0" fontId="2" fillId="4" borderId="52" xfId="2" applyFont="1" applyFill="1" applyBorder="1" applyAlignment="1">
      <alignment horizontal="center" vertical="center"/>
    </xf>
    <xf numFmtId="166" fontId="2" fillId="4" borderId="49" xfId="13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166" fontId="2" fillId="0" borderId="0" xfId="13" applyFont="1" applyFill="1" applyBorder="1" applyAlignment="1">
      <alignment horizontal="center" vertical="center"/>
    </xf>
    <xf numFmtId="10" fontId="2" fillId="0" borderId="0" xfId="13" applyNumberFormat="1" applyFont="1" applyFill="1" applyBorder="1" applyAlignment="1">
      <alignment vertical="center"/>
    </xf>
    <xf numFmtId="4" fontId="2" fillId="0" borderId="0" xfId="7" applyNumberFormat="1" applyFont="1" applyFill="1" applyBorder="1" applyAlignment="1">
      <alignment vertical="center"/>
    </xf>
    <xf numFmtId="0" fontId="2" fillId="5" borderId="29" xfId="2" applyFont="1" applyFill="1" applyBorder="1" applyAlignment="1">
      <alignment horizontal="center" vertical="center"/>
    </xf>
    <xf numFmtId="166" fontId="2" fillId="5" borderId="29" xfId="2" applyNumberFormat="1" applyFont="1" applyFill="1" applyBorder="1" applyAlignment="1">
      <alignment horizontal="center" vertical="center"/>
    </xf>
    <xf numFmtId="166" fontId="2" fillId="5" borderId="29" xfId="13" applyFont="1" applyFill="1" applyBorder="1" applyAlignment="1">
      <alignment vertical="center"/>
    </xf>
    <xf numFmtId="166" fontId="2" fillId="5" borderId="29" xfId="13" applyFont="1" applyFill="1" applyBorder="1" applyAlignment="1">
      <alignment horizontal="center" vertical="center"/>
    </xf>
    <xf numFmtId="43" fontId="2" fillId="5" borderId="29" xfId="13" applyNumberFormat="1" applyFont="1" applyFill="1" applyBorder="1" applyAlignment="1">
      <alignment vertical="center"/>
    </xf>
    <xf numFmtId="0" fontId="2" fillId="5" borderId="29" xfId="2" applyFont="1" applyFill="1" applyBorder="1" applyAlignment="1">
      <alignment vertical="center"/>
    </xf>
    <xf numFmtId="166" fontId="2" fillId="5" borderId="52" xfId="0" applyNumberFormat="1" applyFont="1" applyFill="1" applyBorder="1"/>
    <xf numFmtId="166" fontId="2" fillId="5" borderId="49" xfId="13" applyFont="1" applyFill="1" applyBorder="1" applyAlignment="1">
      <alignment vertical="center"/>
    </xf>
    <xf numFmtId="0" fontId="2" fillId="5" borderId="17" xfId="2" applyFont="1" applyFill="1" applyBorder="1" applyAlignment="1">
      <alignment horizontal="center" vertical="center"/>
    </xf>
    <xf numFmtId="166" fontId="2" fillId="5" borderId="17" xfId="13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170" fontId="3" fillId="0" borderId="19" xfId="12" applyNumberFormat="1" applyFont="1" applyFill="1" applyBorder="1" applyAlignment="1"/>
    <xf numFmtId="170" fontId="3" fillId="0" borderId="19" xfId="12" applyNumberFormat="1" applyFont="1" applyFill="1" applyBorder="1" applyAlignment="1">
      <alignment vertical="center"/>
    </xf>
    <xf numFmtId="170" fontId="3" fillId="0" borderId="41" xfId="12" applyNumberFormat="1" applyFont="1" applyFill="1" applyBorder="1" applyAlignment="1">
      <alignment vertical="center"/>
    </xf>
    <xf numFmtId="170" fontId="3" fillId="0" borderId="49" xfId="12" applyNumberFormat="1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center"/>
    </xf>
    <xf numFmtId="170" fontId="3" fillId="0" borderId="24" xfId="12" applyNumberFormat="1" applyFont="1" applyFill="1" applyBorder="1" applyAlignment="1"/>
    <xf numFmtId="170" fontId="3" fillId="0" borderId="42" xfId="12" applyNumberFormat="1" applyFont="1" applyFill="1" applyBorder="1" applyAlignment="1">
      <alignment vertical="center"/>
    </xf>
    <xf numFmtId="170" fontId="3" fillId="0" borderId="20" xfId="12" applyNumberFormat="1" applyFont="1" applyFill="1" applyBorder="1" applyAlignment="1"/>
    <xf numFmtId="170" fontId="3" fillId="0" borderId="43" xfId="12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0" fontId="3" fillId="0" borderId="4" xfId="12" applyNumberFormat="1" applyFont="1" applyFill="1" applyBorder="1" applyAlignment="1"/>
    <xf numFmtId="170" fontId="3" fillId="0" borderId="4" xfId="12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70" fontId="3" fillId="0" borderId="1" xfId="12" applyNumberFormat="1" applyFont="1" applyFill="1" applyBorder="1" applyAlignment="1"/>
    <xf numFmtId="170" fontId="3" fillId="0" borderId="1" xfId="12" applyNumberFormat="1" applyFont="1" applyFill="1" applyBorder="1" applyAlignment="1">
      <alignment vertical="center"/>
    </xf>
    <xf numFmtId="170" fontId="3" fillId="0" borderId="6" xfId="12" applyNumberFormat="1" applyFont="1" applyFill="1" applyBorder="1" applyAlignment="1"/>
    <xf numFmtId="170" fontId="3" fillId="0" borderId="7" xfId="12" applyNumberFormat="1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center"/>
    </xf>
    <xf numFmtId="170" fontId="3" fillId="0" borderId="2" xfId="12" applyNumberFormat="1" applyFont="1" applyFill="1" applyBorder="1" applyAlignment="1"/>
    <xf numFmtId="170" fontId="3" fillId="0" borderId="2" xfId="12" applyNumberFormat="1" applyFont="1" applyFill="1" applyBorder="1" applyAlignment="1">
      <alignment vertical="center"/>
    </xf>
    <xf numFmtId="170" fontId="3" fillId="0" borderId="9" xfId="12" applyNumberFormat="1" applyFont="1" applyFill="1" applyBorder="1" applyAlignment="1"/>
    <xf numFmtId="0" fontId="3" fillId="0" borderId="5" xfId="0" applyFont="1" applyBorder="1" applyAlignment="1">
      <alignment horizontal="left" vertical="top"/>
    </xf>
    <xf numFmtId="170" fontId="5" fillId="0" borderId="3" xfId="12" applyNumberFormat="1" applyFont="1" applyFill="1" applyBorder="1" applyAlignment="1">
      <alignment vertical="center"/>
    </xf>
    <xf numFmtId="170" fontId="3" fillId="0" borderId="3" xfId="12" applyNumberFormat="1" applyFont="1" applyFill="1" applyBorder="1" applyAlignment="1">
      <alignment vertical="center"/>
    </xf>
    <xf numFmtId="170" fontId="3" fillId="0" borderId="3" xfId="12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70" fontId="3" fillId="0" borderId="5" xfId="12" applyNumberFormat="1" applyFont="1" applyFill="1" applyBorder="1" applyAlignment="1"/>
    <xf numFmtId="170" fontId="3" fillId="0" borderId="1" xfId="12" applyNumberFormat="1" applyFont="1" applyFill="1" applyBorder="1" applyAlignment="1">
      <alignment horizontal="center" vertical="center"/>
    </xf>
    <xf numFmtId="4" fontId="24" fillId="0" borderId="0" xfId="0" applyNumberFormat="1" applyFont="1"/>
    <xf numFmtId="0" fontId="2" fillId="0" borderId="0" xfId="0" applyFont="1" applyAlignment="1">
      <alignment horizontal="center"/>
    </xf>
    <xf numFmtId="166" fontId="24" fillId="0" borderId="0" xfId="12" applyFont="1" applyFill="1" applyBorder="1"/>
    <xf numFmtId="4" fontId="2" fillId="0" borderId="0" xfId="0" applyNumberFormat="1" applyFont="1"/>
    <xf numFmtId="10" fontId="2" fillId="0" borderId="0" xfId="6" applyNumberFormat="1" applyFont="1" applyFill="1" applyBorder="1"/>
    <xf numFmtId="0" fontId="9" fillId="0" borderId="0" xfId="4" applyFont="1"/>
    <xf numFmtId="0" fontId="3" fillId="0" borderId="0" xfId="4" applyFont="1"/>
    <xf numFmtId="0" fontId="5" fillId="0" borderId="0" xfId="4" applyFont="1" applyAlignment="1">
      <alignment horizontal="centerContinuous"/>
    </xf>
    <xf numFmtId="0" fontId="3" fillId="0" borderId="0" xfId="4" applyFont="1" applyAlignment="1">
      <alignment horizontal="centerContinuous"/>
    </xf>
    <xf numFmtId="0" fontId="14" fillId="0" borderId="0" xfId="4" applyAlignment="1">
      <alignment horizontal="centerContinuous"/>
    </xf>
    <xf numFmtId="0" fontId="14" fillId="0" borderId="0" xfId="4"/>
    <xf numFmtId="170" fontId="0" fillId="0" borderId="0" xfId="0" applyNumberFormat="1"/>
    <xf numFmtId="0" fontId="5" fillId="6" borderId="32" xfId="0" applyFont="1" applyFill="1" applyBorder="1" applyAlignment="1">
      <alignment horizontal="center" vertical="center"/>
    </xf>
    <xf numFmtId="170" fontId="5" fillId="6" borderId="49" xfId="0" applyNumberFormat="1" applyFont="1" applyFill="1" applyBorder="1" applyAlignment="1">
      <alignment wrapText="1"/>
    </xf>
    <xf numFmtId="170" fontId="5" fillId="6" borderId="49" xfId="12" applyNumberFormat="1" applyFont="1" applyFill="1" applyBorder="1" applyAlignment="1">
      <alignment vertical="center"/>
    </xf>
    <xf numFmtId="170" fontId="5" fillId="6" borderId="49" xfId="1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0" fontId="5" fillId="0" borderId="0" xfId="0" applyNumberFormat="1" applyFont="1" applyAlignment="1">
      <alignment wrapText="1"/>
    </xf>
    <xf numFmtId="170" fontId="5" fillId="0" borderId="0" xfId="12" applyNumberFormat="1" applyFont="1" applyFill="1" applyBorder="1" applyAlignment="1">
      <alignment vertical="center"/>
    </xf>
    <xf numFmtId="170" fontId="5" fillId="0" borderId="0" xfId="12" applyNumberFormat="1" applyFont="1" applyFill="1" applyBorder="1" applyAlignment="1">
      <alignment horizontal="center" vertical="center" wrapText="1"/>
    </xf>
    <xf numFmtId="170" fontId="3" fillId="0" borderId="0" xfId="0" applyNumberFormat="1" applyFont="1"/>
    <xf numFmtId="44" fontId="3" fillId="0" borderId="41" xfId="12" applyNumberFormat="1" applyFont="1" applyFill="1" applyBorder="1" applyAlignment="1">
      <alignment vertical="center"/>
    </xf>
    <xf numFmtId="44" fontId="3" fillId="0" borderId="42" xfId="12" applyNumberFormat="1" applyFont="1" applyFill="1" applyBorder="1" applyAlignment="1">
      <alignment vertical="center"/>
    </xf>
    <xf numFmtId="44" fontId="3" fillId="0" borderId="43" xfId="12" applyNumberFormat="1" applyFont="1" applyFill="1" applyBorder="1" applyAlignment="1">
      <alignment vertical="center"/>
    </xf>
    <xf numFmtId="10" fontId="0" fillId="0" borderId="0" xfId="0" applyNumberFormat="1"/>
    <xf numFmtId="10" fontId="0" fillId="0" borderId="0" xfId="12" applyNumberFormat="1" applyFont="1"/>
    <xf numFmtId="4" fontId="0" fillId="0" borderId="0" xfId="0" applyNumberFormat="1"/>
    <xf numFmtId="166" fontId="12" fillId="3" borderId="18" xfId="13" applyFont="1" applyFill="1" applyBorder="1" applyAlignment="1">
      <alignment horizontal="center" vertical="center"/>
    </xf>
    <xf numFmtId="0" fontId="4" fillId="0" borderId="0" xfId="0" applyFont="1"/>
    <xf numFmtId="168" fontId="4" fillId="0" borderId="0" xfId="0" applyNumberFormat="1" applyFont="1"/>
    <xf numFmtId="0" fontId="4" fillId="7" borderId="32" xfId="0" applyFont="1" applyFill="1" applyBorder="1"/>
    <xf numFmtId="0" fontId="4" fillId="7" borderId="30" xfId="0" applyFont="1" applyFill="1" applyBorder="1"/>
    <xf numFmtId="166" fontId="6" fillId="0" borderId="2" xfId="13" applyFont="1" applyFill="1" applyBorder="1" applyAlignment="1">
      <alignment vertical="center"/>
    </xf>
    <xf numFmtId="166" fontId="6" fillId="0" borderId="15" xfId="2" applyNumberFormat="1" applyBorder="1" applyAlignment="1">
      <alignment horizontal="center" vertical="center"/>
    </xf>
    <xf numFmtId="166" fontId="6" fillId="0" borderId="55" xfId="13" applyFont="1" applyFill="1" applyBorder="1" applyAlignment="1">
      <alignment vertical="center"/>
    </xf>
    <xf numFmtId="170" fontId="3" fillId="0" borderId="1" xfId="12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5" fillId="8" borderId="32" xfId="0" applyFont="1" applyFill="1" applyBorder="1" applyAlignment="1">
      <alignment horizontal="center" vertical="center"/>
    </xf>
    <xf numFmtId="170" fontId="5" fillId="8" borderId="49" xfId="0" applyNumberFormat="1" applyFont="1" applyFill="1" applyBorder="1" applyAlignment="1">
      <alignment wrapText="1"/>
    </xf>
    <xf numFmtId="170" fontId="5" fillId="8" borderId="49" xfId="12" applyNumberFormat="1" applyFont="1" applyFill="1" applyBorder="1" applyAlignment="1">
      <alignment vertical="center"/>
    </xf>
    <xf numFmtId="0" fontId="5" fillId="8" borderId="37" xfId="0" applyFont="1" applyFill="1" applyBorder="1" applyAlignment="1">
      <alignment horizontal="center" vertical="center"/>
    </xf>
    <xf numFmtId="170" fontId="5" fillId="8" borderId="56" xfId="0" applyNumberFormat="1" applyFont="1" applyFill="1" applyBorder="1" applyAlignment="1">
      <alignment wrapText="1"/>
    </xf>
    <xf numFmtId="170" fontId="5" fillId="8" borderId="56" xfId="12" applyNumberFormat="1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170" fontId="3" fillId="8" borderId="1" xfId="12" applyNumberFormat="1" applyFont="1" applyFill="1" applyBorder="1" applyAlignment="1"/>
    <xf numFmtId="170" fontId="5" fillId="8" borderId="1" xfId="12" applyNumberFormat="1" applyFont="1" applyFill="1" applyBorder="1" applyAlignment="1">
      <alignment vertical="center"/>
    </xf>
    <xf numFmtId="170" fontId="5" fillId="8" borderId="1" xfId="12" applyNumberFormat="1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170" fontId="5" fillId="8" borderId="57" xfId="0" applyNumberFormat="1" applyFont="1" applyFill="1" applyBorder="1" applyAlignment="1">
      <alignment wrapText="1"/>
    </xf>
    <xf numFmtId="170" fontId="5" fillId="8" borderId="57" xfId="12" applyNumberFormat="1" applyFont="1" applyFill="1" applyBorder="1" applyAlignment="1">
      <alignment vertical="center"/>
    </xf>
    <xf numFmtId="170" fontId="5" fillId="8" borderId="57" xfId="12" applyNumberFormat="1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vertical="center"/>
    </xf>
    <xf numFmtId="170" fontId="5" fillId="6" borderId="15" xfId="12" applyNumberFormat="1" applyFont="1" applyFill="1" applyBorder="1" applyAlignment="1"/>
    <xf numFmtId="170" fontId="5" fillId="6" borderId="39" xfId="12" applyNumberFormat="1" applyFont="1" applyFill="1" applyBorder="1" applyAlignment="1"/>
    <xf numFmtId="0" fontId="3" fillId="0" borderId="53" xfId="0" applyFont="1" applyBorder="1"/>
    <xf numFmtId="170" fontId="5" fillId="9" borderId="56" xfId="12" applyNumberFormat="1" applyFont="1" applyFill="1" applyBorder="1" applyAlignment="1">
      <alignment horizontal="center" vertical="center"/>
    </xf>
    <xf numFmtId="4" fontId="6" fillId="0" borderId="19" xfId="0" applyNumberFormat="1" applyFont="1" applyBorder="1" applyAlignment="1">
      <alignment horizontal="center"/>
    </xf>
    <xf numFmtId="168" fontId="6" fillId="0" borderId="19" xfId="9" applyNumberFormat="1" applyFont="1" applyBorder="1" applyAlignment="1">
      <alignment horizontal="center"/>
    </xf>
    <xf numFmtId="4" fontId="6" fillId="0" borderId="13" xfId="0" applyNumberFormat="1" applyFont="1" applyBorder="1" applyAlignment="1">
      <alignment horizontal="center"/>
    </xf>
    <xf numFmtId="4" fontId="6" fillId="0" borderId="35" xfId="0" applyNumberFormat="1" applyFont="1" applyBorder="1" applyAlignment="1">
      <alignment horizontal="center"/>
    </xf>
    <xf numFmtId="10" fontId="6" fillId="0" borderId="13" xfId="6" applyNumberFormat="1" applyFont="1" applyBorder="1" applyAlignment="1">
      <alignment horizontal="center"/>
    </xf>
    <xf numFmtId="10" fontId="6" fillId="0" borderId="22" xfId="6" applyNumberFormat="1" applyFont="1" applyBorder="1" applyAlignment="1">
      <alignment horizontal="center"/>
    </xf>
    <xf numFmtId="4" fontId="6" fillId="0" borderId="22" xfId="0" applyNumberFormat="1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10" fontId="6" fillId="0" borderId="21" xfId="6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4" fontId="6" fillId="0" borderId="23" xfId="0" applyNumberFormat="1" applyFont="1" applyBorder="1" applyAlignment="1">
      <alignment horizontal="center"/>
    </xf>
    <xf numFmtId="168" fontId="6" fillId="0" borderId="27" xfId="9" applyNumberFormat="1" applyFont="1" applyBorder="1" applyAlignment="1">
      <alignment horizontal="center"/>
    </xf>
    <xf numFmtId="168" fontId="6" fillId="0" borderId="24" xfId="9" applyNumberFormat="1" applyFont="1" applyBorder="1" applyAlignment="1">
      <alignment horizontal="center"/>
    </xf>
    <xf numFmtId="10" fontId="6" fillId="0" borderId="23" xfId="6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168" fontId="6" fillId="0" borderId="19" xfId="9" applyNumberFormat="1" applyFont="1" applyBorder="1" applyAlignment="1"/>
    <xf numFmtId="0" fontId="6" fillId="3" borderId="18" xfId="2" applyFill="1" applyBorder="1" applyAlignment="1">
      <alignment vertical="center"/>
    </xf>
    <xf numFmtId="0" fontId="6" fillId="3" borderId="55" xfId="2" applyFill="1" applyBorder="1" applyAlignment="1">
      <alignment vertical="center"/>
    </xf>
    <xf numFmtId="4" fontId="2" fillId="10" borderId="29" xfId="0" applyNumberFormat="1" applyFont="1" applyFill="1" applyBorder="1"/>
    <xf numFmtId="166" fontId="11" fillId="2" borderId="58" xfId="13" applyFont="1" applyFill="1" applyBorder="1" applyAlignment="1">
      <alignment horizontal="center"/>
    </xf>
    <xf numFmtId="0" fontId="13" fillId="0" borderId="0" xfId="0" applyFont="1"/>
    <xf numFmtId="43" fontId="13" fillId="0" borderId="0" xfId="0" applyNumberFormat="1" applyFont="1"/>
    <xf numFmtId="0" fontId="6" fillId="3" borderId="1" xfId="2" applyFill="1" applyBorder="1" applyAlignment="1">
      <alignment horizontal="left"/>
    </xf>
    <xf numFmtId="166" fontId="2" fillId="5" borderId="32" xfId="13" applyFont="1" applyFill="1" applyBorder="1" applyAlignment="1">
      <alignment vertical="center"/>
    </xf>
    <xf numFmtId="166" fontId="6" fillId="3" borderId="59" xfId="13" applyFont="1" applyFill="1" applyBorder="1" applyAlignment="1">
      <alignment vertical="center"/>
    </xf>
    <xf numFmtId="166" fontId="6" fillId="3" borderId="28" xfId="13" applyFont="1" applyFill="1" applyBorder="1" applyAlignment="1">
      <alignment vertical="center"/>
    </xf>
    <xf numFmtId="166" fontId="6" fillId="3" borderId="55" xfId="13" applyFont="1" applyFill="1" applyBorder="1" applyAlignment="1">
      <alignment vertical="center"/>
    </xf>
    <xf numFmtId="166" fontId="6" fillId="3" borderId="37" xfId="13" applyFont="1" applyFill="1" applyBorder="1" applyAlignment="1">
      <alignment vertical="center"/>
    </xf>
    <xf numFmtId="166" fontId="6" fillId="0" borderId="26" xfId="13" applyFont="1" applyFill="1" applyBorder="1" applyAlignment="1">
      <alignment vertical="center"/>
    </xf>
    <xf numFmtId="166" fontId="6" fillId="0" borderId="28" xfId="13" applyFont="1" applyFill="1" applyBorder="1" applyAlignment="1">
      <alignment vertical="center"/>
    </xf>
    <xf numFmtId="170" fontId="2" fillId="0" borderId="0" xfId="0" applyNumberFormat="1" applyFont="1" applyAlignment="1">
      <alignment horizontal="center"/>
    </xf>
    <xf numFmtId="49" fontId="6" fillId="3" borderId="24" xfId="2" applyNumberFormat="1" applyFill="1" applyBorder="1" applyAlignment="1">
      <alignment vertical="center"/>
    </xf>
    <xf numFmtId="49" fontId="6" fillId="3" borderId="19" xfId="2" applyNumberFormat="1" applyFill="1" applyBorder="1" applyAlignment="1">
      <alignment vertical="center"/>
    </xf>
    <xf numFmtId="49" fontId="6" fillId="3" borderId="20" xfId="2" applyNumberFormat="1" applyFill="1" applyBorder="1" applyAlignment="1">
      <alignment vertical="center"/>
    </xf>
    <xf numFmtId="49" fontId="6" fillId="3" borderId="1" xfId="2" applyNumberFormat="1" applyFill="1" applyBorder="1" applyAlignment="1">
      <alignment vertical="center"/>
    </xf>
    <xf numFmtId="49" fontId="6" fillId="3" borderId="0" xfId="2" applyNumberFormat="1" applyFill="1" applyAlignment="1">
      <alignment vertical="center"/>
    </xf>
    <xf numFmtId="166" fontId="6" fillId="0" borderId="0" xfId="13" applyFont="1" applyFill="1" applyBorder="1" applyAlignment="1">
      <alignment vertical="center"/>
    </xf>
    <xf numFmtId="166" fontId="6" fillId="0" borderId="27" xfId="13" applyFont="1" applyFill="1" applyBorder="1" applyAlignment="1">
      <alignment vertical="center"/>
    </xf>
    <xf numFmtId="166" fontId="6" fillId="0" borderId="60" xfId="13" applyFont="1" applyFill="1" applyBorder="1" applyAlignment="1">
      <alignment vertical="center"/>
    </xf>
    <xf numFmtId="166" fontId="6" fillId="3" borderId="27" xfId="13" applyFont="1" applyFill="1" applyBorder="1" applyAlignment="1">
      <alignment vertical="center"/>
    </xf>
    <xf numFmtId="166" fontId="6" fillId="3" borderId="10" xfId="13" applyFont="1" applyFill="1" applyBorder="1" applyAlignment="1">
      <alignment vertical="center"/>
    </xf>
    <xf numFmtId="166" fontId="6" fillId="3" borderId="60" xfId="13" applyFont="1" applyFill="1" applyBorder="1" applyAlignment="1">
      <alignment vertical="center"/>
    </xf>
    <xf numFmtId="166" fontId="6" fillId="3" borderId="25" xfId="13" applyFont="1" applyFill="1" applyBorder="1" applyAlignment="1">
      <alignment vertical="center"/>
    </xf>
    <xf numFmtId="166" fontId="6" fillId="3" borderId="61" xfId="13" applyFont="1" applyFill="1" applyBorder="1" applyAlignment="1">
      <alignment vertical="center"/>
    </xf>
    <xf numFmtId="166" fontId="2" fillId="3" borderId="0" xfId="13" applyFont="1" applyFill="1" applyBorder="1" applyAlignment="1">
      <alignment vertical="center"/>
    </xf>
    <xf numFmtId="166" fontId="6" fillId="3" borderId="62" xfId="13" applyFont="1" applyFill="1" applyBorder="1" applyAlignment="1">
      <alignment vertical="center"/>
    </xf>
    <xf numFmtId="166" fontId="6" fillId="3" borderId="21" xfId="13" applyFont="1" applyFill="1" applyBorder="1" applyAlignment="1">
      <alignment vertical="center"/>
    </xf>
    <xf numFmtId="166" fontId="2" fillId="5" borderId="63" xfId="13" applyFont="1" applyFill="1" applyBorder="1" applyAlignment="1">
      <alignment vertical="center"/>
    </xf>
    <xf numFmtId="166" fontId="12" fillId="3" borderId="15" xfId="13" applyFont="1" applyFill="1" applyBorder="1" applyAlignment="1">
      <alignment horizontal="center" vertical="center"/>
    </xf>
    <xf numFmtId="166" fontId="12" fillId="3" borderId="17" xfId="13" applyFont="1" applyFill="1" applyBorder="1" applyAlignment="1">
      <alignment horizontal="center" vertical="center"/>
    </xf>
    <xf numFmtId="166" fontId="12" fillId="3" borderId="12" xfId="13" applyFont="1" applyFill="1" applyBorder="1" applyAlignment="1">
      <alignment horizontal="center" vertical="center"/>
    </xf>
    <xf numFmtId="4" fontId="6" fillId="0" borderId="1" xfId="7" applyNumberFormat="1" applyFont="1" applyFill="1" applyBorder="1" applyAlignment="1">
      <alignment vertical="center"/>
    </xf>
    <xf numFmtId="10" fontId="6" fillId="3" borderId="2" xfId="13" applyNumberFormat="1" applyFont="1" applyFill="1" applyBorder="1" applyAlignment="1">
      <alignment vertical="center"/>
    </xf>
    <xf numFmtId="4" fontId="6" fillId="0" borderId="2" xfId="7" applyNumberFormat="1" applyFont="1" applyFill="1" applyBorder="1" applyAlignment="1">
      <alignment vertical="center"/>
    </xf>
    <xf numFmtId="166" fontId="6" fillId="3" borderId="4" xfId="13" applyFont="1" applyFill="1" applyBorder="1" applyAlignment="1">
      <alignment vertical="center"/>
    </xf>
    <xf numFmtId="166" fontId="6" fillId="0" borderId="4" xfId="13" applyFont="1" applyBorder="1" applyAlignment="1">
      <alignment vertical="center"/>
    </xf>
    <xf numFmtId="166" fontId="6" fillId="0" borderId="4" xfId="13" applyFont="1" applyFill="1" applyBorder="1" applyAlignment="1">
      <alignment vertical="center"/>
    </xf>
    <xf numFmtId="10" fontId="6" fillId="3" borderId="4" xfId="13" applyNumberFormat="1" applyFont="1" applyFill="1" applyBorder="1" applyAlignment="1">
      <alignment vertical="center"/>
    </xf>
    <xf numFmtId="166" fontId="2" fillId="5" borderId="52" xfId="13" applyFont="1" applyFill="1" applyBorder="1" applyAlignment="1">
      <alignment vertical="center"/>
    </xf>
    <xf numFmtId="10" fontId="2" fillId="5" borderId="49" xfId="13" applyNumberFormat="1" applyFont="1" applyFill="1" applyBorder="1" applyAlignment="1">
      <alignment vertical="center"/>
    </xf>
    <xf numFmtId="4" fontId="2" fillId="5" borderId="51" xfId="7" applyNumberFormat="1" applyFont="1" applyFill="1" applyBorder="1" applyAlignment="1">
      <alignment vertical="center"/>
    </xf>
    <xf numFmtId="10" fontId="6" fillId="3" borderId="3" xfId="13" applyNumberFormat="1" applyFont="1" applyFill="1" applyBorder="1" applyAlignment="1">
      <alignment vertical="center"/>
    </xf>
    <xf numFmtId="166" fontId="2" fillId="3" borderId="4" xfId="13" applyFont="1" applyFill="1" applyBorder="1" applyAlignment="1">
      <alignment vertical="center"/>
    </xf>
    <xf numFmtId="166" fontId="2" fillId="5" borderId="45" xfId="13" applyFont="1" applyFill="1" applyBorder="1" applyAlignment="1">
      <alignment vertical="center"/>
    </xf>
    <xf numFmtId="166" fontId="2" fillId="5" borderId="51" xfId="13" applyFont="1" applyFill="1" applyBorder="1" applyAlignment="1">
      <alignment vertical="center"/>
    </xf>
    <xf numFmtId="166" fontId="6" fillId="3" borderId="6" xfId="13" applyFont="1" applyFill="1" applyBorder="1" applyAlignment="1">
      <alignment vertical="center"/>
    </xf>
    <xf numFmtId="166" fontId="6" fillId="3" borderId="13" xfId="13" applyFont="1" applyFill="1" applyBorder="1" applyAlignment="1">
      <alignment vertical="center"/>
    </xf>
    <xf numFmtId="166" fontId="2" fillId="4" borderId="4" xfId="13" applyFont="1" applyFill="1" applyBorder="1" applyAlignment="1">
      <alignment horizontal="center" vertical="center"/>
    </xf>
    <xf numFmtId="10" fontId="2" fillId="4" borderId="4" xfId="13" applyNumberFormat="1" applyFont="1" applyFill="1" applyBorder="1" applyAlignment="1">
      <alignment vertical="center"/>
    </xf>
    <xf numFmtId="4" fontId="2" fillId="4" borderId="4" xfId="7" applyNumberFormat="1" applyFont="1" applyFill="1" applyBorder="1" applyAlignment="1">
      <alignment vertical="center"/>
    </xf>
    <xf numFmtId="166" fontId="6" fillId="3" borderId="11" xfId="13" applyFont="1" applyFill="1" applyBorder="1" applyAlignment="1">
      <alignment vertical="center"/>
    </xf>
    <xf numFmtId="49" fontId="6" fillId="3" borderId="24" xfId="2" applyNumberFormat="1" applyFill="1" applyBorder="1" applyAlignment="1">
      <alignment horizontal="left" vertical="center"/>
    </xf>
    <xf numFmtId="166" fontId="2" fillId="5" borderId="26" xfId="0" applyNumberFormat="1" applyFont="1" applyFill="1" applyBorder="1"/>
    <xf numFmtId="0" fontId="11" fillId="8" borderId="32" xfId="0" applyFont="1" applyFill="1" applyBorder="1" applyAlignment="1">
      <alignment horizontal="center" vertical="center"/>
    </xf>
    <xf numFmtId="170" fontId="11" fillId="8" borderId="49" xfId="0" applyNumberFormat="1" applyFont="1" applyFill="1" applyBorder="1" applyAlignment="1">
      <alignment wrapText="1"/>
    </xf>
    <xf numFmtId="170" fontId="11" fillId="8" borderId="49" xfId="12" applyNumberFormat="1" applyFont="1" applyFill="1" applyBorder="1" applyAlignment="1">
      <alignment vertical="center"/>
    </xf>
    <xf numFmtId="170" fontId="11" fillId="8" borderId="1" xfId="12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0" fontId="11" fillId="0" borderId="0" xfId="0" applyNumberFormat="1" applyFont="1" applyAlignment="1">
      <alignment wrapText="1"/>
    </xf>
    <xf numFmtId="170" fontId="11" fillId="0" borderId="0" xfId="12" applyNumberFormat="1" applyFont="1" applyFill="1" applyBorder="1" applyAlignment="1">
      <alignment vertical="center"/>
    </xf>
    <xf numFmtId="170" fontId="11" fillId="0" borderId="0" xfId="12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170" fontId="13" fillId="0" borderId="3" xfId="12" applyNumberFormat="1" applyFont="1" applyFill="1" applyBorder="1" applyAlignment="1"/>
    <xf numFmtId="170" fontId="13" fillId="0" borderId="3" xfId="12" applyNumberFormat="1" applyFont="1" applyFill="1" applyBorder="1" applyAlignment="1">
      <alignment vertical="center"/>
    </xf>
    <xf numFmtId="170" fontId="13" fillId="0" borderId="1" xfId="12" applyNumberFormat="1" applyFont="1" applyFill="1" applyBorder="1" applyAlignment="1">
      <alignment horizontal="center" vertical="center" wrapText="1"/>
    </xf>
    <xf numFmtId="170" fontId="6" fillId="11" borderId="4" xfId="0" applyNumberFormat="1" applyFont="1" applyFill="1" applyBorder="1"/>
    <xf numFmtId="170" fontId="6" fillId="12" borderId="1" xfId="0" applyNumberFormat="1" applyFont="1" applyFill="1" applyBorder="1"/>
    <xf numFmtId="170" fontId="2" fillId="13" borderId="64" xfId="2" applyNumberFormat="1" applyFont="1" applyFill="1" applyBorder="1"/>
    <xf numFmtId="4" fontId="4" fillId="0" borderId="0" xfId="0" applyNumberFormat="1" applyFont="1"/>
    <xf numFmtId="0" fontId="12" fillId="14" borderId="0" xfId="0" applyFont="1" applyFill="1"/>
    <xf numFmtId="166" fontId="12" fillId="14" borderId="0" xfId="12" applyFont="1" applyFill="1" applyBorder="1"/>
    <xf numFmtId="0" fontId="6" fillId="14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4" fontId="2" fillId="0" borderId="29" xfId="0" applyNumberFormat="1" applyFont="1" applyBorder="1" applyAlignment="1">
      <alignment horizontal="center"/>
    </xf>
    <xf numFmtId="170" fontId="2" fillId="13" borderId="18" xfId="0" applyNumberFormat="1" applyFont="1" applyFill="1" applyBorder="1" applyAlignment="1">
      <alignment vertical="center"/>
    </xf>
    <xf numFmtId="170" fontId="0" fillId="0" borderId="0" xfId="12" applyNumberFormat="1" applyFont="1"/>
    <xf numFmtId="0" fontId="15" fillId="13" borderId="29" xfId="0" applyFont="1" applyFill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170" fontId="27" fillId="0" borderId="0" xfId="3" applyNumberFormat="1" applyFont="1"/>
    <xf numFmtId="43" fontId="6" fillId="0" borderId="0" xfId="0" applyNumberFormat="1" applyFont="1"/>
    <xf numFmtId="4" fontId="6" fillId="0" borderId="0" xfId="0" applyNumberFormat="1" applyFont="1"/>
    <xf numFmtId="0" fontId="2" fillId="0" borderId="18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8" fontId="6" fillId="0" borderId="19" xfId="9" applyNumberFormat="1" applyFont="1" applyBorder="1" applyAlignment="1">
      <alignment horizontal="center" vertical="center"/>
    </xf>
    <xf numFmtId="43" fontId="4" fillId="0" borderId="0" xfId="0" applyNumberFormat="1" applyFont="1"/>
    <xf numFmtId="166" fontId="6" fillId="0" borderId="3" xfId="13" applyFont="1" applyBorder="1" applyAlignment="1">
      <alignment vertical="center"/>
    </xf>
    <xf numFmtId="168" fontId="6" fillId="0" borderId="24" xfId="9" applyNumberFormat="1" applyFont="1" applyFill="1" applyBorder="1"/>
    <xf numFmtId="44" fontId="27" fillId="0" borderId="0" xfId="3" applyNumberFormat="1" applyFont="1"/>
    <xf numFmtId="166" fontId="6" fillId="0" borderId="1" xfId="13" applyFont="1" applyFill="1" applyBorder="1" applyAlignment="1">
      <alignment horizontal="center" vertical="center"/>
    </xf>
    <xf numFmtId="166" fontId="6" fillId="0" borderId="24" xfId="13" applyFont="1" applyFill="1" applyBorder="1" applyAlignment="1">
      <alignment horizontal="center" vertical="center"/>
    </xf>
    <xf numFmtId="166" fontId="6" fillId="0" borderId="20" xfId="13" applyFont="1" applyFill="1" applyBorder="1" applyAlignment="1">
      <alignment horizontal="center" vertical="center"/>
    </xf>
    <xf numFmtId="43" fontId="6" fillId="0" borderId="15" xfId="13" applyNumberFormat="1" applyFont="1" applyFill="1" applyBorder="1" applyAlignment="1">
      <alignment horizontal="center" vertical="center"/>
    </xf>
    <xf numFmtId="43" fontId="6" fillId="0" borderId="1" xfId="13" applyNumberFormat="1" applyFont="1" applyFill="1" applyBorder="1" applyAlignment="1">
      <alignment horizontal="center" vertical="center"/>
    </xf>
    <xf numFmtId="166" fontId="6" fillId="0" borderId="15" xfId="13" applyFont="1" applyFill="1" applyBorder="1" applyAlignment="1">
      <alignment horizontal="center" vertical="center"/>
    </xf>
    <xf numFmtId="166" fontId="6" fillId="0" borderId="21" xfId="13" applyFont="1" applyFill="1" applyBorder="1" applyAlignment="1">
      <alignment vertical="center"/>
    </xf>
    <xf numFmtId="166" fontId="6" fillId="0" borderId="53" xfId="13" applyFont="1" applyFill="1" applyBorder="1" applyAlignment="1">
      <alignment vertical="center"/>
    </xf>
    <xf numFmtId="166" fontId="6" fillId="0" borderId="19" xfId="13" applyFont="1" applyFill="1" applyBorder="1" applyAlignment="1">
      <alignment horizontal="center" vertical="center"/>
    </xf>
    <xf numFmtId="166" fontId="6" fillId="3" borderId="5" xfId="13" applyFont="1" applyFill="1" applyBorder="1" applyAlignment="1">
      <alignment vertical="center"/>
    </xf>
    <xf numFmtId="166" fontId="6" fillId="3" borderId="9" xfId="13" applyFont="1" applyFill="1" applyBorder="1" applyAlignment="1">
      <alignment vertical="center"/>
    </xf>
    <xf numFmtId="170" fontId="3" fillId="0" borderId="64" xfId="12" applyNumberFormat="1" applyFont="1" applyFill="1" applyBorder="1" applyAlignment="1">
      <alignment vertical="center"/>
    </xf>
    <xf numFmtId="44" fontId="3" fillId="0" borderId="0" xfId="0" applyNumberFormat="1" applyFont="1"/>
    <xf numFmtId="166" fontId="6" fillId="3" borderId="17" xfId="13" applyFont="1" applyFill="1" applyBorder="1" applyAlignment="1">
      <alignment vertical="center"/>
    </xf>
    <xf numFmtId="166" fontId="6" fillId="3" borderId="15" xfId="13" applyFont="1" applyFill="1" applyBorder="1" applyAlignment="1">
      <alignment horizontal="center" vertical="center"/>
    </xf>
    <xf numFmtId="166" fontId="6" fillId="3" borderId="1" xfId="13" applyFont="1" applyFill="1" applyBorder="1" applyAlignment="1">
      <alignment horizontal="center" vertical="center"/>
    </xf>
    <xf numFmtId="166" fontId="6" fillId="3" borderId="20" xfId="13" applyFont="1" applyFill="1" applyBorder="1" applyAlignment="1">
      <alignment horizontal="center" vertical="center"/>
    </xf>
    <xf numFmtId="166" fontId="6" fillId="3" borderId="65" xfId="13" applyFont="1" applyFill="1" applyBorder="1" applyAlignment="1">
      <alignment horizontal="center" vertical="center"/>
    </xf>
    <xf numFmtId="166" fontId="6" fillId="3" borderId="18" xfId="13" applyFont="1" applyFill="1" applyBorder="1" applyAlignment="1">
      <alignment horizontal="center" vertical="center"/>
    </xf>
    <xf numFmtId="166" fontId="2" fillId="5" borderId="37" xfId="13" applyFont="1" applyFill="1" applyBorder="1" applyAlignment="1">
      <alignment vertical="center"/>
    </xf>
    <xf numFmtId="4" fontId="2" fillId="5" borderId="66" xfId="7" applyNumberFormat="1" applyFont="1" applyFill="1" applyBorder="1" applyAlignment="1">
      <alignment vertical="center"/>
    </xf>
    <xf numFmtId="4" fontId="3" fillId="0" borderId="0" xfId="0" applyNumberFormat="1" applyFont="1"/>
    <xf numFmtId="166" fontId="6" fillId="0" borderId="0" xfId="0" applyNumberFormat="1" applyFont="1"/>
    <xf numFmtId="170" fontId="28" fillId="0" borderId="0" xfId="3" applyNumberFormat="1" applyFont="1" applyAlignment="1">
      <alignment horizontal="right"/>
    </xf>
    <xf numFmtId="170" fontId="27" fillId="0" borderId="0" xfId="3" applyNumberFormat="1" applyFont="1" applyAlignment="1">
      <alignment horizontal="right"/>
    </xf>
    <xf numFmtId="0" fontId="27" fillId="0" borderId="1" xfId="3" applyFont="1" applyBorder="1"/>
    <xf numFmtId="0" fontId="3" fillId="0" borderId="1" xfId="0" applyFont="1" applyBorder="1" applyAlignment="1">
      <alignment vertical="center" wrapText="1"/>
    </xf>
    <xf numFmtId="170" fontId="5" fillId="0" borderId="1" xfId="12" applyNumberFormat="1" applyFont="1" applyFill="1" applyBorder="1" applyAlignment="1">
      <alignment vertical="center"/>
    </xf>
    <xf numFmtId="170" fontId="5" fillId="8" borderId="3" xfId="0" applyNumberFormat="1" applyFont="1" applyFill="1" applyBorder="1" applyAlignment="1">
      <alignment wrapText="1"/>
    </xf>
    <xf numFmtId="170" fontId="5" fillId="8" borderId="3" xfId="12" applyNumberFormat="1" applyFont="1" applyFill="1" applyBorder="1" applyAlignment="1">
      <alignment vertical="center"/>
    </xf>
    <xf numFmtId="0" fontId="5" fillId="9" borderId="37" xfId="0" applyFont="1" applyFill="1" applyBorder="1" applyAlignment="1">
      <alignment vertical="center"/>
    </xf>
    <xf numFmtId="170" fontId="5" fillId="9" borderId="40" xfId="0" applyNumberFormat="1" applyFont="1" applyFill="1" applyBorder="1"/>
    <xf numFmtId="170" fontId="5" fillId="9" borderId="56" xfId="12" applyNumberFormat="1" applyFont="1" applyFill="1" applyBorder="1" applyAlignment="1">
      <alignment vertical="center"/>
    </xf>
    <xf numFmtId="0" fontId="5" fillId="8" borderId="26" xfId="0" applyFont="1" applyFill="1" applyBorder="1" applyAlignment="1">
      <alignment horizontal="center" vertical="center"/>
    </xf>
    <xf numFmtId="10" fontId="6" fillId="0" borderId="13" xfId="6" applyNumberFormat="1" applyFont="1" applyFill="1" applyBorder="1" applyAlignment="1">
      <alignment horizontal="center"/>
    </xf>
    <xf numFmtId="10" fontId="6" fillId="0" borderId="22" xfId="6" applyNumberFormat="1" applyFont="1" applyFill="1" applyBorder="1" applyAlignment="1">
      <alignment horizontal="center"/>
    </xf>
    <xf numFmtId="10" fontId="6" fillId="0" borderId="21" xfId="6" applyNumberFormat="1" applyFont="1" applyFill="1" applyBorder="1" applyAlignment="1">
      <alignment horizontal="center"/>
    </xf>
    <xf numFmtId="170" fontId="4" fillId="0" borderId="0" xfId="0" applyNumberFormat="1" applyFont="1"/>
    <xf numFmtId="0" fontId="28" fillId="12" borderId="1" xfId="3" applyFont="1" applyFill="1" applyBorder="1" applyAlignment="1">
      <alignment horizontal="center"/>
    </xf>
    <xf numFmtId="0" fontId="28" fillId="15" borderId="1" xfId="3" applyFont="1" applyFill="1" applyBorder="1"/>
    <xf numFmtId="170" fontId="28" fillId="11" borderId="1" xfId="3" applyNumberFormat="1" applyFont="1" applyFill="1" applyBorder="1"/>
    <xf numFmtId="170" fontId="28" fillId="15" borderId="1" xfId="3" applyNumberFormat="1" applyFont="1" applyFill="1" applyBorder="1"/>
    <xf numFmtId="10" fontId="28" fillId="15" borderId="1" xfId="3" applyNumberFormat="1" applyFont="1" applyFill="1" applyBorder="1"/>
    <xf numFmtId="0" fontId="16" fillId="0" borderId="0" xfId="0" applyFont="1"/>
    <xf numFmtId="171" fontId="0" fillId="0" borderId="0" xfId="0" applyNumberFormat="1"/>
    <xf numFmtId="164" fontId="6" fillId="0" borderId="19" xfId="0" applyNumberFormat="1" applyFont="1" applyBorder="1" applyAlignment="1">
      <alignment horizontal="center"/>
    </xf>
    <xf numFmtId="164" fontId="6" fillId="0" borderId="24" xfId="9" applyNumberFormat="1" applyFont="1" applyFill="1" applyBorder="1" applyAlignment="1">
      <alignment horizontal="center"/>
    </xf>
    <xf numFmtId="44" fontId="6" fillId="0" borderId="0" xfId="0" applyNumberFormat="1" applyFont="1"/>
    <xf numFmtId="44" fontId="29" fillId="0" borderId="0" xfId="3" applyNumberFormat="1" applyFont="1"/>
    <xf numFmtId="0" fontId="4" fillId="16" borderId="0" xfId="0" applyFont="1" applyFill="1"/>
    <xf numFmtId="0" fontId="17" fillId="9" borderId="0" xfId="0" applyFont="1" applyFill="1"/>
    <xf numFmtId="0" fontId="17" fillId="12" borderId="0" xfId="0" applyFont="1" applyFill="1"/>
    <xf numFmtId="0" fontId="17" fillId="13" borderId="0" xfId="0" applyFont="1" applyFill="1"/>
    <xf numFmtId="0" fontId="15" fillId="17" borderId="0" xfId="0" applyFont="1" applyFill="1"/>
    <xf numFmtId="10" fontId="28" fillId="17" borderId="0" xfId="3" applyNumberFormat="1" applyFont="1" applyFill="1" applyAlignment="1">
      <alignment horizontal="center"/>
    </xf>
    <xf numFmtId="170" fontId="28" fillId="0" borderId="0" xfId="3" applyNumberFormat="1" applyFont="1" applyAlignment="1">
      <alignment horizontal="center"/>
    </xf>
    <xf numFmtId="169" fontId="6" fillId="3" borderId="1" xfId="13" applyNumberFormat="1" applyFont="1" applyFill="1" applyBorder="1" applyAlignment="1">
      <alignment vertical="center"/>
    </xf>
    <xf numFmtId="164" fontId="6" fillId="0" borderId="35" xfId="13" applyNumberFormat="1" applyFont="1" applyFill="1" applyBorder="1" applyAlignment="1">
      <alignment vertical="center"/>
    </xf>
    <xf numFmtId="164" fontId="6" fillId="0" borderId="1" xfId="13" applyNumberFormat="1" applyFont="1" applyFill="1" applyBorder="1" applyAlignment="1">
      <alignment vertical="center"/>
    </xf>
    <xf numFmtId="164" fontId="6" fillId="0" borderId="1" xfId="13" applyNumberFormat="1" applyFont="1" applyFill="1" applyBorder="1" applyAlignment="1">
      <alignment horizontal="center" vertical="center"/>
    </xf>
    <xf numFmtId="164" fontId="6" fillId="0" borderId="2" xfId="13" applyNumberFormat="1" applyFont="1" applyFill="1" applyBorder="1" applyAlignment="1">
      <alignment vertical="center"/>
    </xf>
    <xf numFmtId="166" fontId="0" fillId="0" borderId="0" xfId="14" applyFont="1"/>
    <xf numFmtId="10" fontId="2" fillId="0" borderId="30" xfId="8" applyNumberFormat="1" applyFont="1" applyFill="1" applyBorder="1"/>
    <xf numFmtId="10" fontId="2" fillId="0" borderId="31" xfId="8" applyNumberFormat="1" applyFont="1" applyFill="1" applyBorder="1"/>
    <xf numFmtId="166" fontId="0" fillId="0" borderId="0" xfId="14" applyFont="1" applyFill="1" applyBorder="1"/>
    <xf numFmtId="10" fontId="2" fillId="0" borderId="0" xfId="8" applyNumberFormat="1" applyFont="1" applyFill="1" applyBorder="1"/>
    <xf numFmtId="10" fontId="6" fillId="0" borderId="13" xfId="8" applyNumberFormat="1" applyFont="1" applyBorder="1" applyAlignment="1">
      <alignment horizontal="center"/>
    </xf>
    <xf numFmtId="10" fontId="6" fillId="0" borderId="22" xfId="8" applyNumberFormat="1" applyFont="1" applyBorder="1" applyAlignment="1">
      <alignment horizontal="center"/>
    </xf>
    <xf numFmtId="10" fontId="6" fillId="0" borderId="21" xfId="8" applyNumberFormat="1" applyFont="1" applyBorder="1" applyAlignment="1">
      <alignment horizontal="center"/>
    </xf>
    <xf numFmtId="10" fontId="6" fillId="0" borderId="23" xfId="8" applyNumberFormat="1" applyFont="1" applyBorder="1" applyAlignment="1">
      <alignment horizontal="center"/>
    </xf>
    <xf numFmtId="166" fontId="12" fillId="14" borderId="0" xfId="14" applyFont="1" applyFill="1" applyBorder="1"/>
    <xf numFmtId="170" fontId="0" fillId="0" borderId="0" xfId="14" applyNumberFormat="1" applyFont="1"/>
    <xf numFmtId="10" fontId="6" fillId="0" borderId="13" xfId="8" applyNumberFormat="1" applyFont="1" applyFill="1" applyBorder="1" applyAlignment="1">
      <alignment horizontal="center"/>
    </xf>
    <xf numFmtId="10" fontId="6" fillId="0" borderId="22" xfId="8" applyNumberFormat="1" applyFont="1" applyFill="1" applyBorder="1" applyAlignment="1">
      <alignment horizontal="center"/>
    </xf>
    <xf numFmtId="10" fontId="6" fillId="0" borderId="21" xfId="8" applyNumberFormat="1" applyFont="1" applyFill="1" applyBorder="1" applyAlignment="1">
      <alignment horizontal="center"/>
    </xf>
    <xf numFmtId="164" fontId="6" fillId="0" borderId="35" xfId="0" applyNumberFormat="1" applyFont="1" applyBorder="1" applyAlignment="1">
      <alignment horizontal="center"/>
    </xf>
    <xf numFmtId="164" fontId="6" fillId="0" borderId="24" xfId="10" applyNumberFormat="1" applyFont="1" applyFill="1" applyBorder="1" applyAlignment="1">
      <alignment horizontal="center"/>
    </xf>
    <xf numFmtId="171" fontId="6" fillId="0" borderId="35" xfId="0" applyNumberFormat="1" applyFont="1" applyBorder="1" applyAlignment="1">
      <alignment horizontal="center"/>
    </xf>
    <xf numFmtId="0" fontId="28" fillId="2" borderId="1" xfId="3" applyFont="1" applyFill="1" applyBorder="1" applyAlignment="1">
      <alignment horizontal="center"/>
    </xf>
    <xf numFmtId="44" fontId="28" fillId="15" borderId="1" xfId="3" applyNumberFormat="1" applyFont="1" applyFill="1" applyBorder="1"/>
    <xf numFmtId="170" fontId="2" fillId="10" borderId="32" xfId="0" applyNumberFormat="1" applyFont="1" applyFill="1" applyBorder="1" applyAlignment="1">
      <alignment vertical="center"/>
    </xf>
    <xf numFmtId="10" fontId="2" fillId="10" borderId="31" xfId="0" applyNumberFormat="1" applyFont="1" applyFill="1" applyBorder="1" applyAlignment="1">
      <alignment vertical="center"/>
    </xf>
    <xf numFmtId="170" fontId="2" fillId="4" borderId="32" xfId="0" applyNumberFormat="1" applyFont="1" applyFill="1" applyBorder="1" applyAlignment="1">
      <alignment vertical="center"/>
    </xf>
    <xf numFmtId="10" fontId="2" fillId="4" borderId="31" xfId="0" applyNumberFormat="1" applyFont="1" applyFill="1" applyBorder="1" applyAlignment="1">
      <alignment vertical="center"/>
    </xf>
    <xf numFmtId="10" fontId="27" fillId="0" borderId="0" xfId="3" applyNumberFormat="1" applyFont="1"/>
    <xf numFmtId="4" fontId="2" fillId="0" borderId="77" xfId="0" applyNumberFormat="1" applyFont="1" applyBorder="1" applyAlignment="1">
      <alignment horizontal="center"/>
    </xf>
    <xf numFmtId="4" fontId="6" fillId="0" borderId="26" xfId="0" applyNumberFormat="1" applyFont="1" applyBorder="1" applyAlignment="1">
      <alignment horizontal="center"/>
    </xf>
    <xf numFmtId="43" fontId="2" fillId="0" borderId="0" xfId="0" applyNumberFormat="1" applyFont="1" applyAlignment="1">
      <alignment horizontal="center"/>
    </xf>
    <xf numFmtId="44" fontId="27" fillId="0" borderId="1" xfId="3" applyNumberFormat="1" applyFont="1" applyBorder="1" applyAlignment="1">
      <alignment horizontal="center"/>
    </xf>
    <xf numFmtId="170" fontId="27" fillId="9" borderId="0" xfId="3" applyNumberFormat="1" applyFont="1" applyFill="1" applyAlignment="1">
      <alignment horizontal="center"/>
    </xf>
    <xf numFmtId="170" fontId="27" fillId="12" borderId="0" xfId="3" applyNumberFormat="1" applyFont="1" applyFill="1" applyAlignment="1">
      <alignment horizontal="center"/>
    </xf>
    <xf numFmtId="170" fontId="27" fillId="13" borderId="0" xfId="3" applyNumberFormat="1" applyFont="1" applyFill="1" applyAlignment="1">
      <alignment horizontal="center"/>
    </xf>
    <xf numFmtId="170" fontId="27" fillId="16" borderId="0" xfId="3" applyNumberFormat="1" applyFont="1" applyFill="1" applyAlignment="1">
      <alignment horizontal="center"/>
    </xf>
    <xf numFmtId="44" fontId="0" fillId="0" borderId="0" xfId="0" applyNumberFormat="1"/>
    <xf numFmtId="170" fontId="2" fillId="4" borderId="30" xfId="0" applyNumberFormat="1" applyFont="1" applyFill="1" applyBorder="1" applyAlignment="1">
      <alignment vertical="center"/>
    </xf>
    <xf numFmtId="10" fontId="2" fillId="10" borderId="29" xfId="0" applyNumberFormat="1" applyFont="1" applyFill="1" applyBorder="1" applyAlignment="1">
      <alignment vertical="center"/>
    </xf>
    <xf numFmtId="10" fontId="2" fillId="4" borderId="29" xfId="0" applyNumberFormat="1" applyFont="1" applyFill="1" applyBorder="1" applyAlignment="1">
      <alignment vertical="center"/>
    </xf>
    <xf numFmtId="0" fontId="12" fillId="0" borderId="0" xfId="0" applyFont="1"/>
    <xf numFmtId="166" fontId="12" fillId="0" borderId="0" xfId="12" applyFont="1" applyFill="1" applyBorder="1"/>
    <xf numFmtId="171" fontId="28" fillId="0" borderId="0" xfId="3" applyNumberFormat="1" applyFont="1" applyAlignment="1">
      <alignment horizontal="center"/>
    </xf>
    <xf numFmtId="4" fontId="2" fillId="0" borderId="19" xfId="0" applyNumberFormat="1" applyFont="1" applyBorder="1" applyAlignment="1">
      <alignment horizontal="center"/>
    </xf>
    <xf numFmtId="172" fontId="0" fillId="0" borderId="0" xfId="0" applyNumberFormat="1" applyAlignment="1">
      <alignment horizontal="center" vertical="center"/>
    </xf>
    <xf numFmtId="4" fontId="2" fillId="15" borderId="29" xfId="0" applyNumberFormat="1" applyFont="1" applyFill="1" applyBorder="1"/>
    <xf numFmtId="10" fontId="2" fillId="15" borderId="29" xfId="0" applyNumberFormat="1" applyFont="1" applyFill="1" applyBorder="1" applyAlignment="1">
      <alignment vertical="center"/>
    </xf>
    <xf numFmtId="170" fontId="2" fillId="15" borderId="30" xfId="0" applyNumberFormat="1" applyFont="1" applyFill="1" applyBorder="1" applyAlignment="1">
      <alignment vertical="center"/>
    </xf>
    <xf numFmtId="170" fontId="2" fillId="15" borderId="32" xfId="0" applyNumberFormat="1" applyFont="1" applyFill="1" applyBorder="1" applyAlignment="1">
      <alignment vertical="center"/>
    </xf>
    <xf numFmtId="4" fontId="2" fillId="15" borderId="77" xfId="0" applyNumberFormat="1" applyFont="1" applyFill="1" applyBorder="1" applyAlignment="1">
      <alignment horizontal="center"/>
    </xf>
    <xf numFmtId="168" fontId="2" fillId="15" borderId="49" xfId="6" applyNumberFormat="1" applyFont="1" applyFill="1" applyBorder="1"/>
    <xf numFmtId="10" fontId="2" fillId="15" borderId="49" xfId="6" applyNumberFormat="1" applyFont="1" applyFill="1" applyBorder="1"/>
    <xf numFmtId="168" fontId="2" fillId="15" borderId="45" xfId="6" applyNumberFormat="1" applyFont="1" applyFill="1" applyBorder="1"/>
    <xf numFmtId="10" fontId="2" fillId="15" borderId="51" xfId="6" applyNumberFormat="1" applyFont="1" applyFill="1" applyBorder="1"/>
    <xf numFmtId="0" fontId="28" fillId="15" borderId="1" xfId="3" applyFont="1" applyFill="1" applyBorder="1" applyAlignment="1">
      <alignment horizontal="center"/>
    </xf>
    <xf numFmtId="0" fontId="30" fillId="15" borderId="1" xfId="4" applyFont="1" applyFill="1" applyBorder="1" applyAlignment="1">
      <alignment horizontal="center"/>
    </xf>
    <xf numFmtId="0" fontId="27" fillId="15" borderId="1" xfId="3" applyFont="1" applyFill="1" applyBorder="1" applyAlignment="1">
      <alignment vertical="center"/>
    </xf>
    <xf numFmtId="44" fontId="27" fillId="15" borderId="1" xfId="3" applyNumberFormat="1" applyFont="1" applyFill="1" applyBorder="1" applyAlignment="1">
      <alignment horizontal="center" vertical="center"/>
    </xf>
    <xf numFmtId="44" fontId="27" fillId="15" borderId="14" xfId="3" applyNumberFormat="1" applyFont="1" applyFill="1" applyBorder="1" applyAlignment="1">
      <alignment horizontal="center" vertical="center"/>
    </xf>
    <xf numFmtId="170" fontId="27" fillId="15" borderId="1" xfId="3" applyNumberFormat="1" applyFont="1" applyFill="1" applyBorder="1" applyAlignment="1">
      <alignment horizontal="center" vertical="center"/>
    </xf>
    <xf numFmtId="10" fontId="27" fillId="15" borderId="1" xfId="3" applyNumberFormat="1" applyFont="1" applyFill="1" applyBorder="1" applyAlignment="1">
      <alignment vertical="center"/>
    </xf>
    <xf numFmtId="10" fontId="16" fillId="15" borderId="1" xfId="4" applyNumberFormat="1" applyFont="1" applyFill="1" applyBorder="1" applyAlignment="1">
      <alignment horizontal="center" vertical="center"/>
    </xf>
    <xf numFmtId="0" fontId="27" fillId="15" borderId="1" xfId="3" applyFont="1" applyFill="1" applyBorder="1"/>
    <xf numFmtId="44" fontId="27" fillId="15" borderId="1" xfId="3" applyNumberFormat="1" applyFont="1" applyFill="1" applyBorder="1" applyAlignment="1">
      <alignment horizontal="center"/>
    </xf>
    <xf numFmtId="44" fontId="27" fillId="15" borderId="14" xfId="3" applyNumberFormat="1" applyFont="1" applyFill="1" applyBorder="1" applyAlignment="1">
      <alignment horizontal="center"/>
    </xf>
    <xf numFmtId="170" fontId="27" fillId="15" borderId="1" xfId="3" applyNumberFormat="1" applyFont="1" applyFill="1" applyBorder="1" applyAlignment="1">
      <alignment horizontal="center"/>
    </xf>
    <xf numFmtId="10" fontId="27" fillId="15" borderId="1" xfId="3" applyNumberFormat="1" applyFont="1" applyFill="1" applyBorder="1"/>
    <xf numFmtId="10" fontId="16" fillId="15" borderId="1" xfId="4" applyNumberFormat="1" applyFont="1" applyFill="1" applyBorder="1" applyAlignment="1">
      <alignment horizontal="center"/>
    </xf>
    <xf numFmtId="0" fontId="27" fillId="15" borderId="59" xfId="3" applyFont="1" applyFill="1" applyBorder="1"/>
    <xf numFmtId="44" fontId="27" fillId="15" borderId="78" xfId="3" applyNumberFormat="1" applyFont="1" applyFill="1" applyBorder="1" applyAlignment="1">
      <alignment horizontal="center"/>
    </xf>
    <xf numFmtId="44" fontId="27" fillId="15" borderId="4" xfId="3" applyNumberFormat="1" applyFont="1" applyFill="1" applyBorder="1" applyAlignment="1">
      <alignment horizontal="center"/>
    </xf>
    <xf numFmtId="0" fontId="27" fillId="15" borderId="1" xfId="3" applyFont="1" applyFill="1" applyBorder="1" applyAlignment="1">
      <alignment vertical="center" wrapText="1"/>
    </xf>
    <xf numFmtId="44" fontId="28" fillId="15" borderId="1" xfId="3" applyNumberFormat="1" applyFont="1" applyFill="1" applyBorder="1" applyAlignment="1">
      <alignment horizontal="center"/>
    </xf>
    <xf numFmtId="170" fontId="28" fillId="15" borderId="1" xfId="3" applyNumberFormat="1" applyFont="1" applyFill="1" applyBorder="1" applyAlignment="1">
      <alignment horizontal="center"/>
    </xf>
    <xf numFmtId="10" fontId="30" fillId="15" borderId="1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9" xfId="0" applyBorder="1"/>
    <xf numFmtId="0" fontId="1" fillId="0" borderId="29" xfId="0" applyFont="1" applyBorder="1"/>
    <xf numFmtId="4" fontId="0" fillId="0" borderId="29" xfId="0" applyNumberFormat="1" applyBorder="1"/>
    <xf numFmtId="0" fontId="0" fillId="0" borderId="29" xfId="0" applyBorder="1" applyAlignment="1">
      <alignment horizontal="center"/>
    </xf>
    <xf numFmtId="0" fontId="1" fillId="0" borderId="29" xfId="0" applyFont="1" applyBorder="1" applyAlignment="1">
      <alignment horizontal="center"/>
    </xf>
    <xf numFmtId="10" fontId="0" fillId="0" borderId="29" xfId="6" applyNumberFormat="1" applyFont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3" xfId="0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2" fillId="3" borderId="17" xfId="2" applyFont="1" applyFill="1" applyBorder="1" applyAlignment="1">
      <alignment horizontal="center" vertical="center"/>
    </xf>
    <xf numFmtId="0" fontId="12" fillId="3" borderId="18" xfId="2" applyFont="1" applyFill="1" applyBorder="1" applyAlignment="1">
      <alignment horizontal="center" vertical="center"/>
    </xf>
    <xf numFmtId="0" fontId="12" fillId="3" borderId="35" xfId="2" applyFont="1" applyFill="1" applyBorder="1" applyAlignment="1">
      <alignment horizontal="center" vertical="center" wrapText="1"/>
    </xf>
    <xf numFmtId="0" fontId="12" fillId="3" borderId="36" xfId="2" applyFont="1" applyFill="1" applyBorder="1" applyAlignment="1">
      <alignment horizontal="center" vertical="center" wrapText="1"/>
    </xf>
    <xf numFmtId="166" fontId="12" fillId="3" borderId="17" xfId="13" applyFont="1" applyFill="1" applyBorder="1" applyAlignment="1">
      <alignment horizontal="center" vertical="center" wrapText="1"/>
    </xf>
    <xf numFmtId="166" fontId="12" fillId="3" borderId="15" xfId="13" applyFont="1" applyFill="1" applyBorder="1" applyAlignment="1">
      <alignment horizontal="center" vertical="center" wrapText="1"/>
    </xf>
    <xf numFmtId="0" fontId="12" fillId="3" borderId="17" xfId="2" applyFont="1" applyFill="1" applyBorder="1" applyAlignment="1">
      <alignment horizontal="center" vertical="center" wrapText="1"/>
    </xf>
    <xf numFmtId="0" fontId="12" fillId="3" borderId="15" xfId="2" applyFont="1" applyFill="1" applyBorder="1" applyAlignment="1">
      <alignment horizontal="center" vertical="center" wrapText="1"/>
    </xf>
    <xf numFmtId="166" fontId="2" fillId="12" borderId="32" xfId="13" applyFont="1" applyFill="1" applyBorder="1" applyAlignment="1">
      <alignment horizontal="center" vertical="center" wrapText="1"/>
    </xf>
    <xf numFmtId="166" fontId="2" fillId="12" borderId="30" xfId="13" applyFont="1" applyFill="1" applyBorder="1" applyAlignment="1">
      <alignment horizontal="center" vertical="center" wrapText="1"/>
    </xf>
    <xf numFmtId="166" fontId="2" fillId="12" borderId="31" xfId="13" applyFont="1" applyFill="1" applyBorder="1" applyAlignment="1">
      <alignment horizontal="center" vertical="center" wrapText="1"/>
    </xf>
    <xf numFmtId="0" fontId="11" fillId="2" borderId="67" xfId="2" applyFont="1" applyFill="1" applyBorder="1" applyAlignment="1">
      <alignment horizontal="center" vertical="center"/>
    </xf>
    <xf numFmtId="0" fontId="11" fillId="2" borderId="58" xfId="2" applyFont="1" applyFill="1" applyBorder="1" applyAlignment="1">
      <alignment horizontal="center" vertical="center"/>
    </xf>
    <xf numFmtId="0" fontId="11" fillId="9" borderId="42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12" borderId="42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68" xfId="0" applyFont="1" applyFill="1" applyBorder="1" applyAlignment="1">
      <alignment horizontal="center" vertical="center"/>
    </xf>
    <xf numFmtId="0" fontId="11" fillId="13" borderId="64" xfId="0" applyFont="1" applyFill="1" applyBorder="1" applyAlignment="1">
      <alignment horizontal="center" vertical="center"/>
    </xf>
    <xf numFmtId="0" fontId="11" fillId="2" borderId="69" xfId="2" applyFont="1" applyFill="1" applyBorder="1" applyAlignment="1">
      <alignment horizontal="center" wrapText="1"/>
    </xf>
    <xf numFmtId="0" fontId="11" fillId="2" borderId="70" xfId="2" applyFont="1" applyFill="1" applyBorder="1" applyAlignment="1">
      <alignment horizontal="center" wrapText="1"/>
    </xf>
    <xf numFmtId="0" fontId="11" fillId="2" borderId="71" xfId="2" applyFont="1" applyFill="1" applyBorder="1" applyAlignment="1">
      <alignment horizontal="center" wrapText="1"/>
    </xf>
    <xf numFmtId="170" fontId="6" fillId="11" borderId="59" xfId="0" applyNumberFormat="1" applyFont="1" applyFill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170" fontId="6" fillId="12" borderId="59" xfId="0" applyNumberFormat="1" applyFont="1" applyFill="1" applyBorder="1" applyAlignment="1">
      <alignment horizontal="center"/>
    </xf>
    <xf numFmtId="0" fontId="6" fillId="12" borderId="21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170" fontId="2" fillId="13" borderId="72" xfId="0" applyNumberFormat="1" applyFont="1" applyFill="1" applyBorder="1" applyAlignment="1">
      <alignment horizontal="center"/>
    </xf>
    <xf numFmtId="0" fontId="2" fillId="13" borderId="62" xfId="0" applyFont="1" applyFill="1" applyBorder="1" applyAlignment="1">
      <alignment horizontal="center"/>
    </xf>
    <xf numFmtId="0" fontId="2" fillId="13" borderId="65" xfId="0" applyFont="1" applyFill="1" applyBorder="1" applyAlignment="1">
      <alignment horizontal="center"/>
    </xf>
    <xf numFmtId="166" fontId="5" fillId="9" borderId="58" xfId="12" applyFont="1" applyFill="1" applyBorder="1" applyAlignment="1">
      <alignment horizontal="center" vertical="center"/>
    </xf>
    <xf numFmtId="166" fontId="5" fillId="9" borderId="2" xfId="12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9" borderId="25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5" fillId="9" borderId="58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166" fontId="11" fillId="9" borderId="73" xfId="12" applyFont="1" applyFill="1" applyBorder="1" applyAlignment="1">
      <alignment horizontal="center" vertical="center" wrapText="1"/>
    </xf>
    <xf numFmtId="166" fontId="11" fillId="9" borderId="12" xfId="12" applyFont="1" applyFill="1" applyBorder="1" applyAlignment="1">
      <alignment horizontal="center" vertical="center" wrapText="1"/>
    </xf>
    <xf numFmtId="4" fontId="0" fillId="0" borderId="32" xfId="0" applyNumberFormat="1" applyBorder="1" applyAlignment="1">
      <alignment horizontal="center"/>
    </xf>
    <xf numFmtId="4" fontId="0" fillId="0" borderId="30" xfId="0" applyNumberFormat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5" fillId="10" borderId="52" xfId="0" applyFont="1" applyFill="1" applyBorder="1" applyAlignment="1">
      <alignment horizontal="center"/>
    </xf>
    <xf numFmtId="0" fontId="15" fillId="10" borderId="51" xfId="0" applyFont="1" applyFill="1" applyBorder="1" applyAlignment="1">
      <alignment horizontal="center"/>
    </xf>
    <xf numFmtId="0" fontId="15" fillId="4" borderId="52" xfId="0" applyFont="1" applyFill="1" applyBorder="1" applyAlignment="1">
      <alignment horizontal="center"/>
    </xf>
    <xf numFmtId="0" fontId="15" fillId="4" borderId="51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1" fillId="14" borderId="1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/>
    </xf>
    <xf numFmtId="0" fontId="12" fillId="13" borderId="30" xfId="0" applyFont="1" applyFill="1" applyBorder="1" applyAlignment="1">
      <alignment horizontal="center" vertical="center"/>
    </xf>
    <xf numFmtId="171" fontId="15" fillId="15" borderId="32" xfId="0" applyNumberFormat="1" applyFont="1" applyFill="1" applyBorder="1" applyAlignment="1">
      <alignment horizontal="center"/>
    </xf>
    <xf numFmtId="171" fontId="15" fillId="15" borderId="73" xfId="0" applyNumberFormat="1" applyFont="1" applyFill="1" applyBorder="1" applyAlignment="1">
      <alignment horizontal="center"/>
    </xf>
    <xf numFmtId="171" fontId="15" fillId="4" borderId="32" xfId="0" applyNumberFormat="1" applyFont="1" applyFill="1" applyBorder="1" applyAlignment="1">
      <alignment horizontal="center"/>
    </xf>
    <xf numFmtId="171" fontId="15" fillId="4" borderId="73" xfId="0" applyNumberFormat="1" applyFont="1" applyFill="1" applyBorder="1" applyAlignment="1">
      <alignment horizontal="center"/>
    </xf>
    <xf numFmtId="170" fontId="2" fillId="15" borderId="17" xfId="0" applyNumberFormat="1" applyFont="1" applyFill="1" applyBorder="1" applyAlignment="1">
      <alignment horizontal="center" vertical="center"/>
    </xf>
    <xf numFmtId="170" fontId="2" fillId="15" borderId="4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44" xfId="0" applyFont="1" applyBorder="1" applyAlignment="1">
      <alignment horizontal="center"/>
    </xf>
    <xf numFmtId="170" fontId="12" fillId="0" borderId="0" xfId="0" applyNumberFormat="1" applyFont="1" applyAlignment="1">
      <alignment horizontal="center"/>
    </xf>
    <xf numFmtId="0" fontId="6" fillId="0" borderId="7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1" fillId="2" borderId="38" xfId="0" applyFont="1" applyFill="1" applyBorder="1" applyAlignment="1">
      <alignment horizontal="center" wrapText="1"/>
    </xf>
    <xf numFmtId="0" fontId="1" fillId="2" borderId="39" xfId="0" applyFont="1" applyFill="1" applyBorder="1" applyAlignment="1">
      <alignment horizontal="center" wrapText="1"/>
    </xf>
    <xf numFmtId="0" fontId="1" fillId="2" borderId="40" xfId="0" applyFont="1" applyFill="1" applyBorder="1" applyAlignment="1">
      <alignment horizont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9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5" fillId="0" borderId="0" xfId="4" applyFont="1" applyAlignment="1">
      <alignment horizontal="center"/>
    </xf>
    <xf numFmtId="0" fontId="1" fillId="0" borderId="0" xfId="0" applyFont="1" applyAlignment="1">
      <alignment horizontal="center"/>
    </xf>
    <xf numFmtId="171" fontId="15" fillId="10" borderId="32" xfId="0" applyNumberFormat="1" applyFont="1" applyFill="1" applyBorder="1" applyAlignment="1">
      <alignment horizontal="center"/>
    </xf>
    <xf numFmtId="171" fontId="15" fillId="10" borderId="73" xfId="0" applyNumberFormat="1" applyFont="1" applyFill="1" applyBorder="1" applyAlignment="1">
      <alignment horizontal="center"/>
    </xf>
    <xf numFmtId="170" fontId="2" fillId="13" borderId="17" xfId="0" applyNumberFormat="1" applyFont="1" applyFill="1" applyBorder="1" applyAlignment="1">
      <alignment horizontal="center" vertical="center"/>
    </xf>
    <xf numFmtId="170" fontId="2" fillId="13" borderId="44" xfId="0" applyNumberFormat="1" applyFont="1" applyFill="1" applyBorder="1" applyAlignment="1">
      <alignment horizontal="center" vertical="center"/>
    </xf>
    <xf numFmtId="170" fontId="2" fillId="13" borderId="18" xfId="0" applyNumberFormat="1" applyFont="1" applyFill="1" applyBorder="1" applyAlignment="1">
      <alignment horizontal="center" vertical="center"/>
    </xf>
    <xf numFmtId="171" fontId="15" fillId="10" borderId="31" xfId="0" applyNumberFormat="1" applyFont="1" applyFill="1" applyBorder="1" applyAlignment="1">
      <alignment horizontal="center"/>
    </xf>
    <xf numFmtId="171" fontId="15" fillId="4" borderId="31" xfId="0" applyNumberFormat="1" applyFont="1" applyFill="1" applyBorder="1" applyAlignment="1">
      <alignment horizontal="center"/>
    </xf>
    <xf numFmtId="170" fontId="2" fillId="10" borderId="37" xfId="0" applyNumberFormat="1" applyFont="1" applyFill="1" applyBorder="1" applyAlignment="1">
      <alignment horizontal="center" vertical="center"/>
    </xf>
    <xf numFmtId="170" fontId="2" fillId="10" borderId="44" xfId="0" applyNumberFormat="1" applyFont="1" applyFill="1" applyBorder="1" applyAlignment="1">
      <alignment horizontal="center" vertical="center"/>
    </xf>
    <xf numFmtId="170" fontId="2" fillId="4" borderId="37" xfId="0" applyNumberFormat="1" applyFont="1" applyFill="1" applyBorder="1" applyAlignment="1">
      <alignment horizontal="center" vertical="center"/>
    </xf>
    <xf numFmtId="170" fontId="2" fillId="4" borderId="44" xfId="0" applyNumberFormat="1" applyFont="1" applyFill="1" applyBorder="1" applyAlignment="1">
      <alignment horizontal="center" vertical="center"/>
    </xf>
    <xf numFmtId="0" fontId="12" fillId="10" borderId="32" xfId="0" applyFont="1" applyFill="1" applyBorder="1" applyAlignment="1">
      <alignment horizontal="center"/>
    </xf>
    <xf numFmtId="0" fontId="12" fillId="10" borderId="30" xfId="0" applyFont="1" applyFill="1" applyBorder="1" applyAlignment="1">
      <alignment horizontal="center"/>
    </xf>
    <xf numFmtId="4" fontId="2" fillId="0" borderId="32" xfId="0" applyNumberFormat="1" applyFont="1" applyBorder="1" applyAlignment="1">
      <alignment horizontal="center"/>
    </xf>
    <xf numFmtId="4" fontId="2" fillId="0" borderId="31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70" fontId="12" fillId="7" borderId="30" xfId="0" applyNumberFormat="1" applyFont="1" applyFill="1" applyBorder="1" applyAlignment="1">
      <alignment horizontal="center"/>
    </xf>
    <xf numFmtId="170" fontId="12" fillId="7" borderId="31" xfId="0" applyNumberFormat="1" applyFont="1" applyFill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170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13" fillId="0" borderId="74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73" xfId="0" applyFont="1" applyBorder="1" applyAlignment="1">
      <alignment horizontal="center"/>
    </xf>
  </cellXfs>
  <cellStyles count="15">
    <cellStyle name="Moed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" xr:uid="{00000000-0005-0000-0000-000005000000}"/>
    <cellStyle name="Porcentagem" xfId="6" builtinId="5"/>
    <cellStyle name="Porcentagem 2" xfId="7" xr:uid="{00000000-0005-0000-0000-000007000000}"/>
    <cellStyle name="Porcentagem 3" xfId="8" xr:uid="{00000000-0005-0000-0000-000008000000}"/>
    <cellStyle name="Separador de milhares [0]" xfId="9" builtinId="6"/>
    <cellStyle name="Separador de milhares [0] 2" xfId="10" xr:uid="{00000000-0005-0000-0000-00000A000000}"/>
    <cellStyle name="Separador de milhares [0] 3" xfId="11" xr:uid="{00000000-0005-0000-0000-00000B000000}"/>
    <cellStyle name="Vírgula" xfId="12" builtinId="3"/>
    <cellStyle name="Vírgula 2" xfId="13" xr:uid="{00000000-0005-0000-0000-00000D000000}"/>
    <cellStyle name="Vírgula 3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por categoria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R$</a:t>
                    </a:r>
                    <a:r>
                      <a:rPr lang="en-US" sz="900" b="1" i="0" u="none" strike="noStrike" baseline="0">
                        <a:effectLst/>
                      </a:rPr>
                      <a:t> 3.742.548,24</a:t>
                    </a:r>
                    <a:endParaRPr lang="en-US" b="1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5E1-4574-B2D8-A2AF4E06EBC7}"/>
                </c:ext>
              </c:extLst>
            </c:dLbl>
            <c:dLbl>
              <c:idx val="1"/>
              <c:layout>
                <c:manualLayout>
                  <c:x val="-9.1574482851472572E-2"/>
                  <c:y val="4.1888187564089749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R$2.008.091,35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5B1-4B8B-8FA7-8A9A665FE83F}"/>
                </c:ext>
              </c:extLst>
            </c:dLbl>
            <c:dLbl>
              <c:idx val="2"/>
              <c:layout>
                <c:manualLayout>
                  <c:x val="-1.8804991305043414E-3"/>
                  <c:y val="7.6794123401897902E-17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R$433.966,73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5E1-4574-B2D8-A2AF4E06EBC7}"/>
                </c:ext>
              </c:extLst>
            </c:dLbl>
            <c:dLbl>
              <c:idx val="3"/>
              <c:layout>
                <c:manualLayout>
                  <c:x val="2.001016137567768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R$744.817,84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5E1-4574-B2D8-A2AF4E06EBC7}"/>
                </c:ext>
              </c:extLst>
            </c:dLbl>
            <c:dLbl>
              <c:idx val="4"/>
              <c:layout>
                <c:manualLayout>
                  <c:x val="-2.240374943609095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R$153.264,01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5E1-4574-B2D8-A2AF4E06EBC7}"/>
                </c:ext>
              </c:extLst>
            </c:dLbl>
            <c:dLbl>
              <c:idx val="5"/>
              <c:layout>
                <c:manualLayout>
                  <c:x val="-4.8513745467327864E-4"/>
                  <c:y val="-4.1888187564089749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R$114.440,66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5E1-4574-B2D8-A2AF4E06EB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'Despesas por categoria 2024'!$B$42:$B$47</c:f>
              <c:strCache>
                <c:ptCount val="6"/>
                <c:pt idx="0">
                  <c:v>Pessoal, encargos e benefícios.</c:v>
                </c:pt>
                <c:pt idx="1">
                  <c:v>Cota Parte (CFP)</c:v>
                </c:pt>
                <c:pt idx="2">
                  <c:v>Ajuda de custos/diárias </c:v>
                </c:pt>
                <c:pt idx="3">
                  <c:v>Serviços de Terceiro - PJ</c:v>
                </c:pt>
                <c:pt idx="4">
                  <c:v>Serviços de Terceiro - PF</c:v>
                </c:pt>
                <c:pt idx="5">
                  <c:v>Despesas bancárias</c:v>
                </c:pt>
              </c:strCache>
            </c:strRef>
          </c:cat>
          <c:val>
            <c:numRef>
              <c:f>'Despesas por categoria 2024'!$C$42:$C$47</c:f>
              <c:numCache>
                <c:formatCode>_("R$"* #,##0.00_);_("R$"* \(#,##0.00\);_("R$"* "-"??_);_(@_)</c:formatCode>
                <c:ptCount val="6"/>
                <c:pt idx="0">
                  <c:v>3742548.2399999998</c:v>
                </c:pt>
                <c:pt idx="1">
                  <c:v>2008091.35</c:v>
                </c:pt>
                <c:pt idx="2">
                  <c:v>433966.73</c:v>
                </c:pt>
                <c:pt idx="3">
                  <c:v>744817.84</c:v>
                </c:pt>
                <c:pt idx="4">
                  <c:v>153264.01</c:v>
                </c:pt>
                <c:pt idx="5">
                  <c:v>114440.66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1-4574-B2D8-A2AF4E06E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6060672"/>
        <c:axId val="216063360"/>
      </c:barChart>
      <c:catAx>
        <c:axId val="2160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063360"/>
        <c:crosses val="autoZero"/>
        <c:auto val="1"/>
        <c:lblAlgn val="ctr"/>
        <c:lblOffset val="100"/>
        <c:noMultiLvlLbl val="0"/>
      </c:catAx>
      <c:valAx>
        <c:axId val="216063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0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380267</xdr:colOff>
      <xdr:row>34</xdr:row>
      <xdr:rowOff>13189</xdr:rowOff>
    </xdr:from>
    <xdr:to>
      <xdr:col>18</xdr:col>
      <xdr:colOff>97448</xdr:colOff>
      <xdr:row>52</xdr:row>
      <xdr:rowOff>136281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A18" sqref="A18"/>
    </sheetView>
  </sheetViews>
  <sheetFormatPr defaultRowHeight="13.2" x14ac:dyDescent="0.25"/>
  <cols>
    <col min="1" max="1" width="29.33203125" bestFit="1" customWidth="1"/>
    <col min="2" max="2" width="12.6640625" bestFit="1" customWidth="1"/>
    <col min="3" max="5" width="11.33203125" bestFit="1" customWidth="1"/>
    <col min="7" max="7" width="12.6640625" bestFit="1" customWidth="1"/>
    <col min="9" max="9" width="8" customWidth="1"/>
    <col min="10" max="10" width="11.33203125" bestFit="1" customWidth="1"/>
  </cols>
  <sheetData>
    <row r="1" spans="1:10" x14ac:dyDescent="0.25">
      <c r="A1" s="534" t="s">
        <v>0</v>
      </c>
      <c r="B1" s="534"/>
      <c r="C1" s="534"/>
      <c r="D1" s="534"/>
      <c r="E1" s="534"/>
      <c r="F1" s="534"/>
      <c r="G1" s="534"/>
      <c r="H1" s="534"/>
      <c r="I1" s="534"/>
      <c r="J1" s="534"/>
    </row>
    <row r="3" spans="1:10" ht="15" x14ac:dyDescent="0.25">
      <c r="A3" s="535" t="s">
        <v>1</v>
      </c>
      <c r="B3" s="535"/>
      <c r="C3" s="535"/>
      <c r="D3" s="535"/>
      <c r="E3" s="535"/>
      <c r="F3" s="535"/>
      <c r="G3" s="535"/>
      <c r="H3" s="535"/>
      <c r="I3" s="535"/>
      <c r="J3" s="535"/>
    </row>
    <row r="4" spans="1:10" ht="15" x14ac:dyDescent="0.25">
      <c r="A4" s="535" t="s">
        <v>2</v>
      </c>
      <c r="B4" s="535"/>
      <c r="C4" s="535"/>
      <c r="D4" s="535"/>
      <c r="E4" s="535"/>
      <c r="F4" s="535"/>
      <c r="G4" s="535"/>
      <c r="H4" s="535"/>
      <c r="I4" s="535"/>
      <c r="J4" s="535"/>
    </row>
    <row r="5" spans="1:10" x14ac:dyDescent="0.25">
      <c r="J5" s="28" t="s">
        <v>3</v>
      </c>
    </row>
    <row r="6" spans="1:10" x14ac:dyDescent="0.25">
      <c r="A6" s="29"/>
      <c r="B6" s="2" t="s">
        <v>4</v>
      </c>
      <c r="C6" s="536" t="s">
        <v>4</v>
      </c>
      <c r="D6" s="537"/>
      <c r="E6" s="537"/>
      <c r="F6" s="538"/>
      <c r="G6" s="37" t="s">
        <v>4</v>
      </c>
      <c r="H6" s="539" t="s">
        <v>5</v>
      </c>
      <c r="I6" s="540"/>
      <c r="J6" s="40" t="s">
        <v>6</v>
      </c>
    </row>
    <row r="7" spans="1:10" x14ac:dyDescent="0.25">
      <c r="A7" s="23" t="s">
        <v>7</v>
      </c>
      <c r="B7" s="3" t="s">
        <v>8</v>
      </c>
      <c r="C7" s="28" t="s">
        <v>9</v>
      </c>
      <c r="D7" s="2" t="s">
        <v>10</v>
      </c>
      <c r="E7" s="532" t="s">
        <v>11</v>
      </c>
      <c r="F7" s="532" t="s">
        <v>12</v>
      </c>
      <c r="G7" s="28" t="s">
        <v>10</v>
      </c>
      <c r="H7" s="532" t="s">
        <v>13</v>
      </c>
      <c r="I7" s="532" t="s">
        <v>14</v>
      </c>
      <c r="J7" s="8" t="s">
        <v>15</v>
      </c>
    </row>
    <row r="8" spans="1:10" x14ac:dyDescent="0.25">
      <c r="A8" s="30"/>
      <c r="B8" s="4">
        <v>2010</v>
      </c>
      <c r="C8" s="38">
        <v>40422</v>
      </c>
      <c r="D8" s="39">
        <f>C8</f>
        <v>40422</v>
      </c>
      <c r="E8" s="533"/>
      <c r="F8" s="533"/>
      <c r="G8" s="43" t="s">
        <v>16</v>
      </c>
      <c r="H8" s="533"/>
      <c r="I8" s="533"/>
      <c r="J8" s="41">
        <v>2010</v>
      </c>
    </row>
    <row r="9" spans="1:10" x14ac:dyDescent="0.25">
      <c r="A9" s="24"/>
      <c r="B9" s="32"/>
      <c r="C9" s="32"/>
      <c r="D9" s="32"/>
      <c r="E9" s="32"/>
      <c r="F9" s="1"/>
      <c r="G9" s="1"/>
      <c r="H9" s="1"/>
      <c r="I9" s="1"/>
      <c r="J9" s="1"/>
    </row>
    <row r="10" spans="1:10" x14ac:dyDescent="0.25">
      <c r="A10" s="1" t="s">
        <v>17</v>
      </c>
      <c r="B10" s="33">
        <v>625987.03</v>
      </c>
      <c r="C10" s="33">
        <v>53975.03</v>
      </c>
      <c r="D10" s="33">
        <v>52291.55</v>
      </c>
      <c r="E10" s="32">
        <f>D10-C10</f>
        <v>-1683.4799999999959</v>
      </c>
      <c r="F10" s="34">
        <f>E10/C10</f>
        <v>-3.1189978032434552E-2</v>
      </c>
      <c r="G10" s="33">
        <v>405827.57</v>
      </c>
      <c r="H10" s="34">
        <f>G10/B10</f>
        <v>0.64830028507140158</v>
      </c>
      <c r="I10" s="34">
        <f>G10/G15</f>
        <v>0.29236522927192643</v>
      </c>
      <c r="J10" s="31">
        <f t="shared" ref="J10:J15" si="0">B10-G10</f>
        <v>220159.46000000002</v>
      </c>
    </row>
    <row r="11" spans="1:10" x14ac:dyDescent="0.25">
      <c r="A11" s="1" t="s">
        <v>18</v>
      </c>
      <c r="B11" s="33">
        <v>86500</v>
      </c>
      <c r="C11" s="33">
        <v>2000</v>
      </c>
      <c r="D11" s="33">
        <v>106.45</v>
      </c>
      <c r="E11" s="32">
        <f>D11-C11</f>
        <v>-1893.55</v>
      </c>
      <c r="F11" s="34">
        <f>E11/C11</f>
        <v>-0.94677499999999992</v>
      </c>
      <c r="G11" s="33">
        <v>18946.490000000002</v>
      </c>
      <c r="H11" s="34">
        <f>G11/B11</f>
        <v>0.21903456647398845</v>
      </c>
      <c r="I11" s="34">
        <f>G11/G15</f>
        <v>1.3649380432059511E-2</v>
      </c>
      <c r="J11" s="31">
        <f t="shared" si="0"/>
        <v>67553.509999999995</v>
      </c>
    </row>
    <row r="12" spans="1:10" x14ac:dyDescent="0.25">
      <c r="A12" s="1" t="s">
        <v>19</v>
      </c>
      <c r="B12" s="33">
        <v>103800</v>
      </c>
      <c r="C12" s="33">
        <v>7500</v>
      </c>
      <c r="D12" s="33">
        <v>1620.19</v>
      </c>
      <c r="E12" s="32">
        <f>D12-C12</f>
        <v>-5879.8099999999995</v>
      </c>
      <c r="F12" s="34">
        <f>E12/C12</f>
        <v>-0.7839746666666666</v>
      </c>
      <c r="G12" s="33">
        <v>43318.19</v>
      </c>
      <c r="H12" s="34">
        <f>G12/B12</f>
        <v>0.41732360308285166</v>
      </c>
      <c r="I12" s="34">
        <f>G12/G15</f>
        <v>3.1207176365555624E-2</v>
      </c>
      <c r="J12" s="31">
        <f t="shared" si="0"/>
        <v>60481.81</v>
      </c>
    </row>
    <row r="13" spans="1:10" x14ac:dyDescent="0.25">
      <c r="A13" s="1" t="s">
        <v>20</v>
      </c>
      <c r="B13" s="33">
        <v>1335412.97</v>
      </c>
      <c r="C13" s="33">
        <v>66181</v>
      </c>
      <c r="D13" s="33">
        <v>84606.66</v>
      </c>
      <c r="E13" s="32">
        <f>D13-C13</f>
        <v>18425.660000000003</v>
      </c>
      <c r="F13" s="34">
        <f>E13/C13</f>
        <v>0.27841313972288123</v>
      </c>
      <c r="G13" s="33">
        <v>919992</v>
      </c>
      <c r="H13" s="34">
        <f>G13/B13</f>
        <v>0.68891947335212722</v>
      </c>
      <c r="I13" s="34">
        <f>G13/G15</f>
        <v>0.66277821393045844</v>
      </c>
      <c r="J13" s="31">
        <f t="shared" si="0"/>
        <v>415420.97</v>
      </c>
    </row>
    <row r="14" spans="1:10" x14ac:dyDescent="0.25">
      <c r="A14" s="1"/>
      <c r="B14" s="33"/>
      <c r="C14" s="33"/>
      <c r="D14" s="33"/>
      <c r="E14" s="32"/>
      <c r="F14" s="34"/>
      <c r="G14" s="33"/>
      <c r="H14" s="34"/>
      <c r="I14" s="34"/>
      <c r="J14" s="31">
        <f t="shared" si="0"/>
        <v>0</v>
      </c>
    </row>
    <row r="15" spans="1:10" x14ac:dyDescent="0.25">
      <c r="A15" s="24" t="s">
        <v>21</v>
      </c>
      <c r="B15" s="26">
        <f>SUM(B10:B14)</f>
        <v>2151700</v>
      </c>
      <c r="C15" s="26">
        <f>SUM(C10:C14)</f>
        <v>129656.03</v>
      </c>
      <c r="D15" s="26">
        <f>SUM(D10:D14)</f>
        <v>138624.85</v>
      </c>
      <c r="E15" s="26">
        <f>SUM(E10:E14)</f>
        <v>8968.820000000007</v>
      </c>
      <c r="F15" s="27">
        <f>E15/C15</f>
        <v>6.9173952032929031E-2</v>
      </c>
      <c r="G15" s="26">
        <f>SUM(G10:G14)</f>
        <v>1388084.25</v>
      </c>
      <c r="H15" s="27">
        <f>G15/B15</f>
        <v>0.64511049402797793</v>
      </c>
      <c r="I15" s="27">
        <v>1</v>
      </c>
      <c r="J15" s="26">
        <f t="shared" si="0"/>
        <v>763615.75</v>
      </c>
    </row>
  </sheetData>
  <mergeCells count="9">
    <mergeCell ref="E7:E8"/>
    <mergeCell ref="F7:F8"/>
    <mergeCell ref="H7:H8"/>
    <mergeCell ref="I7:I8"/>
    <mergeCell ref="A1:J1"/>
    <mergeCell ref="A3:J3"/>
    <mergeCell ref="A4:J4"/>
    <mergeCell ref="C6:F6"/>
    <mergeCell ref="H6:I6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2"/>
  <sheetViews>
    <sheetView showGridLines="0" zoomScale="118" zoomScaleNormal="118" workbookViewId="0">
      <selection activeCell="E10" sqref="E10:E20"/>
    </sheetView>
  </sheetViews>
  <sheetFormatPr defaultColWidth="11.44140625" defaultRowHeight="13.2" x14ac:dyDescent="0.25"/>
  <cols>
    <col min="1" max="1" width="8.44140625" bestFit="1" customWidth="1"/>
    <col min="2" max="2" width="13.6640625" bestFit="1" customWidth="1"/>
    <col min="3" max="3" width="16.109375" bestFit="1" customWidth="1"/>
    <col min="4" max="4" width="8.109375" customWidth="1"/>
    <col min="5" max="5" width="16.44140625" customWidth="1"/>
    <col min="6" max="6" width="8" customWidth="1"/>
    <col min="7" max="7" width="16" customWidth="1"/>
    <col min="8" max="8" width="9.33203125" customWidth="1"/>
    <col min="9" max="9" width="14.6640625" bestFit="1" customWidth="1"/>
    <col min="10" max="10" width="13.33203125" bestFit="1" customWidth="1"/>
    <col min="11" max="11" width="12.44140625" bestFit="1" customWidth="1"/>
    <col min="13" max="13" width="13" bestFit="1" customWidth="1"/>
    <col min="14" max="14" width="14.33203125" bestFit="1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s="98" customFormat="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576" t="s">
        <v>281</v>
      </c>
      <c r="B4" s="576"/>
      <c r="C4" s="576"/>
      <c r="D4" s="576"/>
      <c r="E4" s="576"/>
      <c r="F4" s="576"/>
      <c r="G4" s="576"/>
      <c r="H4" s="576"/>
      <c r="I4" s="576"/>
      <c r="J4" s="576"/>
      <c r="K4" s="576"/>
    </row>
    <row r="5" spans="1:11" ht="13.8" thickBot="1" x14ac:dyDescent="0.3"/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x14ac:dyDescent="0.25">
      <c r="A7" s="46"/>
      <c r="B7" s="63" t="s">
        <v>200</v>
      </c>
      <c r="C7" s="63" t="s">
        <v>201</v>
      </c>
      <c r="D7" s="52"/>
      <c r="E7" s="45" t="s">
        <v>4</v>
      </c>
      <c r="F7" s="52"/>
      <c r="G7" s="45" t="s">
        <v>202</v>
      </c>
      <c r="H7" s="52"/>
      <c r="I7" s="63" t="s">
        <v>6</v>
      </c>
      <c r="J7" s="371" t="s">
        <v>203</v>
      </c>
      <c r="K7" s="52" t="s">
        <v>202</v>
      </c>
    </row>
    <row r="8" spans="1:11" x14ac:dyDescent="0.25">
      <c r="A8" s="44" t="s">
        <v>204</v>
      </c>
      <c r="B8" s="64" t="s">
        <v>205</v>
      </c>
      <c r="C8" s="64" t="s">
        <v>206</v>
      </c>
      <c r="D8" s="53" t="s">
        <v>12</v>
      </c>
      <c r="E8" s="15" t="s">
        <v>10</v>
      </c>
      <c r="F8" s="53" t="s">
        <v>12</v>
      </c>
      <c r="G8" s="15" t="s">
        <v>207</v>
      </c>
      <c r="H8" s="53" t="s">
        <v>12</v>
      </c>
      <c r="I8" s="64" t="s">
        <v>208</v>
      </c>
      <c r="J8" s="372" t="s">
        <v>209</v>
      </c>
      <c r="K8" s="53" t="s">
        <v>210</v>
      </c>
    </row>
    <row r="9" spans="1:11" ht="13.8" thickBot="1" x14ac:dyDescent="0.3">
      <c r="A9" s="47"/>
      <c r="B9" s="89">
        <v>2022</v>
      </c>
      <c r="C9" s="89">
        <v>2022</v>
      </c>
      <c r="D9" s="54" t="s">
        <v>211</v>
      </c>
      <c r="E9" s="89">
        <v>2022</v>
      </c>
      <c r="F9" s="54" t="s">
        <v>211</v>
      </c>
      <c r="G9" s="89">
        <v>2022</v>
      </c>
      <c r="H9" s="54"/>
      <c r="I9" s="89">
        <v>2022</v>
      </c>
      <c r="J9" s="373">
        <v>2022</v>
      </c>
      <c r="K9" s="54">
        <v>2022</v>
      </c>
    </row>
    <row r="10" spans="1:11" x14ac:dyDescent="0.25">
      <c r="A10" s="48" t="s">
        <v>212</v>
      </c>
      <c r="B10" s="278">
        <v>8960000</v>
      </c>
      <c r="C10" s="466">
        <v>1545006.53</v>
      </c>
      <c r="D10" s="280">
        <f t="shared" ref="D10:D18" si="0">C10/7360000</f>
        <v>0.20991936548913043</v>
      </c>
      <c r="E10" s="279">
        <v>755471.54</v>
      </c>
      <c r="F10" s="280">
        <f t="shared" ref="F10:F21" si="1">E10/B10</f>
        <v>8.4316020089285723E-2</v>
      </c>
      <c r="G10" s="276">
        <f t="shared" ref="G10:G12" si="2">C10-E10</f>
        <v>789534.99</v>
      </c>
      <c r="H10" s="281">
        <f t="shared" ref="H10:H21" si="3">G10/C10</f>
        <v>0.511023723634359</v>
      </c>
      <c r="I10" s="278">
        <v>6325933.5999999996</v>
      </c>
      <c r="J10" s="276">
        <v>655362.46</v>
      </c>
      <c r="K10" s="282">
        <f t="shared" ref="K10:K12" si="4">I10-J10</f>
        <v>5670571.1399999997</v>
      </c>
    </row>
    <row r="11" spans="1:11" x14ac:dyDescent="0.25">
      <c r="A11" s="48" t="s">
        <v>213</v>
      </c>
      <c r="B11" s="278">
        <v>8960000</v>
      </c>
      <c r="C11" s="434">
        <v>1559969.85</v>
      </c>
      <c r="D11" s="280">
        <f t="shared" si="0"/>
        <v>0.21195242527173913</v>
      </c>
      <c r="E11" s="276">
        <v>718684.35</v>
      </c>
      <c r="F11" s="280">
        <f t="shared" si="1"/>
        <v>8.0210306919642857E-2</v>
      </c>
      <c r="G11" s="276">
        <f t="shared" si="2"/>
        <v>841285.50000000012</v>
      </c>
      <c r="H11" s="281">
        <f t="shared" si="3"/>
        <v>0.5392959998553819</v>
      </c>
      <c r="I11" s="283">
        <v>7158181.6200000001</v>
      </c>
      <c r="J11" s="276">
        <v>619154.36</v>
      </c>
      <c r="K11" s="282">
        <f t="shared" si="4"/>
        <v>6539027.2599999998</v>
      </c>
    </row>
    <row r="12" spans="1:11" x14ac:dyDescent="0.25">
      <c r="A12" s="48" t="s">
        <v>214</v>
      </c>
      <c r="B12" s="278">
        <v>8960000</v>
      </c>
      <c r="C12" s="434">
        <v>926375.44</v>
      </c>
      <c r="D12" s="280">
        <f t="shared" si="0"/>
        <v>0.12586622826086954</v>
      </c>
      <c r="E12" s="276">
        <v>586698.89</v>
      </c>
      <c r="F12" s="280">
        <f t="shared" si="1"/>
        <v>6.5479786830357142E-2</v>
      </c>
      <c r="G12" s="276">
        <f t="shared" si="2"/>
        <v>339676.54999999993</v>
      </c>
      <c r="H12" s="281">
        <f t="shared" si="3"/>
        <v>0.36667266351534528</v>
      </c>
      <c r="I12" s="283">
        <v>7503709.4400000004</v>
      </c>
      <c r="J12" s="276">
        <v>605803.27</v>
      </c>
      <c r="K12" s="282">
        <f t="shared" si="4"/>
        <v>6897906.1699999999</v>
      </c>
    </row>
    <row r="13" spans="1:11" x14ac:dyDescent="0.25">
      <c r="A13" s="48" t="s">
        <v>215</v>
      </c>
      <c r="B13" s="278">
        <v>8960000</v>
      </c>
      <c r="C13" s="434">
        <v>983453.79</v>
      </c>
      <c r="D13" s="280">
        <f t="shared" si="0"/>
        <v>0.13362143885869565</v>
      </c>
      <c r="E13" s="276">
        <v>607901.67000000004</v>
      </c>
      <c r="F13" s="280">
        <f t="shared" si="1"/>
        <v>6.7846168526785725E-2</v>
      </c>
      <c r="G13" s="276">
        <f t="shared" ref="G13:G21" si="5">C13-E13</f>
        <v>375552.12</v>
      </c>
      <c r="H13" s="281">
        <f t="shared" si="3"/>
        <v>0.38187063166435098</v>
      </c>
      <c r="I13" s="283">
        <v>7856524.0899999999</v>
      </c>
      <c r="J13" s="276">
        <v>579612.26</v>
      </c>
      <c r="K13" s="282">
        <f t="shared" ref="K13:K18" si="6">I13-J13</f>
        <v>7276911.8300000001</v>
      </c>
    </row>
    <row r="14" spans="1:11" x14ac:dyDescent="0.25">
      <c r="A14" s="48" t="s">
        <v>216</v>
      </c>
      <c r="B14" s="278">
        <v>8960000</v>
      </c>
      <c r="C14" s="434">
        <v>634046.57999999996</v>
      </c>
      <c r="D14" s="425">
        <f t="shared" si="0"/>
        <v>8.6147633152173914E-2</v>
      </c>
      <c r="E14" s="276">
        <v>513537.23</v>
      </c>
      <c r="F14" s="423">
        <f t="shared" si="1"/>
        <v>5.7314422991071423E-2</v>
      </c>
      <c r="G14" s="285">
        <f t="shared" si="5"/>
        <v>120509.34999999998</v>
      </c>
      <c r="H14" s="424">
        <f t="shared" si="3"/>
        <v>0.19006387511781861</v>
      </c>
      <c r="I14" s="283">
        <v>7949601.2199999997</v>
      </c>
      <c r="J14" s="276">
        <v>560730.87</v>
      </c>
      <c r="K14" s="286">
        <f t="shared" si="6"/>
        <v>7388870.3499999996</v>
      </c>
    </row>
    <row r="15" spans="1:11" x14ac:dyDescent="0.25">
      <c r="A15" s="48" t="s">
        <v>217</v>
      </c>
      <c r="B15" s="278">
        <v>8960000</v>
      </c>
      <c r="C15" s="434">
        <v>490560.63</v>
      </c>
      <c r="D15" s="425">
        <f t="shared" si="0"/>
        <v>6.665225951086956E-2</v>
      </c>
      <c r="E15" s="276">
        <v>437140.46</v>
      </c>
      <c r="F15" s="423">
        <f t="shared" si="1"/>
        <v>4.8787997767857146E-2</v>
      </c>
      <c r="G15" s="285">
        <f t="shared" si="5"/>
        <v>53420.169999999984</v>
      </c>
      <c r="H15" s="424">
        <f t="shared" si="3"/>
        <v>0.10889616233573408</v>
      </c>
      <c r="I15" s="283">
        <v>7999939.5700000003</v>
      </c>
      <c r="J15" s="276">
        <v>577302.38</v>
      </c>
      <c r="K15" s="286">
        <f t="shared" si="6"/>
        <v>7422637.1900000004</v>
      </c>
    </row>
    <row r="16" spans="1:11" x14ac:dyDescent="0.25">
      <c r="A16" s="48" t="s">
        <v>218</v>
      </c>
      <c r="B16" s="278">
        <v>8960000</v>
      </c>
      <c r="C16" s="435">
        <v>387780.12</v>
      </c>
      <c r="D16" s="425">
        <f t="shared" si="0"/>
        <v>5.2687516304347828E-2</v>
      </c>
      <c r="E16" s="276">
        <v>448223.23</v>
      </c>
      <c r="F16" s="423">
        <f t="shared" si="1"/>
        <v>5.0024914062499995E-2</v>
      </c>
      <c r="G16" s="285">
        <f t="shared" si="5"/>
        <v>-60443.109999999986</v>
      </c>
      <c r="H16" s="424">
        <f t="shared" si="3"/>
        <v>-0.1558695427707846</v>
      </c>
      <c r="I16" s="283">
        <v>7847073.5999999996</v>
      </c>
      <c r="J16" s="276">
        <v>560077.86</v>
      </c>
      <c r="K16" s="286">
        <f t="shared" si="6"/>
        <v>7286995.7399999993</v>
      </c>
    </row>
    <row r="17" spans="1:14" x14ac:dyDescent="0.25">
      <c r="A17" s="48" t="s">
        <v>219</v>
      </c>
      <c r="B17" s="278">
        <v>8960000</v>
      </c>
      <c r="C17" s="435">
        <v>397717.71</v>
      </c>
      <c r="D17" s="425">
        <f t="shared" si="0"/>
        <v>5.4037732336956523E-2</v>
      </c>
      <c r="E17" s="276">
        <v>492269.7</v>
      </c>
      <c r="F17" s="423">
        <f t="shared" si="1"/>
        <v>5.4940814732142858E-2</v>
      </c>
      <c r="G17" s="285">
        <f t="shared" si="5"/>
        <v>-94551.989999999991</v>
      </c>
      <c r="H17" s="424">
        <f t="shared" si="3"/>
        <v>-0.23773643371324849</v>
      </c>
      <c r="I17" s="283">
        <v>7761677.1600000001</v>
      </c>
      <c r="J17" s="276">
        <v>595300.56999999995</v>
      </c>
      <c r="K17" s="286">
        <f t="shared" si="6"/>
        <v>7166376.5899999999</v>
      </c>
      <c r="M17" s="101"/>
    </row>
    <row r="18" spans="1:14" x14ac:dyDescent="0.25">
      <c r="A18" s="48" t="s">
        <v>220</v>
      </c>
      <c r="B18" s="278">
        <v>8960000</v>
      </c>
      <c r="C18" s="435">
        <v>317838.92</v>
      </c>
      <c r="D18" s="425">
        <f t="shared" si="0"/>
        <v>4.3184635869565217E-2</v>
      </c>
      <c r="E18" s="276">
        <v>409073.48</v>
      </c>
      <c r="F18" s="280">
        <f t="shared" si="1"/>
        <v>4.5655522321428568E-2</v>
      </c>
      <c r="G18" s="285">
        <f t="shared" si="5"/>
        <v>-91234.559999999998</v>
      </c>
      <c r="H18" s="281">
        <f t="shared" si="3"/>
        <v>-0.28704653287898158</v>
      </c>
      <c r="I18" s="283">
        <v>7661174.1799999997</v>
      </c>
      <c r="J18" s="276">
        <v>617847.59</v>
      </c>
      <c r="K18" s="286">
        <f t="shared" si="6"/>
        <v>7043326.5899999999</v>
      </c>
    </row>
    <row r="19" spans="1:14" x14ac:dyDescent="0.25">
      <c r="A19" s="48" t="s">
        <v>221</v>
      </c>
      <c r="B19" s="278">
        <v>9575600</v>
      </c>
      <c r="C19" s="435">
        <v>233340.7</v>
      </c>
      <c r="D19" s="425">
        <f>C19/7975600</f>
        <v>2.9256820803450524E-2</v>
      </c>
      <c r="E19" s="276">
        <v>383967.38</v>
      </c>
      <c r="F19" s="280">
        <f t="shared" si="1"/>
        <v>4.0098519152846818E-2</v>
      </c>
      <c r="G19" s="285">
        <f t="shared" si="5"/>
        <v>-150626.68</v>
      </c>
      <c r="H19" s="281">
        <f t="shared" si="3"/>
        <v>-0.6455225342171339</v>
      </c>
      <c r="I19" s="283">
        <v>7525725.4900000002</v>
      </c>
      <c r="J19" s="276">
        <v>607369.9</v>
      </c>
      <c r="K19" s="286">
        <f>I19-J19</f>
        <v>6918355.5899999999</v>
      </c>
      <c r="N19" s="482"/>
    </row>
    <row r="20" spans="1:14" x14ac:dyDescent="0.25">
      <c r="A20" s="48" t="s">
        <v>222</v>
      </c>
      <c r="B20" s="278">
        <v>9575600</v>
      </c>
      <c r="C20" s="435">
        <v>240809.01</v>
      </c>
      <c r="D20" s="425">
        <f>C20/7975600</f>
        <v>3.0193215557450224E-2</v>
      </c>
      <c r="E20" s="276">
        <v>455511.07</v>
      </c>
      <c r="F20" s="280">
        <f t="shared" si="1"/>
        <v>4.7569976816074187E-2</v>
      </c>
      <c r="G20" s="285">
        <f t="shared" si="5"/>
        <v>-214702.06</v>
      </c>
      <c r="H20" s="281">
        <f t="shared" si="3"/>
        <v>-0.89158649005699575</v>
      </c>
      <c r="I20" s="283">
        <v>7335393.5700000003</v>
      </c>
      <c r="J20" s="276">
        <v>641594.75</v>
      </c>
      <c r="K20" s="286">
        <f>I20-J20</f>
        <v>6693798.8200000003</v>
      </c>
    </row>
    <row r="21" spans="1:14" x14ac:dyDescent="0.25">
      <c r="A21" s="48" t="s">
        <v>223</v>
      </c>
      <c r="B21" s="278">
        <v>9575600</v>
      </c>
      <c r="C21" s="435">
        <v>281190.09000000003</v>
      </c>
      <c r="D21" s="425">
        <f>C21/7975600</f>
        <v>3.525629294347761E-2</v>
      </c>
      <c r="E21" s="276">
        <v>475463.26</v>
      </c>
      <c r="F21" s="280">
        <f t="shared" si="1"/>
        <v>4.965362588245123E-2</v>
      </c>
      <c r="G21" s="285">
        <f t="shared" si="5"/>
        <v>-194273.16999999998</v>
      </c>
      <c r="H21" s="281">
        <f t="shared" si="3"/>
        <v>-0.69089621899548437</v>
      </c>
      <c r="I21" s="283">
        <v>7131514.8300000001</v>
      </c>
      <c r="J21" s="276">
        <v>550914.93000000005</v>
      </c>
      <c r="K21" s="286">
        <f>I21-J21</f>
        <v>6580599.9000000004</v>
      </c>
    </row>
    <row r="22" spans="1:14" ht="13.8" thickBot="1" x14ac:dyDescent="0.3">
      <c r="A22" s="49"/>
      <c r="B22" s="290"/>
      <c r="C22" s="435"/>
      <c r="D22" s="290"/>
      <c r="E22" s="291"/>
      <c r="F22" s="290"/>
      <c r="G22" s="292"/>
      <c r="H22" s="289"/>
      <c r="I22" s="475"/>
      <c r="J22" s="276"/>
      <c r="K22" s="293"/>
    </row>
    <row r="23" spans="1:14" ht="13.8" thickBot="1" x14ac:dyDescent="0.3">
      <c r="A23" s="72" t="s">
        <v>224</v>
      </c>
      <c r="B23" s="374">
        <v>9575600</v>
      </c>
      <c r="C23" s="74">
        <f>SUM(C10:C22)</f>
        <v>7998089.3699999992</v>
      </c>
      <c r="D23" s="75">
        <f>C23/7975600</f>
        <v>1.0028197715532372</v>
      </c>
      <c r="E23" s="374">
        <f>SUM(E10:E22)</f>
        <v>6283942.2600000007</v>
      </c>
      <c r="F23" s="75">
        <f>E23/B23</f>
        <v>0.65624527549187528</v>
      </c>
      <c r="G23" s="74">
        <f>C23-E23</f>
        <v>1714147.1099999985</v>
      </c>
      <c r="H23" s="75">
        <f>E23/C23</f>
        <v>0.78568042557393947</v>
      </c>
      <c r="I23" s="474">
        <v>7131514.8300000001</v>
      </c>
      <c r="J23" s="73">
        <v>550914.93000000005</v>
      </c>
      <c r="K23" s="74">
        <v>6580599.9000000004</v>
      </c>
      <c r="L23" s="13"/>
    </row>
    <row r="24" spans="1:14" ht="13.8" thickBot="1" x14ac:dyDescent="0.3">
      <c r="A24" s="221"/>
      <c r="B24" s="223"/>
      <c r="C24" s="223"/>
      <c r="D24" s="224"/>
      <c r="E24" s="223"/>
      <c r="F24" s="224"/>
      <c r="G24" s="223"/>
      <c r="H24" s="224"/>
      <c r="I24" s="223"/>
      <c r="J24" s="223"/>
      <c r="K24" s="223"/>
      <c r="L24" s="13"/>
    </row>
    <row r="25" spans="1:14" ht="13.8" thickBot="1" x14ac:dyDescent="0.3">
      <c r="A25" s="28"/>
      <c r="C25" s="590" t="s">
        <v>225</v>
      </c>
      <c r="D25" s="591"/>
      <c r="E25" s="592" t="s">
        <v>226</v>
      </c>
      <c r="F25" s="593"/>
      <c r="G25" s="377" t="s">
        <v>202</v>
      </c>
      <c r="I25" s="246"/>
    </row>
    <row r="26" spans="1:14" ht="13.8" thickBot="1" x14ac:dyDescent="0.3">
      <c r="A26" s="603" t="s">
        <v>228</v>
      </c>
      <c r="B26" s="604"/>
      <c r="C26" s="643">
        <v>7975600</v>
      </c>
      <c r="D26" s="648"/>
      <c r="E26" s="607">
        <v>7915600</v>
      </c>
      <c r="F26" s="649"/>
      <c r="G26" s="645">
        <f>C27-E27</f>
        <v>1786727.5099999998</v>
      </c>
      <c r="I26" s="246"/>
    </row>
    <row r="27" spans="1:14" ht="18.75" customHeight="1" thickBot="1" x14ac:dyDescent="0.3">
      <c r="A27" s="603" t="s">
        <v>229</v>
      </c>
      <c r="B27" s="604"/>
      <c r="C27" s="469">
        <v>7998089.3700000001</v>
      </c>
      <c r="D27" s="470">
        <f>C27/C26</f>
        <v>1.0028197715532374</v>
      </c>
      <c r="E27" s="471">
        <v>6211361.8600000003</v>
      </c>
      <c r="F27" s="472">
        <f>E27/E26</f>
        <v>0.78469880489160648</v>
      </c>
      <c r="G27" s="647"/>
      <c r="I27" s="101"/>
      <c r="J27" s="249"/>
      <c r="K27" s="368"/>
      <c r="L27" s="248"/>
      <c r="M27" s="248"/>
      <c r="N27" s="248"/>
    </row>
    <row r="28" spans="1:14" x14ac:dyDescent="0.25">
      <c r="C28" s="99"/>
      <c r="E28" s="231"/>
      <c r="G28" s="231"/>
      <c r="I28" s="231"/>
    </row>
    <row r="29" spans="1:14" x14ac:dyDescent="0.25">
      <c r="A29" s="369" t="s">
        <v>282</v>
      </c>
      <c r="B29" s="369"/>
      <c r="C29" s="370"/>
      <c r="D29" s="369"/>
      <c r="E29" s="370"/>
      <c r="G29" s="246"/>
      <c r="I29" s="246"/>
      <c r="J29" s="101"/>
    </row>
    <row r="30" spans="1:14" x14ac:dyDescent="0.25">
      <c r="C30" s="25"/>
      <c r="E30" s="25"/>
      <c r="G30" s="246"/>
    </row>
    <row r="31" spans="1:14" x14ac:dyDescent="0.25">
      <c r="B31" s="246"/>
      <c r="C31" s="426"/>
      <c r="E31" s="376"/>
      <c r="G31" s="231"/>
      <c r="I31" s="231"/>
    </row>
    <row r="32" spans="1:14" x14ac:dyDescent="0.25">
      <c r="B32" s="246"/>
      <c r="G32" s="231"/>
    </row>
  </sheetData>
  <mergeCells count="11">
    <mergeCell ref="G26:G27"/>
    <mergeCell ref="A27:B27"/>
    <mergeCell ref="A1:K1"/>
    <mergeCell ref="A4:K4"/>
    <mergeCell ref="A6:H6"/>
    <mergeCell ref="I6:K6"/>
    <mergeCell ref="E25:F25"/>
    <mergeCell ref="C25:D25"/>
    <mergeCell ref="A26:B26"/>
    <mergeCell ref="C26:D26"/>
    <mergeCell ref="E26:F2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showGridLines="0" workbookViewId="0">
      <selection activeCell="G11" sqref="G11:G20"/>
    </sheetView>
  </sheetViews>
  <sheetFormatPr defaultRowHeight="13.2" x14ac:dyDescent="0.25"/>
  <cols>
    <col min="1" max="1" width="8.44140625" customWidth="1"/>
    <col min="2" max="2" width="14.44140625" customWidth="1"/>
    <col min="3" max="3" width="14.6640625" customWidth="1"/>
    <col min="4" max="4" width="13.6640625" customWidth="1"/>
    <col min="5" max="5" width="12.6640625" bestFit="1" customWidth="1"/>
    <col min="6" max="6" width="14.44140625" customWidth="1"/>
    <col min="7" max="9" width="16.33203125" bestFit="1" customWidth="1"/>
  </cols>
  <sheetData>
    <row r="1" spans="1:9" ht="20.399999999999999" x14ac:dyDescent="0.35">
      <c r="A1" s="611" t="s">
        <v>230</v>
      </c>
      <c r="B1" s="611"/>
      <c r="C1" s="611"/>
      <c r="D1" s="611"/>
      <c r="E1" s="611"/>
      <c r="F1" s="611"/>
      <c r="G1" s="611"/>
      <c r="H1" s="611"/>
      <c r="I1" s="611"/>
    </row>
    <row r="2" spans="1:9" ht="17.399999999999999" x14ac:dyDescent="0.3">
      <c r="A2" s="97"/>
      <c r="B2" s="97"/>
      <c r="C2" s="97"/>
      <c r="D2" s="97"/>
      <c r="E2" s="97"/>
      <c r="F2" s="97"/>
      <c r="G2" s="97"/>
      <c r="H2" s="97"/>
      <c r="I2" s="97"/>
    </row>
    <row r="3" spans="1:9" s="100" customFormat="1" ht="17.399999999999999" x14ac:dyDescent="0.3">
      <c r="A3" s="22" t="s">
        <v>231</v>
      </c>
      <c r="B3" s="22"/>
      <c r="C3" s="22"/>
      <c r="D3" s="22"/>
      <c r="E3" s="22"/>
      <c r="F3" s="22"/>
      <c r="G3" s="22"/>
      <c r="H3" s="22"/>
      <c r="I3" s="22"/>
    </row>
    <row r="4" spans="1:9" s="100" customFormat="1" ht="17.399999999999999" x14ac:dyDescent="0.3">
      <c r="A4" s="586" t="s">
        <v>283</v>
      </c>
      <c r="B4" s="586"/>
      <c r="C4" s="586"/>
      <c r="D4" s="586"/>
      <c r="E4" s="586"/>
      <c r="F4" s="586"/>
      <c r="G4" s="586"/>
      <c r="H4" s="586"/>
      <c r="I4" s="586"/>
    </row>
    <row r="5" spans="1:9" ht="13.8" thickBot="1" x14ac:dyDescent="0.3">
      <c r="A5" s="15"/>
      <c r="B5" s="15"/>
      <c r="C5" s="15"/>
      <c r="D5" s="15"/>
      <c r="E5" s="16"/>
      <c r="F5" s="13"/>
      <c r="G5" s="13"/>
      <c r="H5" s="13"/>
      <c r="I5" s="13"/>
    </row>
    <row r="6" spans="1:9" x14ac:dyDescent="0.25">
      <c r="A6" s="63"/>
      <c r="B6" s="612" t="s">
        <v>233</v>
      </c>
      <c r="C6" s="613"/>
      <c r="D6" s="613"/>
      <c r="E6" s="614"/>
      <c r="F6" s="612" t="s">
        <v>234</v>
      </c>
      <c r="G6" s="613"/>
      <c r="H6" s="613"/>
      <c r="I6" s="614"/>
    </row>
    <row r="7" spans="1:9" ht="13.8" thickBot="1" x14ac:dyDescent="0.3">
      <c r="A7" s="64"/>
      <c r="B7" s="615" t="s">
        <v>143</v>
      </c>
      <c r="C7" s="616"/>
      <c r="D7" s="617"/>
      <c r="E7" s="618"/>
      <c r="F7" s="619" t="s">
        <v>144</v>
      </c>
      <c r="G7" s="620"/>
      <c r="H7" s="621"/>
      <c r="I7" s="622"/>
    </row>
    <row r="8" spans="1:9" x14ac:dyDescent="0.25">
      <c r="A8" s="64" t="s">
        <v>235</v>
      </c>
      <c r="B8" s="63" t="s">
        <v>201</v>
      </c>
      <c r="C8" s="52" t="s">
        <v>201</v>
      </c>
      <c r="D8" s="119" t="s">
        <v>11</v>
      </c>
      <c r="E8" s="624" t="s">
        <v>12</v>
      </c>
      <c r="F8" s="52" t="s">
        <v>4</v>
      </c>
      <c r="G8" s="52" t="s">
        <v>4</v>
      </c>
      <c r="H8" s="119" t="s">
        <v>11</v>
      </c>
      <c r="I8" s="627" t="s">
        <v>12</v>
      </c>
    </row>
    <row r="9" spans="1:9" x14ac:dyDescent="0.25">
      <c r="A9" s="64"/>
      <c r="B9" s="64" t="s">
        <v>206</v>
      </c>
      <c r="C9" s="53" t="s">
        <v>206</v>
      </c>
      <c r="D9" s="119" t="s">
        <v>236</v>
      </c>
      <c r="E9" s="625"/>
      <c r="F9" s="53" t="s">
        <v>10</v>
      </c>
      <c r="G9" s="53" t="s">
        <v>10</v>
      </c>
      <c r="H9" s="119" t="s">
        <v>236</v>
      </c>
      <c r="I9" s="628"/>
    </row>
    <row r="10" spans="1:9" ht="13.8" thickBot="1" x14ac:dyDescent="0.3">
      <c r="A10" s="89"/>
      <c r="B10" s="89">
        <v>2021</v>
      </c>
      <c r="C10" s="54">
        <v>2022</v>
      </c>
      <c r="D10" s="120" t="s">
        <v>284</v>
      </c>
      <c r="E10" s="626"/>
      <c r="F10" s="54">
        <v>2021</v>
      </c>
      <c r="G10" s="54">
        <v>2022</v>
      </c>
      <c r="H10" s="120" t="s">
        <v>284</v>
      </c>
      <c r="I10" s="629"/>
    </row>
    <row r="11" spans="1:9" x14ac:dyDescent="0.25">
      <c r="A11" s="94" t="s">
        <v>237</v>
      </c>
      <c r="B11" s="36">
        <f>'Orçamentário e Fin. 2021'!C10</f>
        <v>1268293.53</v>
      </c>
      <c r="C11" s="36">
        <f>'Orçamentário e fin. 2022'!C10</f>
        <v>1545006.53</v>
      </c>
      <c r="D11" s="36">
        <f t="shared" ref="D11:D15" si="0">C11-B11</f>
        <v>276713</v>
      </c>
      <c r="E11" s="90">
        <f t="shared" ref="E11:E12" si="1">D11/B11</f>
        <v>0.21817741197497081</v>
      </c>
      <c r="F11" s="36">
        <f>'Orçamentário e Fin. 2021'!E10</f>
        <v>646096.13</v>
      </c>
      <c r="G11" s="86">
        <f>'Orçamentário e fin. 2022'!E10</f>
        <v>755471.54</v>
      </c>
      <c r="H11" s="79">
        <f t="shared" ref="H11:H13" si="2">G11-F11</f>
        <v>109375.41000000003</v>
      </c>
      <c r="I11" s="108">
        <f t="shared" ref="I11:I14" si="3">H11/F11</f>
        <v>0.16928658897864013</v>
      </c>
    </row>
    <row r="12" spans="1:9" x14ac:dyDescent="0.25">
      <c r="A12" s="95" t="s">
        <v>238</v>
      </c>
      <c r="B12" s="36">
        <f>'Orçamentário e Fin. 2021'!C11</f>
        <v>1411594.75</v>
      </c>
      <c r="C12" s="36">
        <f>'Orçamentário e fin. 2022'!C11</f>
        <v>1559969.85</v>
      </c>
      <c r="D12" s="36">
        <f t="shared" si="0"/>
        <v>148375.10000000009</v>
      </c>
      <c r="E12" s="90">
        <f t="shared" si="1"/>
        <v>0.10511168308043091</v>
      </c>
      <c r="F12" s="36">
        <f>'Orçamentário e Fin. 2021'!E11</f>
        <v>745370.87</v>
      </c>
      <c r="G12" s="55">
        <f>'Orçamentário e fin. 2022'!E11</f>
        <v>718684.35</v>
      </c>
      <c r="H12" s="79">
        <f t="shared" si="2"/>
        <v>-26686.520000000019</v>
      </c>
      <c r="I12" s="108">
        <f t="shared" si="3"/>
        <v>-3.5803009044343283E-2</v>
      </c>
    </row>
    <row r="13" spans="1:9" x14ac:dyDescent="0.25">
      <c r="A13" s="95" t="s">
        <v>239</v>
      </c>
      <c r="B13" s="36">
        <f>'Orçamentário e Fin. 2021'!C12</f>
        <v>958889.93</v>
      </c>
      <c r="C13" s="36">
        <f>'Orçamentário e fin. 2022'!C12</f>
        <v>926375.44</v>
      </c>
      <c r="D13" s="36">
        <f t="shared" si="0"/>
        <v>-32514.490000000107</v>
      </c>
      <c r="E13" s="90">
        <f t="shared" ref="E13:E22" si="4">D13/B13</f>
        <v>-3.3908469557084729E-2</v>
      </c>
      <c r="F13" s="36">
        <f>'Orçamentário e Fin. 2021'!E12</f>
        <v>549192.99</v>
      </c>
      <c r="G13" s="55">
        <f>'Orçamentário e fin. 2022'!E12</f>
        <v>586698.89</v>
      </c>
      <c r="H13" s="79">
        <f t="shared" si="2"/>
        <v>37505.900000000023</v>
      </c>
      <c r="I13" s="108">
        <f t="shared" si="3"/>
        <v>6.8292750786931977E-2</v>
      </c>
    </row>
    <row r="14" spans="1:9" x14ac:dyDescent="0.25">
      <c r="A14" s="95" t="s">
        <v>240</v>
      </c>
      <c r="B14" s="36">
        <f>'Orçamentário e Fin. 2021'!C13</f>
        <v>1033487.31</v>
      </c>
      <c r="C14" s="36">
        <f>'Orçamentário e fin. 2022'!C13</f>
        <v>983453.79</v>
      </c>
      <c r="D14" s="36">
        <f t="shared" si="0"/>
        <v>-50033.520000000019</v>
      </c>
      <c r="E14" s="90">
        <f t="shared" si="4"/>
        <v>-4.8412321579449309E-2</v>
      </c>
      <c r="F14" s="36">
        <f>'Orçamentário e Fin. 2021'!E13</f>
        <v>567496.44999999995</v>
      </c>
      <c r="G14" s="55">
        <f>'Orçamentário e fin. 2022'!E13</f>
        <v>607901.67000000004</v>
      </c>
      <c r="H14" s="79">
        <f t="shared" ref="H14:H22" si="5">G14-F14</f>
        <v>40405.220000000088</v>
      </c>
      <c r="I14" s="108">
        <f t="shared" si="3"/>
        <v>7.1199070936919684E-2</v>
      </c>
    </row>
    <row r="15" spans="1:9" x14ac:dyDescent="0.25">
      <c r="A15" s="95" t="s">
        <v>241</v>
      </c>
      <c r="B15" s="36">
        <f>'Orçamentário e Fin. 2021'!C14</f>
        <v>628677.46</v>
      </c>
      <c r="C15" s="36">
        <f>'Orçamentário e fin. 2022'!C14</f>
        <v>634046.57999999996</v>
      </c>
      <c r="D15" s="36">
        <f t="shared" si="0"/>
        <v>5369.1199999999953</v>
      </c>
      <c r="E15" s="90">
        <f t="shared" si="4"/>
        <v>8.5403411790840981E-3</v>
      </c>
      <c r="F15" s="36">
        <f>'Orçamentário e Fin. 2021'!E14</f>
        <v>446965.53</v>
      </c>
      <c r="G15" s="55">
        <f>'Orçamentário e fin. 2022'!E14</f>
        <v>513537.23</v>
      </c>
      <c r="H15" s="79">
        <f t="shared" si="5"/>
        <v>66571.699999999953</v>
      </c>
      <c r="I15" s="108">
        <f t="shared" ref="I15:I22" si="6">H15/F15</f>
        <v>0.14894146311461634</v>
      </c>
    </row>
    <row r="16" spans="1:9" x14ac:dyDescent="0.25">
      <c r="A16" s="95" t="s">
        <v>242</v>
      </c>
      <c r="B16" s="36">
        <f>'Orçamentário e Fin. 2021'!C15</f>
        <v>436105.69</v>
      </c>
      <c r="C16" s="36">
        <f>'Orçamentário e fin. 2022'!C15</f>
        <v>490560.63</v>
      </c>
      <c r="D16" s="36">
        <f t="shared" ref="D16:D22" si="7">C16-B16</f>
        <v>54454.94</v>
      </c>
      <c r="E16" s="90">
        <f t="shared" si="4"/>
        <v>0.12486638273396525</v>
      </c>
      <c r="F16" s="36">
        <f>'Orçamentário e Fin. 2021'!E15</f>
        <v>418917.71</v>
      </c>
      <c r="G16" s="55">
        <f>'Orçamentário e fin. 2022'!E15</f>
        <v>437140.46</v>
      </c>
      <c r="H16" s="79">
        <f t="shared" si="5"/>
        <v>18222.75</v>
      </c>
      <c r="I16" s="108">
        <f t="shared" si="6"/>
        <v>4.3499593273342393E-2</v>
      </c>
    </row>
    <row r="17" spans="1:11" x14ac:dyDescent="0.25">
      <c r="A17" s="95" t="s">
        <v>243</v>
      </c>
      <c r="B17" s="36">
        <f>'Orçamentário e Fin. 2021'!C16</f>
        <v>294178.08</v>
      </c>
      <c r="C17" s="36">
        <f>'Orçamentário e fin. 2022'!C16</f>
        <v>387780.12</v>
      </c>
      <c r="D17" s="36">
        <f t="shared" si="7"/>
        <v>93602.039999999979</v>
      </c>
      <c r="E17" s="90">
        <f t="shared" si="4"/>
        <v>0.31818155859879149</v>
      </c>
      <c r="F17" s="36">
        <f>'Orçamentário e Fin. 2021'!E16</f>
        <v>374677.54</v>
      </c>
      <c r="G17" s="56">
        <f>'Orçamentário e fin. 2022'!E16</f>
        <v>448223.23</v>
      </c>
      <c r="H17" s="79">
        <f t="shared" si="5"/>
        <v>73545.69</v>
      </c>
      <c r="I17" s="108">
        <f t="shared" si="6"/>
        <v>0.19629062900327574</v>
      </c>
    </row>
    <row r="18" spans="1:11" x14ac:dyDescent="0.25">
      <c r="A18" s="95" t="s">
        <v>244</v>
      </c>
      <c r="B18" s="36">
        <f>'Orçamentário e Fin. 2021'!C17</f>
        <v>289909.62</v>
      </c>
      <c r="C18" s="36">
        <f>'Orçamentário e fin. 2022'!C17</f>
        <v>397717.71</v>
      </c>
      <c r="D18" s="36">
        <f t="shared" si="7"/>
        <v>107808.09000000003</v>
      </c>
      <c r="E18" s="90">
        <f t="shared" si="4"/>
        <v>0.37186792904630078</v>
      </c>
      <c r="F18" s="36">
        <f>'Orçamentário e Fin. 2021'!E17</f>
        <v>374732.25</v>
      </c>
      <c r="G18" s="56">
        <f>'Orçamentário e fin. 2022'!E17</f>
        <v>492269.7</v>
      </c>
      <c r="H18" s="79">
        <f t="shared" si="5"/>
        <v>117537.45000000001</v>
      </c>
      <c r="I18" s="108">
        <f t="shared" si="6"/>
        <v>0.3136571512059611</v>
      </c>
    </row>
    <row r="19" spans="1:11" x14ac:dyDescent="0.25">
      <c r="A19" s="95" t="s">
        <v>245</v>
      </c>
      <c r="B19" s="36">
        <f>'Orçamentário e Fin. 2021'!C18</f>
        <v>267278.87</v>
      </c>
      <c r="C19" s="36">
        <f>'Orçamentário e fin. 2022'!C18</f>
        <v>317838.92</v>
      </c>
      <c r="D19" s="36">
        <f t="shared" si="7"/>
        <v>50560.049999999988</v>
      </c>
      <c r="E19" s="90">
        <f t="shared" si="4"/>
        <v>0.18916590750327547</v>
      </c>
      <c r="F19" s="36">
        <f>'Orçamentário e Fin. 2021'!E18</f>
        <v>423029.27</v>
      </c>
      <c r="G19" s="87">
        <f>'Orçamentário e fin. 2022'!E18</f>
        <v>409073.48</v>
      </c>
      <c r="H19" s="79">
        <f t="shared" si="5"/>
        <v>-13955.790000000037</v>
      </c>
      <c r="I19" s="108">
        <f t="shared" si="6"/>
        <v>-3.2990128555407137E-2</v>
      </c>
    </row>
    <row r="20" spans="1:11" x14ac:dyDescent="0.25">
      <c r="A20" s="95" t="s">
        <v>246</v>
      </c>
      <c r="B20" s="36">
        <f>'Orçamentário e Fin. 2021'!C19</f>
        <v>194551.5</v>
      </c>
      <c r="C20" s="36">
        <f>'Orçamentário e fin. 2022'!C19</f>
        <v>233340.7</v>
      </c>
      <c r="D20" s="36">
        <f t="shared" si="7"/>
        <v>38789.200000000012</v>
      </c>
      <c r="E20" s="90">
        <f t="shared" si="4"/>
        <v>0.19937754270720098</v>
      </c>
      <c r="F20" s="36">
        <f>'Orçamentário e Fin. 2021'!E19</f>
        <v>379440.82</v>
      </c>
      <c r="G20" s="87">
        <f>'Orçamentário e fin. 2022'!E19</f>
        <v>383967.38</v>
      </c>
      <c r="H20" s="79">
        <f t="shared" si="5"/>
        <v>4526.5599999999977</v>
      </c>
      <c r="I20" s="108">
        <f t="shared" si="6"/>
        <v>1.1929554653608428E-2</v>
      </c>
    </row>
    <row r="21" spans="1:11" x14ac:dyDescent="0.25">
      <c r="A21" s="95" t="s">
        <v>247</v>
      </c>
      <c r="B21" s="36">
        <f>'Orçamentário e Fin. 2021'!C20</f>
        <v>211007.41</v>
      </c>
      <c r="C21" s="36">
        <f>'Orçamentário e fin. 2022'!C20</f>
        <v>240809.01</v>
      </c>
      <c r="D21" s="36">
        <f t="shared" si="7"/>
        <v>29801.600000000006</v>
      </c>
      <c r="E21" s="90">
        <f t="shared" si="4"/>
        <v>0.14123485047278675</v>
      </c>
      <c r="F21" s="36">
        <f>'Orçamentário e Fin. 2021'!E20</f>
        <v>435043.27</v>
      </c>
      <c r="G21" s="87">
        <f>'Orçamentário e fin. 2022'!E20</f>
        <v>455511.07</v>
      </c>
      <c r="H21" s="79">
        <f t="shared" si="5"/>
        <v>20467.799999999988</v>
      </c>
      <c r="I21" s="108">
        <f t="shared" si="6"/>
        <v>4.7047733895527188E-2</v>
      </c>
    </row>
    <row r="22" spans="1:11" x14ac:dyDescent="0.25">
      <c r="A22" s="95" t="s">
        <v>248</v>
      </c>
      <c r="B22" s="36">
        <f>'Orçamentário e Fin. 2021'!C21</f>
        <v>192039.6</v>
      </c>
      <c r="C22" s="36">
        <f>'Orçamentário e fin. 2022'!C21</f>
        <v>281190.09000000003</v>
      </c>
      <c r="D22" s="36">
        <f t="shared" si="7"/>
        <v>89150.49000000002</v>
      </c>
      <c r="E22" s="90">
        <f t="shared" si="4"/>
        <v>0.46422972136996754</v>
      </c>
      <c r="F22" s="36">
        <f>'Orçamentário e Fin. 2021'!E21</f>
        <v>694019.01</v>
      </c>
      <c r="G22" s="87">
        <f>'Orçamentário e fin. 2022'!E21</f>
        <v>475463.26</v>
      </c>
      <c r="H22" s="79">
        <f t="shared" si="5"/>
        <v>-218555.75</v>
      </c>
      <c r="I22" s="108">
        <f t="shared" si="6"/>
        <v>-0.31491320389048133</v>
      </c>
    </row>
    <row r="23" spans="1:11" ht="13.8" thickBot="1" x14ac:dyDescent="0.3">
      <c r="A23" s="96"/>
      <c r="B23" s="36"/>
      <c r="C23" s="36"/>
      <c r="D23" s="36"/>
      <c r="E23" s="110"/>
      <c r="F23" s="110"/>
      <c r="G23" s="36"/>
      <c r="H23" s="111"/>
      <c r="I23" s="112"/>
    </row>
    <row r="24" spans="1:11" ht="13.8" thickBot="1" x14ac:dyDescent="0.3">
      <c r="A24" s="127" t="s">
        <v>224</v>
      </c>
      <c r="B24" s="113">
        <f>SUM(B11:B23)</f>
        <v>7186013.7500000009</v>
      </c>
      <c r="C24" s="113">
        <f>SUM(C11:C23)</f>
        <v>7998089.3699999992</v>
      </c>
      <c r="D24" s="125">
        <f>C24-B24</f>
        <v>812075.61999999825</v>
      </c>
      <c r="E24" s="126">
        <f>D24/B24</f>
        <v>0.11300780213508471</v>
      </c>
      <c r="F24" s="113">
        <f>SUM(F11:F23)</f>
        <v>6054981.8399999999</v>
      </c>
      <c r="G24" s="113">
        <f>SUM(G11:G23)</f>
        <v>6283942.2600000007</v>
      </c>
      <c r="H24" s="121">
        <f>G24-F24</f>
        <v>228960.42000000086</v>
      </c>
      <c r="I24" s="122">
        <f>H24/F24</f>
        <v>3.7813560147688378E-2</v>
      </c>
    </row>
    <row r="25" spans="1:11" x14ac:dyDescent="0.25">
      <c r="A25" s="248"/>
      <c r="B25" s="248"/>
      <c r="C25" s="248"/>
      <c r="D25" s="249"/>
      <c r="E25" s="13"/>
      <c r="F25" s="13"/>
      <c r="G25" s="13"/>
      <c r="H25" s="13"/>
      <c r="I25" s="13"/>
      <c r="J25" s="13"/>
      <c r="K25" s="13"/>
    </row>
    <row r="26" spans="1:11" x14ac:dyDescent="0.25">
      <c r="A26" s="630"/>
      <c r="B26" s="631"/>
      <c r="C26" s="632"/>
      <c r="D26" s="632"/>
      <c r="E26" s="222"/>
      <c r="F26" s="222"/>
      <c r="G26" s="220"/>
      <c r="H26" s="223"/>
      <c r="I26" s="224"/>
      <c r="J26" s="13"/>
      <c r="K26" s="13"/>
    </row>
    <row r="27" spans="1:11" x14ac:dyDescent="0.25">
      <c r="A27" s="631"/>
      <c r="B27" s="631"/>
      <c r="C27" s="632"/>
      <c r="D27" s="632"/>
      <c r="E27" s="221"/>
      <c r="F27" s="476"/>
      <c r="G27" s="310"/>
      <c r="H27" s="15"/>
      <c r="I27" s="13"/>
      <c r="J27" s="13"/>
      <c r="K27" s="13"/>
    </row>
    <row r="28" spans="1:11" x14ac:dyDescent="0.25">
      <c r="A28" s="248"/>
      <c r="B28" s="248"/>
      <c r="C28" s="623"/>
      <c r="D28" s="623"/>
      <c r="E28" s="13"/>
      <c r="F28" s="118"/>
      <c r="G28" s="13"/>
      <c r="H28" s="13"/>
      <c r="I28" s="13"/>
      <c r="J28" s="13"/>
      <c r="K28" s="13"/>
    </row>
    <row r="29" spans="1:11" x14ac:dyDescent="0.25">
      <c r="A29" s="248"/>
      <c r="B29" s="248"/>
      <c r="C29" s="385"/>
      <c r="D29" s="248"/>
      <c r="E29" s="13"/>
      <c r="F29" s="118"/>
      <c r="G29" s="13"/>
      <c r="H29" s="13"/>
      <c r="I29" s="13"/>
      <c r="J29" s="13"/>
      <c r="K29" s="13"/>
    </row>
    <row r="30" spans="1:11" x14ac:dyDescent="0.25">
      <c r="A30" s="248"/>
      <c r="B30" s="385"/>
      <c r="C30" s="248"/>
      <c r="D30" s="249"/>
      <c r="E30" s="13"/>
      <c r="F30" s="13"/>
      <c r="G30" s="13"/>
      <c r="H30" s="380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18"/>
      <c r="I31" s="13"/>
      <c r="J31" s="13"/>
      <c r="K31" s="13"/>
    </row>
    <row r="32" spans="1:11" x14ac:dyDescent="0.25">
      <c r="D32" s="101"/>
    </row>
    <row r="33" spans="7:7" x14ac:dyDescent="0.25">
      <c r="G33" s="78"/>
    </row>
    <row r="34" spans="7:7" x14ac:dyDescent="0.25">
      <c r="G34" s="244"/>
    </row>
  </sheetData>
  <mergeCells count="13">
    <mergeCell ref="A1:I1"/>
    <mergeCell ref="A4:I4"/>
    <mergeCell ref="B6:E6"/>
    <mergeCell ref="F6:I6"/>
    <mergeCell ref="B7:E7"/>
    <mergeCell ref="F7:I7"/>
    <mergeCell ref="C28:D28"/>
    <mergeCell ref="E8:E10"/>
    <mergeCell ref="I8:I10"/>
    <mergeCell ref="A26:B26"/>
    <mergeCell ref="C26:D26"/>
    <mergeCell ref="A27:B27"/>
    <mergeCell ref="C27:D27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5"/>
  <sheetViews>
    <sheetView showGridLines="0" workbookViewId="0">
      <selection activeCell="L20" sqref="L20"/>
    </sheetView>
  </sheetViews>
  <sheetFormatPr defaultColWidth="11.44140625" defaultRowHeight="13.2" x14ac:dyDescent="0.25"/>
  <cols>
    <col min="1" max="1" width="8.44140625" bestFit="1" customWidth="1"/>
    <col min="2" max="2" width="13.6640625" bestFit="1" customWidth="1"/>
    <col min="3" max="3" width="15.33203125" customWidth="1"/>
    <col min="4" max="4" width="8" bestFit="1" customWidth="1"/>
    <col min="5" max="5" width="16.44140625" customWidth="1"/>
    <col min="6" max="6" width="8" customWidth="1"/>
    <col min="7" max="7" width="16" customWidth="1"/>
    <col min="8" max="8" width="9.33203125" customWidth="1"/>
    <col min="9" max="9" width="14.6640625" bestFit="1" customWidth="1"/>
    <col min="10" max="10" width="13.33203125" bestFit="1" customWidth="1"/>
    <col min="11" max="11" width="12.44140625" bestFit="1" customWidth="1"/>
    <col min="13" max="13" width="13" bestFit="1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s="98" customFormat="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576" t="s">
        <v>285</v>
      </c>
      <c r="B4" s="576"/>
      <c r="C4" s="576"/>
      <c r="D4" s="576"/>
      <c r="E4" s="576"/>
      <c r="F4" s="576"/>
      <c r="G4" s="576"/>
      <c r="H4" s="576"/>
      <c r="I4" s="576"/>
      <c r="J4" s="576"/>
      <c r="K4" s="576"/>
    </row>
    <row r="5" spans="1:11" ht="13.8" thickBot="1" x14ac:dyDescent="0.3"/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x14ac:dyDescent="0.25">
      <c r="A7" s="46"/>
      <c r="B7" s="63" t="s">
        <v>200</v>
      </c>
      <c r="C7" s="63" t="s">
        <v>201</v>
      </c>
      <c r="D7" s="52"/>
      <c r="E7" s="45" t="s">
        <v>4</v>
      </c>
      <c r="F7" s="52"/>
      <c r="G7" s="45" t="s">
        <v>202</v>
      </c>
      <c r="H7" s="52"/>
      <c r="I7" s="63" t="s">
        <v>6</v>
      </c>
      <c r="J7" s="371" t="s">
        <v>203</v>
      </c>
      <c r="K7" s="52" t="s">
        <v>202</v>
      </c>
    </row>
    <row r="8" spans="1:11" x14ac:dyDescent="0.25">
      <c r="A8" s="44" t="s">
        <v>204</v>
      </c>
      <c r="B8" s="64" t="s">
        <v>205</v>
      </c>
      <c r="C8" s="64" t="s">
        <v>206</v>
      </c>
      <c r="D8" s="53" t="s">
        <v>12</v>
      </c>
      <c r="E8" s="15" t="s">
        <v>10</v>
      </c>
      <c r="F8" s="53" t="s">
        <v>12</v>
      </c>
      <c r="G8" s="15" t="s">
        <v>207</v>
      </c>
      <c r="H8" s="53" t="s">
        <v>12</v>
      </c>
      <c r="I8" s="64" t="s">
        <v>208</v>
      </c>
      <c r="J8" s="372" t="s">
        <v>209</v>
      </c>
      <c r="K8" s="53" t="s">
        <v>210</v>
      </c>
    </row>
    <row r="9" spans="1:11" ht="13.8" thickBot="1" x14ac:dyDescent="0.3">
      <c r="A9" s="47"/>
      <c r="B9" s="89">
        <v>2021</v>
      </c>
      <c r="C9" s="89">
        <v>2021</v>
      </c>
      <c r="D9" s="54" t="s">
        <v>211</v>
      </c>
      <c r="E9" s="89">
        <v>2021</v>
      </c>
      <c r="F9" s="54" t="s">
        <v>211</v>
      </c>
      <c r="G9" s="89">
        <v>2021</v>
      </c>
      <c r="H9" s="54"/>
      <c r="I9" s="89">
        <v>2021</v>
      </c>
      <c r="J9" s="373">
        <v>2021</v>
      </c>
      <c r="K9" s="54">
        <v>2021</v>
      </c>
    </row>
    <row r="10" spans="1:11" x14ac:dyDescent="0.25">
      <c r="A10" s="48" t="s">
        <v>212</v>
      </c>
      <c r="B10" s="278">
        <v>6435000</v>
      </c>
      <c r="C10" s="466">
        <v>1268293.53</v>
      </c>
      <c r="D10" s="280">
        <f t="shared" ref="D10:D15" si="0">C10/5885000</f>
        <v>0.21551291928632116</v>
      </c>
      <c r="E10" s="86">
        <v>646096.13</v>
      </c>
      <c r="F10" s="280">
        <f t="shared" ref="F10:F21" si="1">E10/B10</f>
        <v>0.10040343900543901</v>
      </c>
      <c r="G10" s="276">
        <f t="shared" ref="G10:G16" si="2">C10-E10</f>
        <v>622197.4</v>
      </c>
      <c r="H10" s="281">
        <f t="shared" ref="H10:H15" si="3">G10/C10</f>
        <v>0.49057839158100885</v>
      </c>
      <c r="I10" s="278">
        <v>4848604.1900000004</v>
      </c>
      <c r="J10" s="276">
        <v>653109.71</v>
      </c>
      <c r="K10" s="282">
        <f t="shared" ref="K10:K15" si="4">I10-J10</f>
        <v>4195494.4800000004</v>
      </c>
    </row>
    <row r="11" spans="1:11" x14ac:dyDescent="0.25">
      <c r="A11" s="48" t="s">
        <v>213</v>
      </c>
      <c r="B11" s="278">
        <v>6435000</v>
      </c>
      <c r="C11" s="434">
        <v>1411594.75</v>
      </c>
      <c r="D11" s="280">
        <f t="shared" si="0"/>
        <v>0.23986316907391675</v>
      </c>
      <c r="E11" s="55">
        <v>745370.87</v>
      </c>
      <c r="F11" s="280">
        <f t="shared" si="1"/>
        <v>0.11583074902874903</v>
      </c>
      <c r="G11" s="276">
        <f t="shared" si="2"/>
        <v>666223.88</v>
      </c>
      <c r="H11" s="281">
        <f t="shared" si="3"/>
        <v>0.47196539941792787</v>
      </c>
      <c r="I11" s="283">
        <v>5545759.4900000002</v>
      </c>
      <c r="J11" s="276">
        <v>609904.87</v>
      </c>
      <c r="K11" s="282">
        <f t="shared" si="4"/>
        <v>4935854.62</v>
      </c>
    </row>
    <row r="12" spans="1:11" x14ac:dyDescent="0.25">
      <c r="A12" s="48" t="s">
        <v>214</v>
      </c>
      <c r="B12" s="278">
        <v>6435000</v>
      </c>
      <c r="C12" s="434">
        <v>958889.93</v>
      </c>
      <c r="D12" s="280">
        <f t="shared" si="0"/>
        <v>0.16293796601529312</v>
      </c>
      <c r="E12" s="55">
        <v>549192.99</v>
      </c>
      <c r="F12" s="280">
        <f t="shared" si="1"/>
        <v>8.5344675990675994E-2</v>
      </c>
      <c r="G12" s="276">
        <f t="shared" si="2"/>
        <v>409696.94000000006</v>
      </c>
      <c r="H12" s="281">
        <f t="shared" si="3"/>
        <v>0.42726169832652228</v>
      </c>
      <c r="I12" s="283">
        <v>5895801.46</v>
      </c>
      <c r="J12" s="276">
        <v>603731.91</v>
      </c>
      <c r="K12" s="282">
        <f t="shared" si="4"/>
        <v>5292069.55</v>
      </c>
    </row>
    <row r="13" spans="1:11" x14ac:dyDescent="0.25">
      <c r="A13" s="48" t="s">
        <v>215</v>
      </c>
      <c r="B13" s="278">
        <v>6435000</v>
      </c>
      <c r="C13" s="434">
        <v>1033487.31</v>
      </c>
      <c r="D13" s="280">
        <f t="shared" si="0"/>
        <v>0.17561381648258284</v>
      </c>
      <c r="E13" s="55">
        <v>567496.44999999995</v>
      </c>
      <c r="F13" s="280">
        <f t="shared" si="1"/>
        <v>8.8189036519036507E-2</v>
      </c>
      <c r="G13" s="276">
        <f t="shared" si="2"/>
        <v>465990.8600000001</v>
      </c>
      <c r="H13" s="281">
        <f t="shared" si="3"/>
        <v>0.45089170954600311</v>
      </c>
      <c r="I13" s="283">
        <v>6284665.5999999996</v>
      </c>
      <c r="J13" s="276">
        <v>507701.22</v>
      </c>
      <c r="K13" s="282">
        <f t="shared" si="4"/>
        <v>5776964.3799999999</v>
      </c>
    </row>
    <row r="14" spans="1:11" x14ac:dyDescent="0.25">
      <c r="A14" s="48" t="s">
        <v>216</v>
      </c>
      <c r="B14" s="278">
        <v>6435000</v>
      </c>
      <c r="C14" s="434">
        <v>628677.46</v>
      </c>
      <c r="D14" s="425">
        <f t="shared" si="0"/>
        <v>0.10682709600679693</v>
      </c>
      <c r="E14" s="55">
        <v>446965.53</v>
      </c>
      <c r="F14" s="423">
        <f>E14/B14</f>
        <v>6.9458512820512824E-2</v>
      </c>
      <c r="G14" s="285">
        <f t="shared" si="2"/>
        <v>181711.92999999993</v>
      </c>
      <c r="H14" s="424">
        <f t="shared" si="3"/>
        <v>0.28903840452622548</v>
      </c>
      <c r="I14" s="283">
        <v>6455459.4100000001</v>
      </c>
      <c r="J14" s="276">
        <v>506666.91</v>
      </c>
      <c r="K14" s="286">
        <f t="shared" si="4"/>
        <v>5948792.5</v>
      </c>
    </row>
    <row r="15" spans="1:11" x14ac:dyDescent="0.25">
      <c r="A15" s="48" t="s">
        <v>217</v>
      </c>
      <c r="B15" s="278">
        <v>6435000</v>
      </c>
      <c r="C15" s="434">
        <v>436105.69</v>
      </c>
      <c r="D15" s="425">
        <f t="shared" si="0"/>
        <v>7.4104620220900599E-2</v>
      </c>
      <c r="E15" s="55">
        <v>418917.71</v>
      </c>
      <c r="F15" s="423">
        <f>E15/B15</f>
        <v>6.5099877233877237E-2</v>
      </c>
      <c r="G15" s="285">
        <f t="shared" si="2"/>
        <v>17187.979999999981</v>
      </c>
      <c r="H15" s="424">
        <f t="shared" si="3"/>
        <v>3.941241858137641E-2</v>
      </c>
      <c r="I15" s="283">
        <v>6488519.4299999997</v>
      </c>
      <c r="J15" s="276">
        <v>505723.44</v>
      </c>
      <c r="K15" s="286">
        <f t="shared" si="4"/>
        <v>5982795.9899999993</v>
      </c>
    </row>
    <row r="16" spans="1:11" x14ac:dyDescent="0.25">
      <c r="A16" s="48" t="s">
        <v>218</v>
      </c>
      <c r="B16" s="278">
        <v>7850000</v>
      </c>
      <c r="C16" s="435">
        <v>294178.08</v>
      </c>
      <c r="D16" s="425">
        <f t="shared" ref="D16:D21" si="5">C16/7300000</f>
        <v>4.0298367123287673E-2</v>
      </c>
      <c r="E16" s="55">
        <v>374677.54</v>
      </c>
      <c r="F16" s="423">
        <f t="shared" si="1"/>
        <v>4.7729622929936301E-2</v>
      </c>
      <c r="G16" s="285">
        <f t="shared" si="2"/>
        <v>-80499.459999999963</v>
      </c>
      <c r="H16" s="424">
        <f t="shared" ref="H16:H21" si="6">G16/C16</f>
        <v>-0.27364193824366506</v>
      </c>
      <c r="I16" s="283">
        <v>6412477.6799999997</v>
      </c>
      <c r="J16" s="276">
        <v>475560.5</v>
      </c>
      <c r="K16" s="286">
        <f t="shared" ref="K16:K21" si="7">I16-J16</f>
        <v>5936917.1799999997</v>
      </c>
    </row>
    <row r="17" spans="1:14" x14ac:dyDescent="0.25">
      <c r="A17" s="48" t="s">
        <v>219</v>
      </c>
      <c r="B17" s="278">
        <v>7850000</v>
      </c>
      <c r="C17" s="435">
        <v>289909.62</v>
      </c>
      <c r="D17" s="425">
        <f t="shared" si="5"/>
        <v>3.9713646575342466E-2</v>
      </c>
      <c r="E17" s="55">
        <v>374732.25</v>
      </c>
      <c r="F17" s="423">
        <f t="shared" si="1"/>
        <v>4.7736592356687896E-2</v>
      </c>
      <c r="G17" s="285">
        <f>C17-E17</f>
        <v>-84822.63</v>
      </c>
      <c r="H17" s="424">
        <f t="shared" si="6"/>
        <v>-0.29258301259544267</v>
      </c>
      <c r="I17" s="283">
        <v>6315158.7000000002</v>
      </c>
      <c r="J17" s="276">
        <v>466822.32</v>
      </c>
      <c r="K17" s="286">
        <f t="shared" si="7"/>
        <v>5848336.3799999999</v>
      </c>
      <c r="M17" s="101"/>
    </row>
    <row r="18" spans="1:14" x14ac:dyDescent="0.25">
      <c r="A18" s="48" t="s">
        <v>220</v>
      </c>
      <c r="B18" s="278">
        <v>7850000</v>
      </c>
      <c r="C18" s="435">
        <v>267278.87</v>
      </c>
      <c r="D18" s="425">
        <f t="shared" si="5"/>
        <v>3.6613543835616436E-2</v>
      </c>
      <c r="E18" s="55">
        <v>423029.27</v>
      </c>
      <c r="F18" s="280">
        <f t="shared" si="1"/>
        <v>5.3889078980891722E-2</v>
      </c>
      <c r="G18" s="285">
        <f>C18-E18</f>
        <v>-155750.40000000002</v>
      </c>
      <c r="H18" s="281">
        <f t="shared" si="6"/>
        <v>-0.58272619904446632</v>
      </c>
      <c r="I18" s="283">
        <v>6165380.9699999997</v>
      </c>
      <c r="J18" s="276">
        <v>484146.96</v>
      </c>
      <c r="K18" s="286">
        <f t="shared" si="7"/>
        <v>5681234.0099999998</v>
      </c>
    </row>
    <row r="19" spans="1:14" x14ac:dyDescent="0.25">
      <c r="A19" s="48" t="s">
        <v>221</v>
      </c>
      <c r="B19" s="278">
        <v>7850000</v>
      </c>
      <c r="C19" s="435">
        <v>194551.5</v>
      </c>
      <c r="D19" s="425">
        <f t="shared" si="5"/>
        <v>2.6650890410958906E-2</v>
      </c>
      <c r="E19" s="55">
        <v>379440.82</v>
      </c>
      <c r="F19" s="280">
        <f t="shared" si="1"/>
        <v>4.8336410191082806E-2</v>
      </c>
      <c r="G19" s="285">
        <f>C19-E19</f>
        <v>-184889.32</v>
      </c>
      <c r="H19" s="281">
        <f t="shared" si="6"/>
        <v>-0.95033613207813872</v>
      </c>
      <c r="I19" s="283">
        <v>5990168.8700000001</v>
      </c>
      <c r="J19" s="276">
        <v>486530.51</v>
      </c>
      <c r="K19" s="286">
        <f t="shared" si="7"/>
        <v>5503638.3600000003</v>
      </c>
    </row>
    <row r="20" spans="1:14" x14ac:dyDescent="0.25">
      <c r="A20" s="48" t="s">
        <v>222</v>
      </c>
      <c r="B20" s="278">
        <v>7850000</v>
      </c>
      <c r="C20" s="435">
        <v>211007.41</v>
      </c>
      <c r="D20" s="284">
        <f t="shared" si="5"/>
        <v>2.8905124657534247E-2</v>
      </c>
      <c r="E20" s="55">
        <v>435043.27</v>
      </c>
      <c r="F20" s="280">
        <f t="shared" si="1"/>
        <v>5.5419524840764331E-2</v>
      </c>
      <c r="G20" s="285">
        <f>C20-E20</f>
        <v>-224035.86000000002</v>
      </c>
      <c r="H20" s="289">
        <f t="shared" si="6"/>
        <v>-1.061744040173755</v>
      </c>
      <c r="I20" s="283">
        <v>5907530.21</v>
      </c>
      <c r="J20" s="276">
        <v>615558.43000000005</v>
      </c>
      <c r="K20" s="286">
        <f t="shared" si="7"/>
        <v>5291971.78</v>
      </c>
    </row>
    <row r="21" spans="1:14" x14ac:dyDescent="0.25">
      <c r="A21" s="48" t="s">
        <v>223</v>
      </c>
      <c r="B21" s="278">
        <v>7850000</v>
      </c>
      <c r="C21" s="435">
        <v>192039.6</v>
      </c>
      <c r="D21" s="284">
        <f t="shared" si="5"/>
        <v>2.6306794520547946E-2</v>
      </c>
      <c r="E21" s="55">
        <f>556959.01+137060</f>
        <v>694019.01</v>
      </c>
      <c r="F21" s="280">
        <f t="shared" si="1"/>
        <v>8.8410064968152874E-2</v>
      </c>
      <c r="G21" s="285">
        <f>C21-E21</f>
        <v>-501979.41000000003</v>
      </c>
      <c r="H21" s="289">
        <f t="shared" si="6"/>
        <v>-2.6139369692500924</v>
      </c>
      <c r="I21" s="283">
        <v>5556552.5599999996</v>
      </c>
      <c r="J21" s="276">
        <v>517108</v>
      </c>
      <c r="K21" s="286">
        <f t="shared" si="7"/>
        <v>5039444.5599999996</v>
      </c>
    </row>
    <row r="22" spans="1:14" x14ac:dyDescent="0.25">
      <c r="A22" s="49"/>
      <c r="B22" s="290"/>
      <c r="C22" s="435"/>
      <c r="D22" s="290"/>
      <c r="E22" s="291"/>
      <c r="F22" s="290"/>
      <c r="G22" s="292"/>
      <c r="H22" s="289"/>
      <c r="I22" s="475"/>
      <c r="J22" s="276"/>
      <c r="K22" s="293"/>
    </row>
    <row r="23" spans="1:14" x14ac:dyDescent="0.25">
      <c r="A23" s="72" t="s">
        <v>224</v>
      </c>
      <c r="B23" s="374">
        <v>7850000</v>
      </c>
      <c r="C23" s="74">
        <f>SUM(C10:C22)</f>
        <v>7186013.7500000009</v>
      </c>
      <c r="D23" s="75">
        <f>C23/7300000</f>
        <v>0.98438544520547955</v>
      </c>
      <c r="E23" s="74">
        <f>SUM(E10:E22)</f>
        <v>6054981.8399999999</v>
      </c>
      <c r="F23" s="75">
        <f>E23/B23</f>
        <v>0.77133526624203819</v>
      </c>
      <c r="G23" s="74">
        <f>C23-E23</f>
        <v>1131031.9100000011</v>
      </c>
      <c r="H23" s="75">
        <f>E23/C23</f>
        <v>0.84260649236859575</v>
      </c>
      <c r="I23" s="474">
        <v>5556552.5599999996</v>
      </c>
      <c r="J23" s="73">
        <v>517108</v>
      </c>
      <c r="K23" s="74">
        <v>5039444.5599999996</v>
      </c>
      <c r="L23" s="13"/>
    </row>
    <row r="24" spans="1:14" x14ac:dyDescent="0.25">
      <c r="A24" s="221"/>
      <c r="B24" s="223"/>
      <c r="C24" s="223"/>
      <c r="D24" s="224"/>
      <c r="E24" s="223"/>
      <c r="F24" s="224"/>
      <c r="G24" s="223"/>
      <c r="H24" s="224"/>
      <c r="I24" s="223"/>
      <c r="J24" s="223"/>
      <c r="K24" s="223"/>
      <c r="L24" s="13"/>
    </row>
    <row r="25" spans="1:14" ht="13.8" thickBot="1" x14ac:dyDescent="0.3">
      <c r="A25" s="28"/>
      <c r="C25" s="590" t="s">
        <v>225</v>
      </c>
      <c r="D25" s="591"/>
      <c r="E25" s="592" t="s">
        <v>226</v>
      </c>
      <c r="F25" s="593"/>
      <c r="G25" s="377" t="s">
        <v>202</v>
      </c>
      <c r="I25" s="246"/>
    </row>
    <row r="26" spans="1:14" ht="13.8" thickBot="1" x14ac:dyDescent="0.3">
      <c r="A26" s="603" t="s">
        <v>228</v>
      </c>
      <c r="B26" s="604"/>
      <c r="C26" s="643">
        <v>7300000</v>
      </c>
      <c r="D26" s="648"/>
      <c r="E26" s="607">
        <v>7067650</v>
      </c>
      <c r="F26" s="649"/>
      <c r="G26" s="645">
        <f>C27-E27</f>
        <v>1328665.8099999996</v>
      </c>
      <c r="I26" s="246"/>
    </row>
    <row r="27" spans="1:14" ht="18.75" customHeight="1" thickBot="1" x14ac:dyDescent="0.3">
      <c r="A27" s="603" t="s">
        <v>229</v>
      </c>
      <c r="B27" s="604"/>
      <c r="C27" s="469">
        <v>7186013.75</v>
      </c>
      <c r="D27" s="470">
        <f>C27/C26</f>
        <v>0.98438544520547944</v>
      </c>
      <c r="E27" s="471">
        <v>5857347.9400000004</v>
      </c>
      <c r="F27" s="472">
        <f>E27/E26</f>
        <v>0.82875466951532695</v>
      </c>
      <c r="G27" s="647"/>
      <c r="I27" s="101"/>
      <c r="J27" s="249"/>
      <c r="K27" s="368"/>
      <c r="L27" s="248"/>
      <c r="M27" s="248"/>
      <c r="N27" s="248"/>
    </row>
    <row r="28" spans="1:14" x14ac:dyDescent="0.25">
      <c r="C28" s="99"/>
      <c r="E28" s="231"/>
      <c r="G28" s="231"/>
      <c r="I28" s="231"/>
    </row>
    <row r="29" spans="1:14" x14ac:dyDescent="0.25">
      <c r="A29" s="369" t="s">
        <v>282</v>
      </c>
      <c r="B29" s="369"/>
      <c r="C29" s="370"/>
      <c r="D29" s="369"/>
      <c r="E29" s="370"/>
      <c r="G29" s="246"/>
      <c r="I29" s="246"/>
      <c r="J29" s="101"/>
    </row>
    <row r="30" spans="1:14" x14ac:dyDescent="0.25">
      <c r="C30" s="25"/>
      <c r="E30" s="25"/>
      <c r="G30" s="246"/>
    </row>
    <row r="31" spans="1:14" x14ac:dyDescent="0.25">
      <c r="B31" s="246"/>
      <c r="C31" s="426"/>
      <c r="E31" s="376"/>
      <c r="G31" s="231"/>
      <c r="I31" s="231"/>
    </row>
    <row r="32" spans="1:14" x14ac:dyDescent="0.25">
      <c r="C32" s="426"/>
      <c r="E32" s="231"/>
      <c r="G32" s="433"/>
      <c r="I32" s="231"/>
      <c r="J32" s="78"/>
    </row>
    <row r="33" spans="2:9" x14ac:dyDescent="0.25">
      <c r="C33" s="42"/>
      <c r="E33" s="42"/>
      <c r="I33" s="231"/>
    </row>
    <row r="34" spans="2:9" x14ac:dyDescent="0.25">
      <c r="B34" s="246"/>
      <c r="E34" s="42"/>
      <c r="I34" s="231"/>
    </row>
    <row r="35" spans="2:9" x14ac:dyDescent="0.25">
      <c r="C35" s="42"/>
      <c r="E35" s="42"/>
    </row>
  </sheetData>
  <mergeCells count="11">
    <mergeCell ref="A26:B26"/>
    <mergeCell ref="E26:F26"/>
    <mergeCell ref="C26:D26"/>
    <mergeCell ref="G26:G27"/>
    <mergeCell ref="A27:B27"/>
    <mergeCell ref="A1:K1"/>
    <mergeCell ref="A4:K4"/>
    <mergeCell ref="A6:H6"/>
    <mergeCell ref="I6:K6"/>
    <mergeCell ref="C25:D25"/>
    <mergeCell ref="E25:F2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showGridLines="0" zoomScale="110" zoomScaleNormal="110" workbookViewId="0">
      <selection activeCell="G11" sqref="G11:G20"/>
    </sheetView>
  </sheetViews>
  <sheetFormatPr defaultRowHeight="13.2" x14ac:dyDescent="0.25"/>
  <cols>
    <col min="1" max="1" width="8.44140625" customWidth="1"/>
    <col min="2" max="2" width="14.44140625" customWidth="1"/>
    <col min="3" max="3" width="14.6640625" customWidth="1"/>
    <col min="4" max="4" width="13.6640625" customWidth="1"/>
    <col min="5" max="5" width="12.6640625" bestFit="1" customWidth="1"/>
    <col min="6" max="6" width="14.44140625" customWidth="1"/>
    <col min="7" max="9" width="16.33203125" bestFit="1" customWidth="1"/>
  </cols>
  <sheetData>
    <row r="1" spans="1:9" ht="20.399999999999999" x14ac:dyDescent="0.35">
      <c r="A1" s="611" t="s">
        <v>230</v>
      </c>
      <c r="B1" s="611"/>
      <c r="C1" s="611"/>
      <c r="D1" s="611"/>
      <c r="E1" s="611"/>
      <c r="F1" s="611"/>
      <c r="G1" s="611"/>
      <c r="H1" s="611"/>
      <c r="I1" s="611"/>
    </row>
    <row r="2" spans="1:9" ht="17.399999999999999" x14ac:dyDescent="0.3">
      <c r="A2" s="97"/>
      <c r="B2" s="97"/>
      <c r="C2" s="97"/>
      <c r="D2" s="97"/>
      <c r="E2" s="97"/>
      <c r="F2" s="97"/>
      <c r="G2" s="97"/>
      <c r="H2" s="97"/>
      <c r="I2" s="97"/>
    </row>
    <row r="3" spans="1:9" s="100" customFormat="1" ht="17.399999999999999" x14ac:dyDescent="0.3">
      <c r="A3" s="22" t="s">
        <v>231</v>
      </c>
      <c r="B3" s="22"/>
      <c r="C3" s="22"/>
      <c r="D3" s="22"/>
      <c r="E3" s="22"/>
      <c r="F3" s="22"/>
      <c r="G3" s="22"/>
      <c r="H3" s="22"/>
      <c r="I3" s="22"/>
    </row>
    <row r="4" spans="1:9" s="100" customFormat="1" ht="17.399999999999999" x14ac:dyDescent="0.3">
      <c r="A4" s="586" t="s">
        <v>286</v>
      </c>
      <c r="B4" s="586"/>
      <c r="C4" s="586"/>
      <c r="D4" s="586"/>
      <c r="E4" s="586"/>
      <c r="F4" s="586"/>
      <c r="G4" s="586"/>
      <c r="H4" s="586"/>
      <c r="I4" s="586"/>
    </row>
    <row r="5" spans="1:9" ht="13.8" thickBot="1" x14ac:dyDescent="0.3">
      <c r="A5" s="15"/>
      <c r="B5" s="15"/>
      <c r="C5" s="15"/>
      <c r="D5" s="15"/>
      <c r="E5" s="16"/>
      <c r="F5" s="13"/>
      <c r="G5" s="13"/>
      <c r="H5" s="13"/>
      <c r="I5" s="13"/>
    </row>
    <row r="6" spans="1:9" x14ac:dyDescent="0.25">
      <c r="A6" s="63"/>
      <c r="B6" s="612" t="s">
        <v>233</v>
      </c>
      <c r="C6" s="613"/>
      <c r="D6" s="613"/>
      <c r="E6" s="614"/>
      <c r="F6" s="612" t="s">
        <v>234</v>
      </c>
      <c r="G6" s="613"/>
      <c r="H6" s="613"/>
      <c r="I6" s="614"/>
    </row>
    <row r="7" spans="1:9" ht="13.8" thickBot="1" x14ac:dyDescent="0.3">
      <c r="A7" s="64"/>
      <c r="B7" s="615" t="s">
        <v>143</v>
      </c>
      <c r="C7" s="616"/>
      <c r="D7" s="617"/>
      <c r="E7" s="618"/>
      <c r="F7" s="619" t="s">
        <v>144</v>
      </c>
      <c r="G7" s="620"/>
      <c r="H7" s="621"/>
      <c r="I7" s="622"/>
    </row>
    <row r="8" spans="1:9" x14ac:dyDescent="0.25">
      <c r="A8" s="64" t="s">
        <v>235</v>
      </c>
      <c r="B8" s="63" t="s">
        <v>201</v>
      </c>
      <c r="C8" s="52" t="s">
        <v>201</v>
      </c>
      <c r="D8" s="119" t="s">
        <v>11</v>
      </c>
      <c r="E8" s="624" t="s">
        <v>12</v>
      </c>
      <c r="F8" s="52" t="s">
        <v>4</v>
      </c>
      <c r="G8" s="52" t="s">
        <v>4</v>
      </c>
      <c r="H8" s="119" t="s">
        <v>11</v>
      </c>
      <c r="I8" s="627" t="s">
        <v>12</v>
      </c>
    </row>
    <row r="9" spans="1:9" x14ac:dyDescent="0.25">
      <c r="A9" s="64"/>
      <c r="B9" s="64" t="s">
        <v>206</v>
      </c>
      <c r="C9" s="53" t="s">
        <v>206</v>
      </c>
      <c r="D9" s="119" t="s">
        <v>236</v>
      </c>
      <c r="E9" s="625"/>
      <c r="F9" s="53" t="s">
        <v>10</v>
      </c>
      <c r="G9" s="53" t="s">
        <v>10</v>
      </c>
      <c r="H9" s="119" t="s">
        <v>236</v>
      </c>
      <c r="I9" s="628"/>
    </row>
    <row r="10" spans="1:9" ht="13.8" thickBot="1" x14ac:dyDescent="0.3">
      <c r="A10" s="89"/>
      <c r="B10" s="89">
        <v>2020</v>
      </c>
      <c r="C10" s="54">
        <v>2021</v>
      </c>
      <c r="D10" s="120" t="s">
        <v>287</v>
      </c>
      <c r="E10" s="626"/>
      <c r="F10" s="54">
        <v>2020</v>
      </c>
      <c r="G10" s="54">
        <v>2021</v>
      </c>
      <c r="H10" s="120" t="s">
        <v>287</v>
      </c>
      <c r="I10" s="629"/>
    </row>
    <row r="11" spans="1:9" x14ac:dyDescent="0.25">
      <c r="A11" s="94" t="s">
        <v>237</v>
      </c>
      <c r="B11" s="36">
        <f>'Orçamentário e Fin. 2020'!C10</f>
        <v>1227425.54</v>
      </c>
      <c r="C11" s="36">
        <f>'Orçamentário e Fin. 2021'!C10</f>
        <v>1268293.53</v>
      </c>
      <c r="D11" s="36">
        <f t="shared" ref="D11:D22" si="0">C11-B11</f>
        <v>40867.989999999991</v>
      </c>
      <c r="E11" s="90">
        <f t="shared" ref="E11:E22" si="1">D11/B11</f>
        <v>3.3295697920706448E-2</v>
      </c>
      <c r="F11" s="36">
        <f>'Orçamentário e Fin. 2020'!E10</f>
        <v>602093.75</v>
      </c>
      <c r="G11" s="86">
        <f>'Orçamentário e Fin. 2021'!E10</f>
        <v>646096.13</v>
      </c>
      <c r="H11" s="79">
        <f t="shared" ref="H11:H20" si="2">G11-F11</f>
        <v>44002.380000000005</v>
      </c>
      <c r="I11" s="108">
        <f t="shared" ref="I11:I22" si="3">H11/F11</f>
        <v>7.3082273317070651E-2</v>
      </c>
    </row>
    <row r="12" spans="1:9" x14ac:dyDescent="0.25">
      <c r="A12" s="95" t="s">
        <v>238</v>
      </c>
      <c r="B12" s="36">
        <f>'Orçamentário e Fin. 2020'!C11</f>
        <v>1351339.68</v>
      </c>
      <c r="C12" s="36">
        <f>'Orçamentário e Fin. 2021'!C11</f>
        <v>1411594.75</v>
      </c>
      <c r="D12" s="36">
        <f t="shared" si="0"/>
        <v>60255.070000000065</v>
      </c>
      <c r="E12" s="90">
        <f t="shared" si="1"/>
        <v>4.4589136907457694E-2</v>
      </c>
      <c r="F12" s="36">
        <f>'Orçamentário e Fin. 2020'!E11</f>
        <v>668819.68999999994</v>
      </c>
      <c r="G12" s="55">
        <f>'Orçamentário e Fin. 2021'!E11</f>
        <v>745370.87</v>
      </c>
      <c r="H12" s="79">
        <f t="shared" si="2"/>
        <v>76551.180000000051</v>
      </c>
      <c r="I12" s="108">
        <f t="shared" si="3"/>
        <v>0.1144571267033123</v>
      </c>
    </row>
    <row r="13" spans="1:9" x14ac:dyDescent="0.25">
      <c r="A13" s="95" t="s">
        <v>239</v>
      </c>
      <c r="B13" s="36">
        <f>'Orçamentário e Fin. 2020'!C12</f>
        <v>610156.17000000004</v>
      </c>
      <c r="C13" s="36">
        <f>'Orçamentário e Fin. 2021'!C12</f>
        <v>958889.93</v>
      </c>
      <c r="D13" s="36">
        <f t="shared" si="0"/>
        <v>348733.76</v>
      </c>
      <c r="E13" s="90">
        <f t="shared" si="1"/>
        <v>0.57154836277407473</v>
      </c>
      <c r="F13" s="36">
        <f>'Orçamentário e Fin. 2020'!E12</f>
        <v>486902.84</v>
      </c>
      <c r="G13" s="55">
        <f>'Orçamentário e Fin. 2021'!E12</f>
        <v>549192.99</v>
      </c>
      <c r="H13" s="79">
        <f t="shared" si="2"/>
        <v>62290.149999999965</v>
      </c>
      <c r="I13" s="108">
        <f t="shared" si="3"/>
        <v>0.12793137538487137</v>
      </c>
    </row>
    <row r="14" spans="1:9" x14ac:dyDescent="0.25">
      <c r="A14" s="95" t="s">
        <v>240</v>
      </c>
      <c r="B14" s="36">
        <f>'Orçamentário e Fin. 2020'!C13</f>
        <v>550104.25</v>
      </c>
      <c r="C14" s="36">
        <f>'Orçamentário e Fin. 2021'!C13</f>
        <v>1033487.31</v>
      </c>
      <c r="D14" s="36">
        <f t="shared" si="0"/>
        <v>483383.06000000006</v>
      </c>
      <c r="E14" s="90">
        <f t="shared" si="1"/>
        <v>0.87871173509384826</v>
      </c>
      <c r="F14" s="36">
        <f>'Orçamentário e Fin. 2020'!E13</f>
        <v>405334.3</v>
      </c>
      <c r="G14" s="55">
        <f>'Orçamentário e Fin. 2021'!E13</f>
        <v>567496.44999999995</v>
      </c>
      <c r="H14" s="79">
        <f>G14-F14</f>
        <v>162162.14999999997</v>
      </c>
      <c r="I14" s="108">
        <f t="shared" si="3"/>
        <v>0.4000701396353577</v>
      </c>
    </row>
    <row r="15" spans="1:9" x14ac:dyDescent="0.25">
      <c r="A15" s="95" t="s">
        <v>241</v>
      </c>
      <c r="B15" s="36">
        <f>'Orçamentário e Fin. 2020'!C14</f>
        <v>363595.75</v>
      </c>
      <c r="C15" s="36">
        <f>'Orçamentário e Fin. 2021'!C14</f>
        <v>628677.46</v>
      </c>
      <c r="D15" s="36">
        <f t="shared" si="0"/>
        <v>265081.70999999996</v>
      </c>
      <c r="E15" s="90">
        <f t="shared" si="1"/>
        <v>0.7290561289564027</v>
      </c>
      <c r="F15" s="36">
        <f>'Orçamentário e Fin. 2020'!E14</f>
        <v>363016.92</v>
      </c>
      <c r="G15" s="55">
        <f>'Orçamentário e Fin. 2021'!E14</f>
        <v>446965.53</v>
      </c>
      <c r="H15" s="79">
        <f t="shared" si="2"/>
        <v>83948.610000000044</v>
      </c>
      <c r="I15" s="108">
        <f t="shared" si="3"/>
        <v>0.23125260938250494</v>
      </c>
    </row>
    <row r="16" spans="1:9" x14ac:dyDescent="0.25">
      <c r="A16" s="95" t="s">
        <v>242</v>
      </c>
      <c r="B16" s="36">
        <f>'Orçamentário e Fin. 2020'!C15</f>
        <v>333340.65000000002</v>
      </c>
      <c r="C16" s="36">
        <f>'Orçamentário e Fin. 2021'!C15</f>
        <v>436105.69</v>
      </c>
      <c r="D16" s="36">
        <f t="shared" si="0"/>
        <v>102765.03999999998</v>
      </c>
      <c r="E16" s="90">
        <f t="shared" si="1"/>
        <v>0.30828835307065</v>
      </c>
      <c r="F16" s="36">
        <f>'Orçamentário e Fin. 2020'!E15</f>
        <v>337817.8</v>
      </c>
      <c r="G16" s="55">
        <f>'Orçamentário e Fin. 2021'!E15</f>
        <v>418917.71</v>
      </c>
      <c r="H16" s="79">
        <f t="shared" si="2"/>
        <v>81099.910000000033</v>
      </c>
      <c r="I16" s="108">
        <f t="shared" si="3"/>
        <v>0.24006997263021676</v>
      </c>
    </row>
    <row r="17" spans="1:11" x14ac:dyDescent="0.25">
      <c r="A17" s="95" t="s">
        <v>243</v>
      </c>
      <c r="B17" s="36">
        <f>'Orçamentário e Fin. 2020'!C16</f>
        <v>289708.99</v>
      </c>
      <c r="C17" s="36">
        <f>'Orçamentário e Fin. 2021'!C16</f>
        <v>294178.08</v>
      </c>
      <c r="D17" s="36">
        <f t="shared" si="0"/>
        <v>4469.0900000000256</v>
      </c>
      <c r="E17" s="90">
        <f t="shared" si="1"/>
        <v>1.5426135032951604E-2</v>
      </c>
      <c r="F17" s="36">
        <f>'Orçamentário e Fin. 2020'!E16</f>
        <v>339309.75</v>
      </c>
      <c r="G17" s="56">
        <f>'Orçamentário e Fin. 2021'!E16</f>
        <v>374677.54</v>
      </c>
      <c r="H17" s="79">
        <f t="shared" si="2"/>
        <v>35367.789999999979</v>
      </c>
      <c r="I17" s="108">
        <f t="shared" si="3"/>
        <v>0.10423452317535814</v>
      </c>
    </row>
    <row r="18" spans="1:11" x14ac:dyDescent="0.25">
      <c r="A18" s="95" t="s">
        <v>244</v>
      </c>
      <c r="B18" s="36">
        <f>'Comparativo 19 20'!C18</f>
        <v>381157.62</v>
      </c>
      <c r="C18" s="36">
        <f>'Orçamentário e Fin. 2021'!C17</f>
        <v>289909.62</v>
      </c>
      <c r="D18" s="36">
        <f t="shared" si="0"/>
        <v>-91248</v>
      </c>
      <c r="E18" s="90">
        <f t="shared" si="1"/>
        <v>-0.23939702425469023</v>
      </c>
      <c r="F18" s="36">
        <f>'Comparativo 19 20'!G18</f>
        <v>365509.12</v>
      </c>
      <c r="G18" s="56">
        <f>'Orçamentário e Fin. 2021'!E17</f>
        <v>374732.25</v>
      </c>
      <c r="H18" s="79">
        <f t="shared" si="2"/>
        <v>9223.1300000000047</v>
      </c>
      <c r="I18" s="108">
        <f t="shared" si="3"/>
        <v>2.5233652172618852E-2</v>
      </c>
    </row>
    <row r="19" spans="1:11" x14ac:dyDescent="0.25">
      <c r="A19" s="95" t="s">
        <v>245</v>
      </c>
      <c r="B19" s="36">
        <f>'Orçamentário e Fin. 2020'!C18</f>
        <v>185473.21</v>
      </c>
      <c r="C19" s="36">
        <f>'Orçamentário e Fin. 2021'!C18</f>
        <v>267278.87</v>
      </c>
      <c r="D19" s="36">
        <f t="shared" si="0"/>
        <v>81805.66</v>
      </c>
      <c r="E19" s="90">
        <f t="shared" si="1"/>
        <v>0.44106456129162808</v>
      </c>
      <c r="F19" s="36">
        <f>'Orçamentário e Fin. 2020'!E18</f>
        <v>332104.82</v>
      </c>
      <c r="G19" s="87">
        <f>'Orçamentário e Fin. 2021'!E18</f>
        <v>423029.27</v>
      </c>
      <c r="H19" s="79">
        <f t="shared" si="2"/>
        <v>90924.450000000012</v>
      </c>
      <c r="I19" s="108">
        <f t="shared" si="3"/>
        <v>0.27378238593465765</v>
      </c>
    </row>
    <row r="20" spans="1:11" x14ac:dyDescent="0.25">
      <c r="A20" s="95" t="s">
        <v>246</v>
      </c>
      <c r="B20" s="36">
        <f>'Orçamentário e Fin. 2020'!C19</f>
        <v>176020.5</v>
      </c>
      <c r="C20" s="36">
        <f>'Orçamentário e Fin. 2021'!C19</f>
        <v>194551.5</v>
      </c>
      <c r="D20" s="36">
        <f t="shared" si="0"/>
        <v>18531</v>
      </c>
      <c r="E20" s="90">
        <f t="shared" si="1"/>
        <v>0.10527751028999463</v>
      </c>
      <c r="F20" s="36">
        <f>'Orçamentário e Fin. 2020'!E19</f>
        <v>313275.36</v>
      </c>
      <c r="G20" s="87">
        <f>'Orçamentário e Fin. 2021'!E19</f>
        <v>379440.82</v>
      </c>
      <c r="H20" s="79">
        <f t="shared" si="2"/>
        <v>66165.460000000021</v>
      </c>
      <c r="I20" s="108">
        <f t="shared" si="3"/>
        <v>0.21120543920211288</v>
      </c>
    </row>
    <row r="21" spans="1:11" x14ac:dyDescent="0.25">
      <c r="A21" s="95" t="s">
        <v>247</v>
      </c>
      <c r="B21" s="36">
        <f>'Comparativo 19 20'!C21</f>
        <v>182214.73</v>
      </c>
      <c r="C21" s="36">
        <f>'Orçamentário e Fin. 2021'!C20</f>
        <v>211007.41</v>
      </c>
      <c r="D21" s="36">
        <f t="shared" si="0"/>
        <v>28792.679999999993</v>
      </c>
      <c r="E21" s="90">
        <f t="shared" si="1"/>
        <v>0.1580151066820997</v>
      </c>
      <c r="F21" s="36">
        <f>'Comparativo 19 20'!G21</f>
        <v>329758.12</v>
      </c>
      <c r="G21" s="87">
        <f>'Orçamentário e Fin. 2021'!E20</f>
        <v>435043.27</v>
      </c>
      <c r="H21" s="79">
        <f>G21-F21</f>
        <v>105285.15000000002</v>
      </c>
      <c r="I21" s="108">
        <f t="shared" si="3"/>
        <v>0.31927993160562662</v>
      </c>
    </row>
    <row r="22" spans="1:11" x14ac:dyDescent="0.25">
      <c r="A22" s="95" t="s">
        <v>248</v>
      </c>
      <c r="B22" s="36">
        <f>'Orçamentário e Fin. 2020'!C21</f>
        <v>285578.76</v>
      </c>
      <c r="C22" s="36">
        <f>'Orçamentário e Fin. 2021'!C21</f>
        <v>192039.6</v>
      </c>
      <c r="D22" s="36">
        <f t="shared" si="0"/>
        <v>-93539.16</v>
      </c>
      <c r="E22" s="90">
        <f t="shared" si="1"/>
        <v>-0.32754242647457393</v>
      </c>
      <c r="F22" s="36">
        <f>'Orçamentário e Fin. 2020'!E21</f>
        <v>626492.35</v>
      </c>
      <c r="G22" s="87">
        <f>'Orçamentário e Fin. 2021'!E21</f>
        <v>694019.01</v>
      </c>
      <c r="H22" s="79">
        <f>G22-F22</f>
        <v>67526.660000000033</v>
      </c>
      <c r="I22" s="108">
        <f t="shared" si="3"/>
        <v>0.10778529059453006</v>
      </c>
    </row>
    <row r="23" spans="1:11" ht="13.8" thickBot="1" x14ac:dyDescent="0.3">
      <c r="A23" s="96"/>
      <c r="B23" s="36"/>
      <c r="C23" s="36"/>
      <c r="D23" s="36"/>
      <c r="E23" s="110"/>
      <c r="F23" s="110"/>
      <c r="G23" s="36"/>
      <c r="H23" s="111"/>
      <c r="I23" s="112"/>
    </row>
    <row r="24" spans="1:11" ht="13.8" thickBot="1" x14ac:dyDescent="0.3">
      <c r="A24" s="127" t="s">
        <v>224</v>
      </c>
      <c r="B24" s="113">
        <f>SUM(B11:B23)</f>
        <v>5936115.8500000006</v>
      </c>
      <c r="C24" s="113">
        <f>SUM(C11:C23)</f>
        <v>7186013.7500000009</v>
      </c>
      <c r="D24" s="125">
        <f>C24-B24</f>
        <v>1249897.9000000004</v>
      </c>
      <c r="E24" s="126">
        <f>D24/B24</f>
        <v>0.2105582053288263</v>
      </c>
      <c r="F24" s="113">
        <f>SUM(F11:F23)</f>
        <v>5170434.8199999994</v>
      </c>
      <c r="G24" s="113">
        <f>SUM(G11:G23)</f>
        <v>6054981.8399999999</v>
      </c>
      <c r="H24" s="121">
        <f>G24-F24</f>
        <v>884547.02000000048</v>
      </c>
      <c r="I24" s="122">
        <f>H24/F24</f>
        <v>0.17107787851390041</v>
      </c>
    </row>
    <row r="25" spans="1:11" x14ac:dyDescent="0.25">
      <c r="A25" s="248"/>
      <c r="B25" s="248"/>
      <c r="C25" s="248"/>
      <c r="D25" s="249"/>
      <c r="E25" s="13"/>
      <c r="F25" s="13"/>
      <c r="G25" s="13"/>
      <c r="H25" s="13"/>
      <c r="I25" s="13"/>
      <c r="J25" s="13"/>
      <c r="K25" s="13"/>
    </row>
    <row r="26" spans="1:11" x14ac:dyDescent="0.25">
      <c r="A26" s="630"/>
      <c r="B26" s="631"/>
      <c r="C26" s="632"/>
      <c r="D26" s="632"/>
      <c r="E26" s="222"/>
      <c r="F26" s="222"/>
      <c r="G26" s="220"/>
      <c r="H26" s="223"/>
      <c r="I26" s="224"/>
      <c r="J26" s="13"/>
      <c r="K26" s="13"/>
    </row>
    <row r="27" spans="1:11" x14ac:dyDescent="0.25">
      <c r="A27" s="631"/>
      <c r="B27" s="631"/>
      <c r="C27" s="632"/>
      <c r="D27" s="632"/>
      <c r="E27" s="221"/>
      <c r="F27" s="476"/>
      <c r="G27" s="310"/>
      <c r="H27" s="15"/>
      <c r="I27" s="13"/>
      <c r="J27" s="13"/>
      <c r="K27" s="13"/>
    </row>
    <row r="28" spans="1:11" x14ac:dyDescent="0.25">
      <c r="A28" s="248"/>
      <c r="B28" s="248"/>
      <c r="C28" s="623"/>
      <c r="D28" s="623"/>
      <c r="E28" s="13"/>
      <c r="F28" s="118"/>
      <c r="G28" s="13"/>
      <c r="H28" s="13"/>
      <c r="I28" s="13"/>
      <c r="J28" s="13"/>
      <c r="K28" s="13"/>
    </row>
    <row r="29" spans="1:11" x14ac:dyDescent="0.25">
      <c r="A29" s="248"/>
      <c r="B29" s="248"/>
      <c r="C29" s="385"/>
      <c r="D29" s="248"/>
      <c r="E29" s="13"/>
      <c r="F29" s="118"/>
      <c r="G29" s="13"/>
      <c r="H29" s="13"/>
      <c r="I29" s="13"/>
      <c r="J29" s="13"/>
      <c r="K29" s="13"/>
    </row>
    <row r="30" spans="1:11" x14ac:dyDescent="0.25">
      <c r="A30" s="248"/>
      <c r="B30" s="385"/>
      <c r="C30" s="248"/>
      <c r="D30" s="249"/>
      <c r="E30" s="13"/>
      <c r="F30" s="13"/>
      <c r="G30" s="13"/>
      <c r="H30" s="380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18"/>
      <c r="I31" s="13"/>
      <c r="J31" s="13"/>
      <c r="K31" s="13"/>
    </row>
    <row r="32" spans="1:11" x14ac:dyDescent="0.25">
      <c r="D32" s="101"/>
    </row>
    <row r="33" spans="7:7" x14ac:dyDescent="0.25">
      <c r="G33" s="78"/>
    </row>
    <row r="34" spans="7:7" x14ac:dyDescent="0.25">
      <c r="G34" s="244"/>
    </row>
  </sheetData>
  <mergeCells count="13">
    <mergeCell ref="C28:D28"/>
    <mergeCell ref="E8:E10"/>
    <mergeCell ref="I8:I10"/>
    <mergeCell ref="A26:B26"/>
    <mergeCell ref="C26:D26"/>
    <mergeCell ref="A27:B27"/>
    <mergeCell ref="C27:D27"/>
    <mergeCell ref="A1:I1"/>
    <mergeCell ref="A4:I4"/>
    <mergeCell ref="B6:E6"/>
    <mergeCell ref="F6:I6"/>
    <mergeCell ref="B7:E7"/>
    <mergeCell ref="F7:I7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N34"/>
  <sheetViews>
    <sheetView showGridLines="0" zoomScale="110" zoomScaleNormal="110" workbookViewId="0">
      <selection activeCell="E21" sqref="E21"/>
    </sheetView>
  </sheetViews>
  <sheetFormatPr defaultColWidth="11.44140625" defaultRowHeight="13.2" x14ac:dyDescent="0.25"/>
  <cols>
    <col min="1" max="1" width="8.44140625" bestFit="1" customWidth="1"/>
    <col min="2" max="2" width="13.6640625" bestFit="1" customWidth="1"/>
    <col min="3" max="3" width="15.33203125" customWidth="1"/>
    <col min="4" max="4" width="8" bestFit="1" customWidth="1"/>
    <col min="5" max="5" width="14.6640625" bestFit="1" customWidth="1"/>
    <col min="6" max="6" width="8" customWidth="1"/>
    <col min="7" max="7" width="16" customWidth="1"/>
    <col min="8" max="8" width="9.33203125" customWidth="1"/>
    <col min="9" max="9" width="14.6640625" bestFit="1" customWidth="1"/>
    <col min="10" max="10" width="13.33203125" bestFit="1" customWidth="1"/>
    <col min="11" max="11" width="12.44140625" bestFit="1" customWidth="1"/>
    <col min="13" max="13" width="13" bestFit="1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s="98" customFormat="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576" t="s">
        <v>288</v>
      </c>
      <c r="B4" s="576"/>
      <c r="C4" s="576"/>
      <c r="D4" s="576"/>
      <c r="E4" s="576"/>
      <c r="F4" s="576"/>
      <c r="G4" s="576"/>
      <c r="H4" s="576"/>
      <c r="I4" s="576"/>
      <c r="J4" s="576"/>
      <c r="K4" s="576"/>
    </row>
    <row r="5" spans="1:11" ht="13.8" thickBot="1" x14ac:dyDescent="0.3"/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x14ac:dyDescent="0.25">
      <c r="A7" s="46"/>
      <c r="B7" s="63" t="s">
        <v>200</v>
      </c>
      <c r="C7" s="63" t="s">
        <v>201</v>
      </c>
      <c r="D7" s="52"/>
      <c r="E7" s="45" t="s">
        <v>4</v>
      </c>
      <c r="F7" s="52"/>
      <c r="G7" s="45" t="s">
        <v>202</v>
      </c>
      <c r="H7" s="52"/>
      <c r="I7" s="63" t="s">
        <v>6</v>
      </c>
      <c r="J7" s="371" t="s">
        <v>203</v>
      </c>
      <c r="K7" s="52" t="s">
        <v>202</v>
      </c>
    </row>
    <row r="8" spans="1:11" x14ac:dyDescent="0.25">
      <c r="A8" s="44" t="s">
        <v>204</v>
      </c>
      <c r="B8" s="64" t="s">
        <v>205</v>
      </c>
      <c r="C8" s="64" t="s">
        <v>206</v>
      </c>
      <c r="D8" s="53" t="s">
        <v>12</v>
      </c>
      <c r="E8" s="15" t="s">
        <v>10</v>
      </c>
      <c r="F8" s="53" t="s">
        <v>12</v>
      </c>
      <c r="G8" s="15" t="s">
        <v>207</v>
      </c>
      <c r="H8" s="53" t="s">
        <v>12</v>
      </c>
      <c r="I8" s="64" t="s">
        <v>208</v>
      </c>
      <c r="J8" s="372" t="s">
        <v>209</v>
      </c>
      <c r="K8" s="53" t="s">
        <v>210</v>
      </c>
    </row>
    <row r="9" spans="1:11" ht="13.8" thickBot="1" x14ac:dyDescent="0.3">
      <c r="A9" s="47"/>
      <c r="B9" s="89">
        <v>2020</v>
      </c>
      <c r="C9" s="89">
        <v>2020</v>
      </c>
      <c r="D9" s="54" t="s">
        <v>211</v>
      </c>
      <c r="E9" s="89">
        <v>2020</v>
      </c>
      <c r="F9" s="54" t="s">
        <v>211</v>
      </c>
      <c r="G9" s="89">
        <v>2020</v>
      </c>
      <c r="H9" s="54"/>
      <c r="I9" s="89">
        <v>2020</v>
      </c>
      <c r="J9" s="373">
        <v>2020</v>
      </c>
      <c r="K9" s="54">
        <v>2020</v>
      </c>
    </row>
    <row r="10" spans="1:11" x14ac:dyDescent="0.25">
      <c r="A10" s="48" t="s">
        <v>212</v>
      </c>
      <c r="B10" s="278">
        <v>6260000</v>
      </c>
      <c r="C10" s="466">
        <v>1227425.54</v>
      </c>
      <c r="D10" s="280">
        <f t="shared" ref="D10:D21" si="0">C10/B10</f>
        <v>0.19607436741214057</v>
      </c>
      <c r="E10" s="86">
        <v>602093.75</v>
      </c>
      <c r="F10" s="280">
        <f t="shared" ref="F10:F21" si="1">E10/B10</f>
        <v>9.6181110223642174E-2</v>
      </c>
      <c r="G10" s="276">
        <f t="shared" ref="G10:G21" si="2">C10-E10</f>
        <v>625331.79</v>
      </c>
      <c r="H10" s="281">
        <f t="shared" ref="H10:H21" si="3">G10/C10</f>
        <v>0.50946617095811775</v>
      </c>
      <c r="I10" s="278">
        <v>3973061.59</v>
      </c>
      <c r="J10" s="276">
        <v>461114.33</v>
      </c>
      <c r="K10" s="282">
        <f t="shared" ref="K10:K19" si="4">I10-J10</f>
        <v>3511947.26</v>
      </c>
    </row>
    <row r="11" spans="1:11" x14ac:dyDescent="0.25">
      <c r="A11" s="48" t="s">
        <v>213</v>
      </c>
      <c r="B11" s="278">
        <v>6260000</v>
      </c>
      <c r="C11" s="434">
        <v>1351339.68</v>
      </c>
      <c r="D11" s="280">
        <f t="shared" si="0"/>
        <v>0.21586895846645365</v>
      </c>
      <c r="E11" s="55">
        <v>668819.68999999994</v>
      </c>
      <c r="F11" s="280">
        <f t="shared" si="1"/>
        <v>0.10684020607028753</v>
      </c>
      <c r="G11" s="276">
        <f t="shared" si="2"/>
        <v>682519.99</v>
      </c>
      <c r="H11" s="281">
        <f t="shared" si="3"/>
        <v>0.50506915478127601</v>
      </c>
      <c r="I11" s="283">
        <v>4654498.38</v>
      </c>
      <c r="J11" s="276">
        <v>424011.35</v>
      </c>
      <c r="K11" s="282">
        <f t="shared" si="4"/>
        <v>4230487.03</v>
      </c>
    </row>
    <row r="12" spans="1:11" x14ac:dyDescent="0.25">
      <c r="A12" s="48" t="s">
        <v>214</v>
      </c>
      <c r="B12" s="278">
        <v>6260000</v>
      </c>
      <c r="C12" s="434">
        <v>610156.17000000004</v>
      </c>
      <c r="D12" s="280">
        <f t="shared" si="0"/>
        <v>9.7469036741214057E-2</v>
      </c>
      <c r="E12" s="55">
        <v>486902.84</v>
      </c>
      <c r="F12" s="280">
        <f t="shared" si="1"/>
        <v>7.7780006389776363E-2</v>
      </c>
      <c r="G12" s="276">
        <f t="shared" si="2"/>
        <v>123253.33000000002</v>
      </c>
      <c r="H12" s="281">
        <f t="shared" si="3"/>
        <v>0.20200292328437816</v>
      </c>
      <c r="I12" s="283">
        <v>4774955.67</v>
      </c>
      <c r="J12" s="276">
        <v>354777.39</v>
      </c>
      <c r="K12" s="282">
        <f t="shared" si="4"/>
        <v>4420178.28</v>
      </c>
    </row>
    <row r="13" spans="1:11" x14ac:dyDescent="0.25">
      <c r="A13" s="48" t="s">
        <v>215</v>
      </c>
      <c r="B13" s="278">
        <v>6260000</v>
      </c>
      <c r="C13" s="434">
        <v>550104.25</v>
      </c>
      <c r="D13" s="280">
        <f t="shared" si="0"/>
        <v>8.7876078274760377E-2</v>
      </c>
      <c r="E13" s="55">
        <v>405334.3</v>
      </c>
      <c r="F13" s="280">
        <f t="shared" si="1"/>
        <v>6.4749888178913736E-2</v>
      </c>
      <c r="G13" s="276">
        <f t="shared" si="2"/>
        <v>144769.95000000001</v>
      </c>
      <c r="H13" s="281">
        <f t="shared" si="3"/>
        <v>0.26316820857137535</v>
      </c>
      <c r="I13" s="283">
        <v>4915459.88</v>
      </c>
      <c r="J13" s="276">
        <v>360998.07</v>
      </c>
      <c r="K13" s="282">
        <f t="shared" si="4"/>
        <v>4554461.8099999996</v>
      </c>
    </row>
    <row r="14" spans="1:11" x14ac:dyDescent="0.25">
      <c r="A14" s="48" t="s">
        <v>216</v>
      </c>
      <c r="B14" s="278">
        <v>6260000</v>
      </c>
      <c r="C14" s="434">
        <v>363595.75</v>
      </c>
      <c r="D14" s="425">
        <f t="shared" si="0"/>
        <v>5.8082388178913737E-2</v>
      </c>
      <c r="E14" s="55">
        <v>363016.92</v>
      </c>
      <c r="F14" s="423">
        <f t="shared" si="1"/>
        <v>5.7989923322683705E-2</v>
      </c>
      <c r="G14" s="285">
        <f t="shared" si="2"/>
        <v>578.8300000000163</v>
      </c>
      <c r="H14" s="424">
        <f t="shared" si="3"/>
        <v>1.5919603020662818E-3</v>
      </c>
      <c r="I14" s="283">
        <v>4923780.66</v>
      </c>
      <c r="J14" s="276">
        <v>382455.97</v>
      </c>
      <c r="K14" s="286">
        <f t="shared" si="4"/>
        <v>4541324.6900000004</v>
      </c>
    </row>
    <row r="15" spans="1:11" x14ac:dyDescent="0.25">
      <c r="A15" s="48" t="s">
        <v>217</v>
      </c>
      <c r="B15" s="278">
        <v>6260000</v>
      </c>
      <c r="C15" s="434">
        <v>333340.65000000002</v>
      </c>
      <c r="D15" s="425">
        <f t="shared" si="0"/>
        <v>5.3249305111821091E-2</v>
      </c>
      <c r="E15" s="55">
        <v>337817.8</v>
      </c>
      <c r="F15" s="423">
        <f t="shared" si="1"/>
        <v>5.3964504792332266E-2</v>
      </c>
      <c r="G15" s="285">
        <f t="shared" si="2"/>
        <v>-4477.1499999999651</v>
      </c>
      <c r="H15" s="424">
        <f t="shared" si="3"/>
        <v>-1.3431155186143559E-2</v>
      </c>
      <c r="I15" s="283">
        <v>4913810.05</v>
      </c>
      <c r="J15" s="276">
        <v>391274.23999999999</v>
      </c>
      <c r="K15" s="286">
        <f t="shared" si="4"/>
        <v>4522535.8099999996</v>
      </c>
    </row>
    <row r="16" spans="1:11" x14ac:dyDescent="0.25">
      <c r="A16" s="48" t="s">
        <v>218</v>
      </c>
      <c r="B16" s="278">
        <v>6260000</v>
      </c>
      <c r="C16" s="435">
        <v>289708.99</v>
      </c>
      <c r="D16" s="425">
        <f t="shared" si="0"/>
        <v>4.6279391373801916E-2</v>
      </c>
      <c r="E16" s="55">
        <v>339309.75</v>
      </c>
      <c r="F16" s="423">
        <f t="shared" si="1"/>
        <v>5.4202835463258783E-2</v>
      </c>
      <c r="G16" s="285">
        <f t="shared" si="2"/>
        <v>-49600.760000000009</v>
      </c>
      <c r="H16" s="424">
        <f t="shared" si="3"/>
        <v>-0.1712089086362146</v>
      </c>
      <c r="I16" s="283">
        <v>4873561.49</v>
      </c>
      <c r="J16" s="276">
        <v>417975.94</v>
      </c>
      <c r="K16" s="286">
        <f t="shared" si="4"/>
        <v>4455585.55</v>
      </c>
    </row>
    <row r="17" spans="1:14" x14ac:dyDescent="0.25">
      <c r="A17" s="48" t="s">
        <v>219</v>
      </c>
      <c r="B17" s="278">
        <v>6260000</v>
      </c>
      <c r="C17" s="435">
        <v>381157.62</v>
      </c>
      <c r="D17" s="425">
        <f t="shared" si="0"/>
        <v>6.0887798722044729E-2</v>
      </c>
      <c r="E17" s="55">
        <v>365509.12</v>
      </c>
      <c r="F17" s="423">
        <f t="shared" si="1"/>
        <v>5.8388038338658146E-2</v>
      </c>
      <c r="G17" s="285">
        <f t="shared" si="2"/>
        <v>15648.5</v>
      </c>
      <c r="H17" s="424">
        <f t="shared" si="3"/>
        <v>4.105519391164212E-2</v>
      </c>
      <c r="I17" s="283">
        <v>4878732.54</v>
      </c>
      <c r="J17" s="276">
        <v>423486.38</v>
      </c>
      <c r="K17" s="286">
        <f t="shared" si="4"/>
        <v>4455246.16</v>
      </c>
      <c r="M17" s="101"/>
    </row>
    <row r="18" spans="1:14" x14ac:dyDescent="0.25">
      <c r="A18" s="48" t="s">
        <v>220</v>
      </c>
      <c r="B18" s="278">
        <v>6260000</v>
      </c>
      <c r="C18" s="435">
        <v>185473.21</v>
      </c>
      <c r="D18" s="284">
        <f t="shared" si="0"/>
        <v>2.9628308306709265E-2</v>
      </c>
      <c r="E18" s="55">
        <v>332104.82</v>
      </c>
      <c r="F18" s="280">
        <f t="shared" si="1"/>
        <v>5.3051888178913736E-2</v>
      </c>
      <c r="G18" s="285">
        <f t="shared" si="2"/>
        <v>-146631.61000000002</v>
      </c>
      <c r="H18" s="281">
        <f t="shared" si="3"/>
        <v>-0.79058107637216191</v>
      </c>
      <c r="I18" s="283">
        <v>4736954.2300000004</v>
      </c>
      <c r="J18" s="276">
        <v>439358.59</v>
      </c>
      <c r="K18" s="286">
        <f t="shared" si="4"/>
        <v>4297595.6400000006</v>
      </c>
    </row>
    <row r="19" spans="1:14" x14ac:dyDescent="0.25">
      <c r="A19" s="48" t="s">
        <v>221</v>
      </c>
      <c r="B19" s="278">
        <v>6260000</v>
      </c>
      <c r="C19" s="435">
        <v>176020.5</v>
      </c>
      <c r="D19" s="284">
        <f t="shared" si="0"/>
        <v>2.8118290734824282E-2</v>
      </c>
      <c r="E19" s="55">
        <v>313275.36</v>
      </c>
      <c r="F19" s="280">
        <f t="shared" si="1"/>
        <v>5.0043987220447284E-2</v>
      </c>
      <c r="G19" s="285">
        <f t="shared" si="2"/>
        <v>-137254.85999999999</v>
      </c>
      <c r="H19" s="281">
        <f t="shared" si="3"/>
        <v>-0.7797663340349561</v>
      </c>
      <c r="I19" s="283">
        <v>4597880.5599999996</v>
      </c>
      <c r="J19" s="276">
        <v>434312.44</v>
      </c>
      <c r="K19" s="286">
        <f t="shared" si="4"/>
        <v>4163568.1199999996</v>
      </c>
    </row>
    <row r="20" spans="1:14" x14ac:dyDescent="0.25">
      <c r="A20" s="48" t="s">
        <v>222</v>
      </c>
      <c r="B20" s="278">
        <v>6260000</v>
      </c>
      <c r="C20" s="435">
        <v>182214.73</v>
      </c>
      <c r="D20" s="284">
        <f t="shared" si="0"/>
        <v>2.9107784345047925E-2</v>
      </c>
      <c r="E20" s="55">
        <v>329758.12</v>
      </c>
      <c r="F20" s="280">
        <f t="shared" si="1"/>
        <v>5.2677015974440897E-2</v>
      </c>
      <c r="G20" s="285">
        <f t="shared" si="2"/>
        <v>-147543.38999999998</v>
      </c>
      <c r="H20" s="289">
        <f t="shared" si="3"/>
        <v>-0.80972262780292226</v>
      </c>
      <c r="I20" s="283">
        <v>4466590.88</v>
      </c>
      <c r="J20" s="276">
        <v>459955.77</v>
      </c>
      <c r="K20" s="286">
        <f>I20-J20</f>
        <v>4006635.11</v>
      </c>
    </row>
    <row r="21" spans="1:14" x14ac:dyDescent="0.25">
      <c r="A21" s="48" t="s">
        <v>223</v>
      </c>
      <c r="B21" s="278">
        <v>6260000</v>
      </c>
      <c r="C21" s="435">
        <v>285578.76</v>
      </c>
      <c r="D21" s="284">
        <f t="shared" si="0"/>
        <v>4.5619610223642172E-2</v>
      </c>
      <c r="E21" s="55">
        <f>516271.55+110220.8</f>
        <v>626492.35</v>
      </c>
      <c r="F21" s="280">
        <f t="shared" si="1"/>
        <v>0.1000786501597444</v>
      </c>
      <c r="G21" s="285">
        <f t="shared" si="2"/>
        <v>-340913.58999999997</v>
      </c>
      <c r="H21" s="289">
        <f t="shared" si="3"/>
        <v>-1.1937638149279728</v>
      </c>
      <c r="I21" s="283">
        <v>4208282.74</v>
      </c>
      <c r="J21" s="276">
        <v>474045.61</v>
      </c>
      <c r="K21" s="286">
        <f>I21-J21</f>
        <v>3734237.1300000004</v>
      </c>
    </row>
    <row r="22" spans="1:14" ht="13.8" thickBot="1" x14ac:dyDescent="0.3">
      <c r="A22" s="49"/>
      <c r="B22" s="290"/>
      <c r="C22" s="435"/>
      <c r="D22" s="290"/>
      <c r="E22" s="291"/>
      <c r="F22" s="290"/>
      <c r="G22" s="292"/>
      <c r="H22" s="293"/>
      <c r="I22" s="283"/>
      <c r="J22" s="276"/>
      <c r="K22" s="293"/>
    </row>
    <row r="23" spans="1:14" ht="13.8" thickBot="1" x14ac:dyDescent="0.3">
      <c r="A23" s="72" t="s">
        <v>224</v>
      </c>
      <c r="B23" s="374">
        <v>6260000</v>
      </c>
      <c r="C23" s="74">
        <f>SUM(C10:C22)</f>
        <v>5936115.8500000006</v>
      </c>
      <c r="D23" s="75">
        <f>C23/B23</f>
        <v>0.94826131789137391</v>
      </c>
      <c r="E23" s="74">
        <f>SUM(E10:E22)</f>
        <v>5170434.8199999994</v>
      </c>
      <c r="F23" s="75">
        <f>E23/B23</f>
        <v>0.82594805431309892</v>
      </c>
      <c r="G23" s="74">
        <f>C23-E23</f>
        <v>765681.03000000119</v>
      </c>
      <c r="H23" s="76">
        <f>E23/C23</f>
        <v>0.87101312552719112</v>
      </c>
      <c r="I23" s="77">
        <v>4208282.74</v>
      </c>
      <c r="J23" s="77">
        <f>J21</f>
        <v>474045.61</v>
      </c>
      <c r="K23" s="74">
        <f>K21</f>
        <v>3734237.1300000004</v>
      </c>
      <c r="L23" s="13"/>
    </row>
    <row r="24" spans="1:14" ht="13.8" thickBot="1" x14ac:dyDescent="0.3">
      <c r="A24" s="221"/>
      <c r="B24" s="223"/>
      <c r="C24" s="223"/>
      <c r="D24" s="224"/>
      <c r="E24" s="223"/>
      <c r="F24" s="224"/>
      <c r="G24" s="223"/>
      <c r="H24" s="224"/>
      <c r="I24" s="223"/>
      <c r="J24" s="223"/>
      <c r="K24" s="223"/>
      <c r="L24" s="13"/>
    </row>
    <row r="25" spans="1:14" ht="13.8" thickBot="1" x14ac:dyDescent="0.3">
      <c r="A25" s="28"/>
      <c r="C25" s="590" t="s">
        <v>225</v>
      </c>
      <c r="D25" s="591"/>
      <c r="E25" s="592" t="s">
        <v>226</v>
      </c>
      <c r="F25" s="593"/>
      <c r="G25" s="377" t="s">
        <v>202</v>
      </c>
      <c r="I25" s="246"/>
    </row>
    <row r="26" spans="1:14" ht="18.75" customHeight="1" thickBot="1" x14ac:dyDescent="0.3">
      <c r="A26" s="603" t="s">
        <v>229</v>
      </c>
      <c r="B26" s="604"/>
      <c r="C26" s="650">
        <v>5936115.8499999996</v>
      </c>
      <c r="D26" s="651"/>
      <c r="E26" s="652">
        <v>4875423.9400000004</v>
      </c>
      <c r="F26" s="653"/>
      <c r="G26" s="375">
        <f>C26-E26</f>
        <v>1060691.9099999992</v>
      </c>
      <c r="I26" s="101"/>
      <c r="J26" s="249"/>
      <c r="K26" s="368"/>
      <c r="L26" s="248"/>
      <c r="M26" s="248"/>
      <c r="N26" s="248"/>
    </row>
    <row r="27" spans="1:14" x14ac:dyDescent="0.25">
      <c r="C27" s="99"/>
      <c r="E27" s="231"/>
      <c r="G27" s="231"/>
      <c r="I27" s="231"/>
    </row>
    <row r="28" spans="1:14" x14ac:dyDescent="0.25">
      <c r="A28" s="369" t="s">
        <v>282</v>
      </c>
      <c r="B28" s="369"/>
      <c r="C28" s="370"/>
      <c r="D28" s="369"/>
      <c r="E28" s="370"/>
      <c r="G28" s="246"/>
      <c r="I28" s="246"/>
      <c r="J28" s="101"/>
    </row>
    <row r="29" spans="1:14" x14ac:dyDescent="0.25">
      <c r="C29" s="25"/>
      <c r="E29" s="25"/>
      <c r="G29" s="246"/>
    </row>
    <row r="30" spans="1:14" x14ac:dyDescent="0.25">
      <c r="B30" s="246"/>
      <c r="C30" s="426"/>
      <c r="E30" s="376"/>
      <c r="G30" s="231"/>
      <c r="I30" s="231"/>
    </row>
    <row r="31" spans="1:14" x14ac:dyDescent="0.25">
      <c r="C31" s="426"/>
      <c r="E31" s="231"/>
      <c r="I31" s="231"/>
      <c r="J31" s="78"/>
    </row>
    <row r="32" spans="1:14" x14ac:dyDescent="0.25">
      <c r="C32" s="42"/>
      <c r="E32" s="42"/>
      <c r="I32" s="231"/>
    </row>
    <row r="33" spans="2:9" x14ac:dyDescent="0.25">
      <c r="B33" s="246"/>
      <c r="E33" s="42"/>
      <c r="I33" s="231"/>
    </row>
    <row r="34" spans="2:9" x14ac:dyDescent="0.25">
      <c r="C34" s="42"/>
      <c r="E34" s="42"/>
    </row>
  </sheetData>
  <mergeCells count="9">
    <mergeCell ref="A26:B26"/>
    <mergeCell ref="C26:D26"/>
    <mergeCell ref="E26:F26"/>
    <mergeCell ref="A1:K1"/>
    <mergeCell ref="A4:K4"/>
    <mergeCell ref="A6:H6"/>
    <mergeCell ref="I6:K6"/>
    <mergeCell ref="C25:D25"/>
    <mergeCell ref="E25:F2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-0.249977111117893"/>
  </sheetPr>
  <dimension ref="A1:K34"/>
  <sheetViews>
    <sheetView showGridLines="0" topLeftCell="A7" zoomScale="120" zoomScaleNormal="120" workbookViewId="0">
      <selection activeCell="X21" sqref="X21"/>
    </sheetView>
  </sheetViews>
  <sheetFormatPr defaultRowHeight="13.2" x14ac:dyDescent="0.25"/>
  <cols>
    <col min="1" max="1" width="8.44140625" customWidth="1"/>
    <col min="2" max="2" width="14.44140625" customWidth="1"/>
    <col min="3" max="3" width="14.6640625" customWidth="1"/>
    <col min="4" max="4" width="13.6640625" customWidth="1"/>
    <col min="5" max="5" width="12.6640625" bestFit="1" customWidth="1"/>
    <col min="6" max="6" width="14.44140625" customWidth="1"/>
    <col min="7" max="9" width="16.33203125" bestFit="1" customWidth="1"/>
  </cols>
  <sheetData>
    <row r="1" spans="1:9" ht="20.399999999999999" x14ac:dyDescent="0.35">
      <c r="A1" s="611" t="s">
        <v>230</v>
      </c>
      <c r="B1" s="611"/>
      <c r="C1" s="611"/>
      <c r="D1" s="611"/>
      <c r="E1" s="611"/>
      <c r="F1" s="611"/>
      <c r="G1" s="611"/>
      <c r="H1" s="611"/>
      <c r="I1" s="611"/>
    </row>
    <row r="2" spans="1:9" ht="17.399999999999999" x14ac:dyDescent="0.3">
      <c r="A2" s="97"/>
      <c r="B2" s="97"/>
      <c r="C2" s="97"/>
      <c r="D2" s="97"/>
      <c r="E2" s="97"/>
      <c r="F2" s="97"/>
      <c r="G2" s="97"/>
      <c r="H2" s="97"/>
      <c r="I2" s="97"/>
    </row>
    <row r="3" spans="1:9" s="100" customFormat="1" ht="17.399999999999999" x14ac:dyDescent="0.3">
      <c r="A3" s="22" t="s">
        <v>231</v>
      </c>
      <c r="B3" s="22"/>
      <c r="C3" s="22"/>
      <c r="D3" s="22"/>
      <c r="E3" s="22"/>
      <c r="F3" s="22"/>
      <c r="G3" s="22"/>
      <c r="H3" s="22"/>
      <c r="I3" s="22"/>
    </row>
    <row r="4" spans="1:9" s="100" customFormat="1" ht="17.399999999999999" x14ac:dyDescent="0.3">
      <c r="A4" s="586" t="s">
        <v>289</v>
      </c>
      <c r="B4" s="586"/>
      <c r="C4" s="586"/>
      <c r="D4" s="586"/>
      <c r="E4" s="586"/>
      <c r="F4" s="586"/>
      <c r="G4" s="586"/>
      <c r="H4" s="586"/>
      <c r="I4" s="586"/>
    </row>
    <row r="5" spans="1:9" ht="13.8" thickBot="1" x14ac:dyDescent="0.3">
      <c r="A5" s="15"/>
      <c r="B5" s="15"/>
      <c r="C5" s="15"/>
      <c r="D5" s="15"/>
      <c r="E5" s="16"/>
      <c r="F5" s="13"/>
      <c r="G5" s="13"/>
      <c r="H5" s="13"/>
      <c r="I5" s="13"/>
    </row>
    <row r="6" spans="1:9" x14ac:dyDescent="0.25">
      <c r="A6" s="63"/>
      <c r="B6" s="612" t="s">
        <v>233</v>
      </c>
      <c r="C6" s="613"/>
      <c r="D6" s="613"/>
      <c r="E6" s="614"/>
      <c r="F6" s="612" t="s">
        <v>234</v>
      </c>
      <c r="G6" s="613"/>
      <c r="H6" s="613"/>
      <c r="I6" s="614"/>
    </row>
    <row r="7" spans="1:9" ht="13.8" thickBot="1" x14ac:dyDescent="0.3">
      <c r="A7" s="64"/>
      <c r="B7" s="615" t="s">
        <v>143</v>
      </c>
      <c r="C7" s="616"/>
      <c r="D7" s="617"/>
      <c r="E7" s="618"/>
      <c r="F7" s="619" t="s">
        <v>144</v>
      </c>
      <c r="G7" s="620"/>
      <c r="H7" s="621"/>
      <c r="I7" s="622"/>
    </row>
    <row r="8" spans="1:9" x14ac:dyDescent="0.25">
      <c r="A8" s="64" t="s">
        <v>235</v>
      </c>
      <c r="B8" s="63" t="s">
        <v>201</v>
      </c>
      <c r="C8" s="52" t="s">
        <v>201</v>
      </c>
      <c r="D8" s="119" t="s">
        <v>11</v>
      </c>
      <c r="E8" s="624" t="s">
        <v>12</v>
      </c>
      <c r="F8" s="52" t="s">
        <v>4</v>
      </c>
      <c r="G8" s="52" t="s">
        <v>4</v>
      </c>
      <c r="H8" s="119" t="s">
        <v>11</v>
      </c>
      <c r="I8" s="627" t="s">
        <v>12</v>
      </c>
    </row>
    <row r="9" spans="1:9" x14ac:dyDescent="0.25">
      <c r="A9" s="64"/>
      <c r="B9" s="64" t="s">
        <v>206</v>
      </c>
      <c r="C9" s="53" t="s">
        <v>206</v>
      </c>
      <c r="D9" s="119" t="s">
        <v>236</v>
      </c>
      <c r="E9" s="625"/>
      <c r="F9" s="53" t="s">
        <v>10</v>
      </c>
      <c r="G9" s="53" t="s">
        <v>10</v>
      </c>
      <c r="H9" s="119" t="s">
        <v>236</v>
      </c>
      <c r="I9" s="628"/>
    </row>
    <row r="10" spans="1:9" ht="13.8" thickBot="1" x14ac:dyDescent="0.3">
      <c r="A10" s="89"/>
      <c r="B10" s="89">
        <v>2019</v>
      </c>
      <c r="C10" s="54">
        <v>2020</v>
      </c>
      <c r="D10" s="120" t="s">
        <v>290</v>
      </c>
      <c r="E10" s="626"/>
      <c r="F10" s="54">
        <v>2019</v>
      </c>
      <c r="G10" s="54">
        <v>2020</v>
      </c>
      <c r="H10" s="120" t="s">
        <v>290</v>
      </c>
      <c r="I10" s="629"/>
    </row>
    <row r="11" spans="1:9" x14ac:dyDescent="0.25">
      <c r="A11" s="94" t="s">
        <v>237</v>
      </c>
      <c r="B11" s="36">
        <f>'ORCAMENTÁRIO E FIN. 2019'!C10</f>
        <v>856958.12</v>
      </c>
      <c r="C11" s="36">
        <f>'Orçamentário e Fin. 2020'!C10</f>
        <v>1227425.54</v>
      </c>
      <c r="D11" s="36">
        <f t="shared" ref="D11:D20" si="0">C11-B11</f>
        <v>370467.42000000004</v>
      </c>
      <c r="E11" s="90">
        <f t="shared" ref="E11:E20" si="1">D11/B11</f>
        <v>0.43230516329082691</v>
      </c>
      <c r="F11" s="36">
        <f>'ORCAMENTÁRIO E FIN. 2019'!E10</f>
        <v>543064.91</v>
      </c>
      <c r="G11" s="86">
        <v>602093.75</v>
      </c>
      <c r="H11" s="79">
        <f t="shared" ref="H11:H20" si="2">G11-F11</f>
        <v>59028.839999999967</v>
      </c>
      <c r="I11" s="108">
        <f t="shared" ref="I11:I20" si="3">H11/F11</f>
        <v>0.10869573583754466</v>
      </c>
    </row>
    <row r="12" spans="1:9" x14ac:dyDescent="0.25">
      <c r="A12" s="95" t="s">
        <v>238</v>
      </c>
      <c r="B12" s="36">
        <f>'ORCAMENTÁRIO E FIN. 2019'!C11</f>
        <v>1196208.3899999999</v>
      </c>
      <c r="C12" s="36">
        <f>'Orçamentário e Fin. 2020'!C11</f>
        <v>1351339.68</v>
      </c>
      <c r="D12" s="36">
        <f t="shared" si="0"/>
        <v>155131.29000000004</v>
      </c>
      <c r="E12" s="90">
        <f t="shared" si="1"/>
        <v>0.12968584010683962</v>
      </c>
      <c r="F12" s="36">
        <f>'ORCAMENTÁRIO E FIN. 2019'!E11</f>
        <v>570785.36</v>
      </c>
      <c r="G12" s="55">
        <f>'Orçamentário e Fin. 2020'!E11</f>
        <v>668819.68999999994</v>
      </c>
      <c r="H12" s="79">
        <f t="shared" si="2"/>
        <v>98034.329999999958</v>
      </c>
      <c r="I12" s="108">
        <f t="shared" si="3"/>
        <v>0.17175340656950269</v>
      </c>
    </row>
    <row r="13" spans="1:9" x14ac:dyDescent="0.25">
      <c r="A13" s="95" t="s">
        <v>239</v>
      </c>
      <c r="B13" s="36">
        <f>'ORCAMENTÁRIO E FIN. 2019'!C12</f>
        <v>616118.67000000004</v>
      </c>
      <c r="C13" s="36">
        <f>'Orçamentário e Fin. 2020'!C12</f>
        <v>610156.17000000004</v>
      </c>
      <c r="D13" s="36">
        <f t="shared" si="0"/>
        <v>-5962.5</v>
      </c>
      <c r="E13" s="90">
        <f t="shared" si="1"/>
        <v>-9.6775187805946527E-3</v>
      </c>
      <c r="F13" s="36">
        <f>'ORCAMENTÁRIO E FIN. 2019'!E12</f>
        <v>453495.4</v>
      </c>
      <c r="G13" s="55">
        <f>'Orçamentário e Fin. 2020'!E12</f>
        <v>486902.84</v>
      </c>
      <c r="H13" s="79">
        <f t="shared" si="2"/>
        <v>33407.440000000002</v>
      </c>
      <c r="I13" s="108">
        <f t="shared" si="3"/>
        <v>7.3666546562545066E-2</v>
      </c>
    </row>
    <row r="14" spans="1:9" x14ac:dyDescent="0.25">
      <c r="A14" s="95" t="s">
        <v>240</v>
      </c>
      <c r="B14" s="36">
        <f>'ORCAMENTÁRIO E FIN. 2019'!C13</f>
        <v>785104.39</v>
      </c>
      <c r="C14" s="36">
        <f>'Orçamentário e Fin. 2020'!C13</f>
        <v>550104.25</v>
      </c>
      <c r="D14" s="36">
        <f t="shared" si="0"/>
        <v>-235000.14</v>
      </c>
      <c r="E14" s="90">
        <f t="shared" si="1"/>
        <v>-0.29932343137197337</v>
      </c>
      <c r="F14" s="36">
        <f>'ORCAMENTÁRIO E FIN. 2019'!E13</f>
        <v>448657.34</v>
      </c>
      <c r="G14" s="55">
        <f>'Orçamentário e Fin. 2020'!E13</f>
        <v>405334.3</v>
      </c>
      <c r="H14" s="79">
        <f t="shared" si="2"/>
        <v>-43323.040000000037</v>
      </c>
      <c r="I14" s="108">
        <f t="shared" si="3"/>
        <v>-9.656153179172336E-2</v>
      </c>
    </row>
    <row r="15" spans="1:9" x14ac:dyDescent="0.25">
      <c r="A15" s="95" t="s">
        <v>241</v>
      </c>
      <c r="B15" s="36">
        <f>'ORCAMENTÁRIO E FIN. 2019'!C14</f>
        <v>502027.12</v>
      </c>
      <c r="C15" s="36">
        <f>'Orçamentário e Fin. 2020'!C14</f>
        <v>363595.75</v>
      </c>
      <c r="D15" s="36">
        <f t="shared" si="0"/>
        <v>-138431.37</v>
      </c>
      <c r="E15" s="90">
        <f t="shared" si="1"/>
        <v>-0.27574480438427312</v>
      </c>
      <c r="F15" s="36">
        <f>'ORCAMENTÁRIO E FIN. 2019'!E14</f>
        <v>371736.14</v>
      </c>
      <c r="G15" s="55">
        <f>'Orçamentário e Fin. 2020'!E14</f>
        <v>363016.92</v>
      </c>
      <c r="H15" s="79">
        <f t="shared" si="2"/>
        <v>-8719.2200000000303</v>
      </c>
      <c r="I15" s="108">
        <f t="shared" si="3"/>
        <v>-2.3455400381571807E-2</v>
      </c>
    </row>
    <row r="16" spans="1:9" x14ac:dyDescent="0.25">
      <c r="A16" s="95" t="s">
        <v>242</v>
      </c>
      <c r="B16" s="36">
        <f>'ORCAMENTÁRIO E FIN. 2019'!C15</f>
        <v>333209.23</v>
      </c>
      <c r="C16" s="36">
        <f>'Orçamentário e Fin. 2020'!C15</f>
        <v>333340.65000000002</v>
      </c>
      <c r="D16" s="36">
        <f t="shared" si="0"/>
        <v>131.42000000004191</v>
      </c>
      <c r="E16" s="90">
        <f t="shared" si="1"/>
        <v>3.9440684161132607E-4</v>
      </c>
      <c r="F16" s="36">
        <f>'ORCAMENTÁRIO E FIN. 2019'!E15</f>
        <v>336997.15</v>
      </c>
      <c r="G16" s="55">
        <f>'Orçamentário e Fin. 2020'!E15</f>
        <v>337817.8</v>
      </c>
      <c r="H16" s="79">
        <f t="shared" si="2"/>
        <v>820.64999999996508</v>
      </c>
      <c r="I16" s="108">
        <f t="shared" si="3"/>
        <v>2.4351837990320246E-3</v>
      </c>
    </row>
    <row r="17" spans="1:11" x14ac:dyDescent="0.25">
      <c r="A17" s="95" t="s">
        <v>243</v>
      </c>
      <c r="B17" s="36">
        <f>'ORCAMENTÁRIO E FIN. 2019'!C16</f>
        <v>257268.11</v>
      </c>
      <c r="C17" s="36">
        <f>'Orçamentário e Fin. 2020'!C16</f>
        <v>289708.99</v>
      </c>
      <c r="D17" s="36">
        <f t="shared" si="0"/>
        <v>32440.880000000005</v>
      </c>
      <c r="E17" s="90">
        <f t="shared" si="1"/>
        <v>0.1260975563586175</v>
      </c>
      <c r="F17" s="36">
        <f>'ORCAMENTÁRIO E FIN. 2019'!E16</f>
        <v>311653.84000000003</v>
      </c>
      <c r="G17" s="56">
        <f>'Orçamentário e Fin. 2020'!E16</f>
        <v>339309.75</v>
      </c>
      <c r="H17" s="79">
        <f t="shared" si="2"/>
        <v>27655.909999999974</v>
      </c>
      <c r="I17" s="108">
        <f t="shared" si="3"/>
        <v>8.8739192175523882E-2</v>
      </c>
    </row>
    <row r="18" spans="1:11" x14ac:dyDescent="0.25">
      <c r="A18" s="95" t="s">
        <v>244</v>
      </c>
      <c r="B18" s="36">
        <f>'ORCAMENTÁRIO E FIN. 2019'!C17</f>
        <v>315594.34999999998</v>
      </c>
      <c r="C18" s="36">
        <f>'Orçamentário e Fin. 2020'!C17</f>
        <v>381157.62</v>
      </c>
      <c r="D18" s="36">
        <f t="shared" si="0"/>
        <v>65563.270000000019</v>
      </c>
      <c r="E18" s="90">
        <f t="shared" si="1"/>
        <v>0.20774538580934679</v>
      </c>
      <c r="F18" s="36">
        <f>'ORCAMENTÁRIO E FIN. 2019'!E17</f>
        <v>344359.6</v>
      </c>
      <c r="G18" s="56">
        <f>'Orçamentário e Fin. 2020'!E17</f>
        <v>365509.12</v>
      </c>
      <c r="H18" s="79">
        <f t="shared" si="2"/>
        <v>21149.520000000019</v>
      </c>
      <c r="I18" s="108">
        <f t="shared" si="3"/>
        <v>6.1416960642305368E-2</v>
      </c>
    </row>
    <row r="19" spans="1:11" x14ac:dyDescent="0.25">
      <c r="A19" s="95" t="s">
        <v>245</v>
      </c>
      <c r="B19" s="36">
        <f>'ORCAMENTÁRIO E FIN. 2019'!C18</f>
        <v>214684.97</v>
      </c>
      <c r="C19" s="36">
        <f>'Orçamentário e Fin. 2020'!C18</f>
        <v>185473.21</v>
      </c>
      <c r="D19" s="36">
        <f t="shared" si="0"/>
        <v>-29211.760000000009</v>
      </c>
      <c r="E19" s="90">
        <f t="shared" si="1"/>
        <v>-0.13606802562843598</v>
      </c>
      <c r="F19" s="36">
        <f>'ORCAMENTÁRIO E FIN. 2019'!E18</f>
        <v>314097.14</v>
      </c>
      <c r="G19" s="87">
        <f>'Orçamentário e Fin. 2020'!E18</f>
        <v>332104.82</v>
      </c>
      <c r="H19" s="79">
        <f t="shared" si="2"/>
        <v>18007.679999999993</v>
      </c>
      <c r="I19" s="108">
        <f t="shared" si="3"/>
        <v>5.7331563095416892E-2</v>
      </c>
    </row>
    <row r="20" spans="1:11" x14ac:dyDescent="0.25">
      <c r="A20" s="95" t="s">
        <v>246</v>
      </c>
      <c r="B20" s="36">
        <f>'ORCAMENTÁRIO E FIN. 2019'!C19</f>
        <v>186728.91</v>
      </c>
      <c r="C20" s="36">
        <f>'Orçamentário e Fin. 2020'!C19</f>
        <v>176020.5</v>
      </c>
      <c r="D20" s="36">
        <f t="shared" si="0"/>
        <v>-10708.410000000003</v>
      </c>
      <c r="E20" s="90">
        <f t="shared" si="1"/>
        <v>-5.7347359870520337E-2</v>
      </c>
      <c r="F20" s="36">
        <f>'ORCAMENTÁRIO E FIN. 2019'!E19</f>
        <v>330049.67</v>
      </c>
      <c r="G20" s="87">
        <f>'Orçamentário e Fin. 2020'!E19</f>
        <v>313275.36</v>
      </c>
      <c r="H20" s="79">
        <f t="shared" si="2"/>
        <v>-16774.309999999998</v>
      </c>
      <c r="I20" s="108">
        <f t="shared" si="3"/>
        <v>-5.082359270348611E-2</v>
      </c>
    </row>
    <row r="21" spans="1:11" x14ac:dyDescent="0.25">
      <c r="A21" s="95" t="s">
        <v>247</v>
      </c>
      <c r="B21" s="36">
        <f>'ORCAMENTÁRIO E FIN. 2019'!C20</f>
        <v>175218.8</v>
      </c>
      <c r="C21" s="36">
        <f>'Orçamentário e Fin. 2020'!C20</f>
        <v>182214.73</v>
      </c>
      <c r="D21" s="36">
        <f>C21-B21</f>
        <v>6995.9300000000221</v>
      </c>
      <c r="E21" s="90">
        <f>D21/B21</f>
        <v>3.9926822920828262E-2</v>
      </c>
      <c r="F21" s="36">
        <f>'ORCAMENTÁRIO E FIN. 2019'!E20</f>
        <v>309323.65000000002</v>
      </c>
      <c r="G21" s="87">
        <f>'Orçamentário e Fin. 2020'!E20</f>
        <v>329758.12</v>
      </c>
      <c r="H21" s="79">
        <f>G21-F21</f>
        <v>20434.469999999972</v>
      </c>
      <c r="I21" s="108">
        <f>H21/F21</f>
        <v>6.6061777041619585E-2</v>
      </c>
    </row>
    <row r="22" spans="1:11" x14ac:dyDescent="0.25">
      <c r="A22" s="95" t="s">
        <v>248</v>
      </c>
      <c r="B22" s="36">
        <f>'ORCAMENTÁRIO E FIN. 2019'!C21</f>
        <v>196794.64</v>
      </c>
      <c r="C22" s="36">
        <f>'Orçamentário e Fin. 2020'!C21</f>
        <v>285578.76</v>
      </c>
      <c r="D22" s="36">
        <f>C22-B22</f>
        <v>88784.12</v>
      </c>
      <c r="E22" s="90">
        <f>D22/B22</f>
        <v>0.45115110858710372</v>
      </c>
      <c r="F22" s="36">
        <f>'ORCAMENTÁRIO E FIN. 2019'!E21</f>
        <v>407301.21</v>
      </c>
      <c r="G22" s="87">
        <v>501271.55</v>
      </c>
      <c r="H22" s="79">
        <f>G22-F22</f>
        <v>93970.339999999967</v>
      </c>
      <c r="I22" s="108">
        <f>H22/F22</f>
        <v>0.23071461044763397</v>
      </c>
    </row>
    <row r="23" spans="1:11" ht="13.8" thickBot="1" x14ac:dyDescent="0.3">
      <c r="A23" s="96"/>
      <c r="B23" s="36"/>
      <c r="C23" s="36"/>
      <c r="D23" s="36"/>
      <c r="E23" s="110"/>
      <c r="F23" s="110"/>
      <c r="G23" s="36"/>
      <c r="H23" s="111"/>
      <c r="I23" s="112"/>
    </row>
    <row r="24" spans="1:11" ht="13.8" thickBot="1" x14ac:dyDescent="0.3">
      <c r="A24" s="127" t="s">
        <v>224</v>
      </c>
      <c r="B24" s="113">
        <f>SUM(B11:B23)</f>
        <v>5635915.6999999993</v>
      </c>
      <c r="C24" s="113">
        <f>SUM(C11:C23)</f>
        <v>5936115.8500000006</v>
      </c>
      <c r="D24" s="125">
        <f>C24-B24</f>
        <v>300200.1500000013</v>
      </c>
      <c r="E24" s="126">
        <f>D24/B24</f>
        <v>5.3265550086208945E-2</v>
      </c>
      <c r="F24" s="113">
        <f>SUM(F11:F23)</f>
        <v>4741521.41</v>
      </c>
      <c r="G24" s="113">
        <f>SUM(G11:G23)</f>
        <v>5045214.0199999996</v>
      </c>
      <c r="H24" s="121">
        <f>G24-F24</f>
        <v>303692.6099999994</v>
      </c>
      <c r="I24" s="122">
        <f>H24/F24</f>
        <v>6.4049612717028609E-2</v>
      </c>
    </row>
    <row r="25" spans="1:11" x14ac:dyDescent="0.25">
      <c r="A25" s="248"/>
      <c r="B25" s="248"/>
      <c r="C25" s="248"/>
      <c r="D25" s="249"/>
      <c r="E25" s="13"/>
      <c r="F25" s="13"/>
      <c r="G25" s="13"/>
      <c r="H25" s="13"/>
      <c r="I25" s="13"/>
      <c r="J25" s="13"/>
      <c r="K25" s="13"/>
    </row>
    <row r="26" spans="1:11" x14ac:dyDescent="0.25">
      <c r="A26" s="630"/>
      <c r="B26" s="631"/>
      <c r="C26" s="632"/>
      <c r="D26" s="632"/>
      <c r="E26" s="222"/>
      <c r="F26" s="222"/>
      <c r="G26" s="220"/>
      <c r="H26" s="223"/>
      <c r="I26" s="224"/>
      <c r="J26" s="13"/>
      <c r="K26" s="13"/>
    </row>
    <row r="27" spans="1:11" x14ac:dyDescent="0.25">
      <c r="A27" s="631"/>
      <c r="B27" s="631"/>
      <c r="C27" s="632"/>
      <c r="D27" s="632"/>
      <c r="E27" s="221"/>
      <c r="F27" s="221"/>
      <c r="G27" s="310"/>
      <c r="H27" s="15"/>
      <c r="I27" s="13"/>
      <c r="J27" s="13"/>
      <c r="K27" s="13"/>
    </row>
    <row r="28" spans="1:11" x14ac:dyDescent="0.25">
      <c r="A28" s="248"/>
      <c r="B28" s="248"/>
      <c r="C28" s="623"/>
      <c r="D28" s="623"/>
      <c r="E28" s="13"/>
      <c r="F28" s="118"/>
      <c r="G28" s="13"/>
      <c r="H28" s="13"/>
      <c r="I28" s="13"/>
      <c r="J28" s="13"/>
      <c r="K28" s="13"/>
    </row>
    <row r="29" spans="1:11" x14ac:dyDescent="0.25">
      <c r="A29" s="248"/>
      <c r="B29" s="248"/>
      <c r="C29" s="385"/>
      <c r="D29" s="248"/>
      <c r="E29" s="13"/>
      <c r="F29" s="118"/>
      <c r="G29" s="13"/>
      <c r="H29" s="13"/>
      <c r="I29" s="13"/>
      <c r="J29" s="13"/>
      <c r="K29" s="13"/>
    </row>
    <row r="30" spans="1:11" x14ac:dyDescent="0.25">
      <c r="A30" s="248"/>
      <c r="B30" s="385"/>
      <c r="C30" s="248"/>
      <c r="D30" s="249"/>
      <c r="E30" s="13"/>
      <c r="F30" s="13"/>
      <c r="G30" s="13"/>
      <c r="H30" s="380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18"/>
      <c r="I31" s="13"/>
      <c r="J31" s="13"/>
      <c r="K31" s="13"/>
    </row>
    <row r="32" spans="1:11" x14ac:dyDescent="0.25">
      <c r="D32" s="101"/>
    </row>
    <row r="33" spans="7:7" x14ac:dyDescent="0.25">
      <c r="G33" s="78"/>
    </row>
    <row r="34" spans="7:7" x14ac:dyDescent="0.25">
      <c r="G34" s="244"/>
    </row>
  </sheetData>
  <mergeCells count="13">
    <mergeCell ref="A1:I1"/>
    <mergeCell ref="A4:I4"/>
    <mergeCell ref="B6:E6"/>
    <mergeCell ref="F6:I6"/>
    <mergeCell ref="B7:E7"/>
    <mergeCell ref="F7:I7"/>
    <mergeCell ref="C28:D28"/>
    <mergeCell ref="E8:E10"/>
    <mergeCell ref="I8:I10"/>
    <mergeCell ref="A26:B26"/>
    <mergeCell ref="C26:D26"/>
    <mergeCell ref="A27:B27"/>
    <mergeCell ref="C27:D27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N34"/>
  <sheetViews>
    <sheetView topLeftCell="A5" zoomScale="120" zoomScaleNormal="120" workbookViewId="0">
      <selection activeCell="E10" sqref="E10"/>
    </sheetView>
  </sheetViews>
  <sheetFormatPr defaultRowHeight="13.2" x14ac:dyDescent="0.25"/>
  <cols>
    <col min="2" max="2" width="12.33203125" bestFit="1" customWidth="1"/>
    <col min="3" max="3" width="15.6640625" bestFit="1" customWidth="1"/>
    <col min="4" max="4" width="9.6640625" customWidth="1"/>
    <col min="5" max="5" width="13.33203125" customWidth="1"/>
    <col min="6" max="6" width="9.33203125" customWidth="1"/>
    <col min="7" max="7" width="16.33203125" customWidth="1"/>
    <col min="9" max="9" width="12.33203125" bestFit="1" customWidth="1"/>
    <col min="10" max="10" width="10.5546875" bestFit="1" customWidth="1"/>
    <col min="11" max="11" width="14.33203125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576" t="s">
        <v>291</v>
      </c>
      <c r="B4" s="576"/>
      <c r="C4" s="576"/>
      <c r="D4" s="576"/>
      <c r="E4" s="576"/>
      <c r="F4" s="576"/>
      <c r="G4" s="576"/>
      <c r="H4" s="576"/>
      <c r="I4" s="576"/>
      <c r="J4" s="576"/>
      <c r="K4" s="576"/>
    </row>
    <row r="5" spans="1:11" ht="13.8" thickBot="1" x14ac:dyDescent="0.3"/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x14ac:dyDescent="0.25">
      <c r="A7" s="46"/>
      <c r="B7" s="63" t="s">
        <v>200</v>
      </c>
      <c r="C7" s="63" t="s">
        <v>201</v>
      </c>
      <c r="D7" s="52"/>
      <c r="E7" s="45" t="s">
        <v>4</v>
      </c>
      <c r="F7" s="52"/>
      <c r="G7" s="45" t="s">
        <v>202</v>
      </c>
      <c r="H7" s="52"/>
      <c r="I7" s="63" t="s">
        <v>6</v>
      </c>
      <c r="J7" s="371" t="s">
        <v>203</v>
      </c>
      <c r="K7" s="52" t="s">
        <v>202</v>
      </c>
    </row>
    <row r="8" spans="1:11" x14ac:dyDescent="0.25">
      <c r="A8" s="44" t="s">
        <v>204</v>
      </c>
      <c r="B8" s="64" t="s">
        <v>205</v>
      </c>
      <c r="C8" s="64" t="s">
        <v>206</v>
      </c>
      <c r="D8" s="53" t="s">
        <v>12</v>
      </c>
      <c r="E8" s="15" t="s">
        <v>10</v>
      </c>
      <c r="F8" s="53" t="s">
        <v>12</v>
      </c>
      <c r="G8" s="15" t="s">
        <v>207</v>
      </c>
      <c r="H8" s="53" t="s">
        <v>12</v>
      </c>
      <c r="I8" s="64" t="s">
        <v>208</v>
      </c>
      <c r="J8" s="372" t="s">
        <v>209</v>
      </c>
      <c r="K8" s="53" t="s">
        <v>210</v>
      </c>
    </row>
    <row r="9" spans="1:11" ht="13.8" thickBot="1" x14ac:dyDescent="0.3">
      <c r="A9" s="47"/>
      <c r="B9" s="89">
        <v>2019</v>
      </c>
      <c r="C9" s="89">
        <v>2019</v>
      </c>
      <c r="D9" s="54" t="s">
        <v>211</v>
      </c>
      <c r="E9" s="89">
        <v>2019</v>
      </c>
      <c r="F9" s="54" t="s">
        <v>211</v>
      </c>
      <c r="G9" s="89">
        <v>2019</v>
      </c>
      <c r="H9" s="54"/>
      <c r="I9" s="89">
        <v>2019</v>
      </c>
      <c r="J9" s="373">
        <v>2019</v>
      </c>
      <c r="K9" s="54">
        <v>2019</v>
      </c>
    </row>
    <row r="10" spans="1:11" x14ac:dyDescent="0.25">
      <c r="A10" s="48" t="s">
        <v>212</v>
      </c>
      <c r="B10" s="278">
        <v>5500000</v>
      </c>
      <c r="C10" s="464">
        <v>856958.12</v>
      </c>
      <c r="D10" s="455">
        <v>0.15581056727272727</v>
      </c>
      <c r="E10" s="86">
        <v>543064.91</v>
      </c>
      <c r="F10" s="455">
        <v>9.8739074545454553E-2</v>
      </c>
      <c r="G10" s="276">
        <v>313893.20999999996</v>
      </c>
      <c r="H10" s="456">
        <v>0.36628768976481602</v>
      </c>
      <c r="I10" s="278">
        <v>2742855.29</v>
      </c>
      <c r="J10" s="276">
        <v>414262.25</v>
      </c>
      <c r="K10" s="282">
        <v>2328593.04</v>
      </c>
    </row>
    <row r="11" spans="1:11" x14ac:dyDescent="0.25">
      <c r="A11" s="48" t="s">
        <v>213</v>
      </c>
      <c r="B11" s="278">
        <v>5500000</v>
      </c>
      <c r="C11" s="434">
        <v>1196208.3899999999</v>
      </c>
      <c r="D11" s="461">
        <v>0.21749243454545453</v>
      </c>
      <c r="E11" s="55">
        <v>570785.36</v>
      </c>
      <c r="F11" s="461">
        <v>0.10377915636363635</v>
      </c>
      <c r="G11" s="276">
        <v>625423.02999999991</v>
      </c>
      <c r="H11" s="462">
        <v>0.52283785603610422</v>
      </c>
      <c r="I11" s="283">
        <v>3389870.61</v>
      </c>
      <c r="J11" s="276">
        <v>422522.65</v>
      </c>
      <c r="K11" s="282">
        <v>2967347.96</v>
      </c>
    </row>
    <row r="12" spans="1:11" x14ac:dyDescent="0.25">
      <c r="A12" s="48" t="s">
        <v>214</v>
      </c>
      <c r="B12" s="278">
        <v>5500000</v>
      </c>
      <c r="C12" s="434">
        <v>616118.67000000004</v>
      </c>
      <c r="D12" s="461">
        <v>0.11202157636363637</v>
      </c>
      <c r="E12" s="55">
        <v>453495.4</v>
      </c>
      <c r="F12" s="461">
        <v>8.24537090909091E-2</v>
      </c>
      <c r="G12" s="276">
        <v>162623.27000000002</v>
      </c>
      <c r="H12" s="462">
        <v>0.26394796638770907</v>
      </c>
      <c r="I12" s="283">
        <v>3552038.62</v>
      </c>
      <c r="J12" s="276">
        <v>380272.16</v>
      </c>
      <c r="K12" s="282">
        <v>3171766.46</v>
      </c>
    </row>
    <row r="13" spans="1:11" x14ac:dyDescent="0.25">
      <c r="A13" s="48" t="s">
        <v>215</v>
      </c>
      <c r="B13" s="278">
        <v>5500000</v>
      </c>
      <c r="C13" s="434">
        <v>785104.39</v>
      </c>
      <c r="D13" s="461">
        <v>0.14274625272727273</v>
      </c>
      <c r="E13" s="55">
        <v>448657.34</v>
      </c>
      <c r="F13" s="461">
        <v>8.1574061818181817E-2</v>
      </c>
      <c r="G13" s="276">
        <v>336447.05</v>
      </c>
      <c r="H13" s="462">
        <v>0.42853798079004496</v>
      </c>
      <c r="I13" s="283">
        <v>3873265.97</v>
      </c>
      <c r="J13" s="276">
        <v>382321.8</v>
      </c>
      <c r="K13" s="282">
        <v>3490944.1700000004</v>
      </c>
    </row>
    <row r="14" spans="1:11" x14ac:dyDescent="0.25">
      <c r="A14" s="48" t="s">
        <v>216</v>
      </c>
      <c r="B14" s="278">
        <v>5500000</v>
      </c>
      <c r="C14" s="434">
        <v>502027.12</v>
      </c>
      <c r="D14" s="463">
        <v>9.1277658181818183E-2</v>
      </c>
      <c r="E14" s="55">
        <v>371736.14</v>
      </c>
      <c r="F14" s="461">
        <v>6.7588389090909098E-2</v>
      </c>
      <c r="G14" s="285">
        <v>130290.97999999998</v>
      </c>
      <c r="H14" s="462">
        <v>0.25952976404940031</v>
      </c>
      <c r="I14" s="283">
        <v>4002345.93</v>
      </c>
      <c r="J14" s="276">
        <v>372238.88</v>
      </c>
      <c r="K14" s="286">
        <v>3630107.0500000003</v>
      </c>
    </row>
    <row r="15" spans="1:11" x14ac:dyDescent="0.25">
      <c r="A15" s="48" t="s">
        <v>217</v>
      </c>
      <c r="B15" s="278">
        <v>5500000</v>
      </c>
      <c r="C15" s="434">
        <v>333209.23</v>
      </c>
      <c r="D15" s="463">
        <v>6.0583496363636358E-2</v>
      </c>
      <c r="E15" s="55">
        <v>336997.15</v>
      </c>
      <c r="F15" s="461">
        <v>6.1272209090909094E-2</v>
      </c>
      <c r="G15" s="285">
        <v>-3787.9200000000419</v>
      </c>
      <c r="H15" s="462">
        <v>-1.1367992417256995E-2</v>
      </c>
      <c r="I15" s="283">
        <v>4029233.99</v>
      </c>
      <c r="J15" s="276">
        <v>408667.76</v>
      </c>
      <c r="K15" s="286">
        <v>3620566.2300000004</v>
      </c>
    </row>
    <row r="16" spans="1:11" x14ac:dyDescent="0.25">
      <c r="A16" s="48" t="s">
        <v>218</v>
      </c>
      <c r="B16" s="278">
        <v>5500000</v>
      </c>
      <c r="C16" s="465">
        <v>257268.11</v>
      </c>
      <c r="D16" s="463">
        <v>4.6776019999999995E-2</v>
      </c>
      <c r="E16" s="55">
        <v>311653.84000000003</v>
      </c>
      <c r="F16" s="461">
        <v>5.6664334545454553E-2</v>
      </c>
      <c r="G16" s="285">
        <v>-54385.73000000004</v>
      </c>
      <c r="H16" s="462">
        <v>-0.21139709076262908</v>
      </c>
      <c r="I16" s="283">
        <v>3953160.24</v>
      </c>
      <c r="J16" s="276">
        <v>386145.33</v>
      </c>
      <c r="K16" s="286">
        <v>3567014.91</v>
      </c>
    </row>
    <row r="17" spans="1:14" x14ac:dyDescent="0.25">
      <c r="A17" s="48" t="s">
        <v>219</v>
      </c>
      <c r="B17" s="278">
        <v>5500000</v>
      </c>
      <c r="C17" s="465">
        <v>315594.34999999998</v>
      </c>
      <c r="D17" s="463">
        <v>5.7380790909090908E-2</v>
      </c>
      <c r="E17" s="55">
        <v>344359.6</v>
      </c>
      <c r="F17" s="461">
        <v>6.261083636363636E-2</v>
      </c>
      <c r="G17" s="285">
        <v>-28765.25</v>
      </c>
      <c r="H17" s="462">
        <v>-9.1146276858251746E-2</v>
      </c>
      <c r="I17" s="283">
        <v>3939888.26</v>
      </c>
      <c r="J17" s="276">
        <v>401647.99</v>
      </c>
      <c r="K17" s="286">
        <v>3538240.2699999996</v>
      </c>
      <c r="M17" s="101"/>
    </row>
    <row r="18" spans="1:14" x14ac:dyDescent="0.25">
      <c r="A18" s="48" t="s">
        <v>220</v>
      </c>
      <c r="B18" s="278">
        <v>5500000</v>
      </c>
      <c r="C18" s="465">
        <v>214684.97</v>
      </c>
      <c r="D18" s="457">
        <v>3.9033630909090906E-2</v>
      </c>
      <c r="E18" s="55">
        <v>314097.14</v>
      </c>
      <c r="F18" s="455">
        <v>5.7108570909090911E-2</v>
      </c>
      <c r="G18" s="285">
        <v>-99412.170000000013</v>
      </c>
      <c r="H18" s="456">
        <v>-0.46306068841242132</v>
      </c>
      <c r="I18" s="283">
        <v>3814338.57</v>
      </c>
      <c r="J18" s="276">
        <v>378649.12</v>
      </c>
      <c r="K18" s="286">
        <v>3435689.4499999997</v>
      </c>
    </row>
    <row r="19" spans="1:14" x14ac:dyDescent="0.25">
      <c r="A19" s="48" t="s">
        <v>221</v>
      </c>
      <c r="B19" s="278">
        <v>5500000</v>
      </c>
      <c r="C19" s="465">
        <v>186728.91</v>
      </c>
      <c r="D19" s="457">
        <v>3.3950710909090909E-2</v>
      </c>
      <c r="E19" s="55">
        <v>330049.67</v>
      </c>
      <c r="F19" s="455">
        <v>6.0009030909090905E-2</v>
      </c>
      <c r="G19" s="285">
        <v>-143320.75999999998</v>
      </c>
      <c r="H19" s="456">
        <v>-0.76753385429176435</v>
      </c>
      <c r="I19" s="283">
        <v>3687555.81</v>
      </c>
      <c r="J19" s="276">
        <v>372502.83</v>
      </c>
      <c r="K19" s="286">
        <v>3315052.98</v>
      </c>
    </row>
    <row r="20" spans="1:14" x14ac:dyDescent="0.25">
      <c r="A20" s="48" t="s">
        <v>222</v>
      </c>
      <c r="B20" s="278">
        <v>5500000</v>
      </c>
      <c r="C20" s="465">
        <v>175218.8</v>
      </c>
      <c r="D20" s="457">
        <v>3.1857963636363631E-2</v>
      </c>
      <c r="E20" s="55">
        <v>309323.65000000002</v>
      </c>
      <c r="F20" s="455">
        <v>5.6240663636363639E-2</v>
      </c>
      <c r="G20" s="285">
        <v>-134104.85000000003</v>
      </c>
      <c r="H20" s="458">
        <v>-0.76535651425531992</v>
      </c>
      <c r="I20" s="283">
        <v>3548688.32</v>
      </c>
      <c r="J20" s="276">
        <v>351697.36</v>
      </c>
      <c r="K20" s="286">
        <v>3196990.96</v>
      </c>
    </row>
    <row r="21" spans="1:14" x14ac:dyDescent="0.25">
      <c r="A21" s="48" t="s">
        <v>223</v>
      </c>
      <c r="B21" s="278">
        <v>5500000</v>
      </c>
      <c r="C21" s="465">
        <v>196794.64</v>
      </c>
      <c r="D21" s="457">
        <v>3.5780843636363642E-2</v>
      </c>
      <c r="E21" s="55">
        <v>407301.21</v>
      </c>
      <c r="F21" s="455">
        <v>7.4054765454545451E-2</v>
      </c>
      <c r="G21" s="285">
        <v>-210506.57</v>
      </c>
      <c r="H21" s="458">
        <v>-1.0696763387458113</v>
      </c>
      <c r="I21" s="283">
        <v>3330395.98</v>
      </c>
      <c r="J21" s="276">
        <v>290821.27</v>
      </c>
      <c r="K21" s="286">
        <v>3039574.71</v>
      </c>
    </row>
    <row r="22" spans="1:14" ht="13.8" thickBot="1" x14ac:dyDescent="0.3">
      <c r="A22" s="49"/>
      <c r="B22" s="290"/>
      <c r="C22" s="465"/>
      <c r="D22" s="290"/>
      <c r="E22" s="291"/>
      <c r="F22" s="290"/>
      <c r="G22" s="292"/>
      <c r="H22" s="293"/>
      <c r="I22" s="283"/>
      <c r="J22" s="276"/>
      <c r="K22" s="293"/>
    </row>
    <row r="23" spans="1:14" ht="13.8" thickBot="1" x14ac:dyDescent="0.3">
      <c r="A23" s="72" t="s">
        <v>224</v>
      </c>
      <c r="B23" s="374">
        <v>5500000</v>
      </c>
      <c r="C23" s="74">
        <v>5635915.6999999993</v>
      </c>
      <c r="D23" s="451">
        <v>1.0247119454545452</v>
      </c>
      <c r="E23" s="74">
        <v>4741521.41</v>
      </c>
      <c r="F23" s="451">
        <v>0.86209480181818188</v>
      </c>
      <c r="G23" s="74">
        <v>894394.28999999911</v>
      </c>
      <c r="H23" s="452">
        <v>0.84130453015824935</v>
      </c>
      <c r="I23" s="77">
        <v>3330395.98</v>
      </c>
      <c r="J23" s="77">
        <v>290821.27</v>
      </c>
      <c r="K23" s="74">
        <v>3039574.71</v>
      </c>
      <c r="L23" s="13"/>
    </row>
    <row r="24" spans="1:14" ht="13.8" thickBot="1" x14ac:dyDescent="0.3">
      <c r="A24" s="221"/>
      <c r="B24" s="223"/>
      <c r="C24" s="223"/>
      <c r="D24" s="454"/>
      <c r="E24" s="223"/>
      <c r="F24" s="454"/>
      <c r="G24" s="223"/>
      <c r="H24" s="454"/>
      <c r="I24" s="223"/>
      <c r="J24" s="223"/>
      <c r="K24" s="223"/>
      <c r="L24" s="13"/>
    </row>
    <row r="25" spans="1:14" ht="13.8" thickBot="1" x14ac:dyDescent="0.3">
      <c r="A25" s="28"/>
      <c r="C25" s="590" t="s">
        <v>225</v>
      </c>
      <c r="D25" s="591"/>
      <c r="E25" s="592" t="s">
        <v>226</v>
      </c>
      <c r="F25" s="593"/>
      <c r="G25" s="377" t="s">
        <v>202</v>
      </c>
      <c r="I25" s="246"/>
    </row>
    <row r="26" spans="1:14" ht="13.8" thickBot="1" x14ac:dyDescent="0.3">
      <c r="A26" s="603" t="s">
        <v>229</v>
      </c>
      <c r="B26" s="604"/>
      <c r="C26" s="650">
        <v>5635915.7000000002</v>
      </c>
      <c r="D26" s="651"/>
      <c r="E26" s="652">
        <v>4546928.3099999996</v>
      </c>
      <c r="F26" s="653"/>
      <c r="G26" s="375">
        <v>1088987.3900000006</v>
      </c>
      <c r="I26" s="101"/>
      <c r="J26" s="249"/>
      <c r="K26" s="368"/>
      <c r="L26" s="248"/>
      <c r="M26" s="248"/>
      <c r="N26" s="248"/>
    </row>
    <row r="27" spans="1:14" x14ac:dyDescent="0.25">
      <c r="C27" s="453"/>
      <c r="E27" s="231"/>
      <c r="G27" s="231"/>
      <c r="I27" s="101"/>
    </row>
    <row r="28" spans="1:14" x14ac:dyDescent="0.25">
      <c r="A28" s="369" t="s">
        <v>282</v>
      </c>
      <c r="B28" s="369"/>
      <c r="C28" s="459"/>
      <c r="D28" s="369"/>
      <c r="E28" s="459"/>
      <c r="G28" s="246"/>
      <c r="I28" s="246"/>
    </row>
    <row r="29" spans="1:14" x14ac:dyDescent="0.25">
      <c r="C29" s="450"/>
      <c r="E29" s="450"/>
      <c r="G29" s="246"/>
    </row>
    <row r="30" spans="1:14" x14ac:dyDescent="0.25">
      <c r="B30" s="246"/>
      <c r="C30" s="426"/>
      <c r="E30" s="460"/>
      <c r="G30" s="231"/>
      <c r="I30" s="231"/>
    </row>
    <row r="31" spans="1:14" x14ac:dyDescent="0.25">
      <c r="C31" s="426"/>
      <c r="E31" s="231"/>
      <c r="I31" s="231"/>
      <c r="J31" s="78"/>
    </row>
    <row r="32" spans="1:14" x14ac:dyDescent="0.25">
      <c r="C32" s="42"/>
      <c r="E32" s="42"/>
      <c r="I32" s="231"/>
    </row>
    <row r="33" spans="2:9" x14ac:dyDescent="0.25">
      <c r="B33" s="246"/>
      <c r="E33" s="42"/>
      <c r="I33" s="231"/>
    </row>
    <row r="34" spans="2:9" x14ac:dyDescent="0.25">
      <c r="C34" s="42"/>
      <c r="E34" s="42"/>
    </row>
  </sheetData>
  <mergeCells count="9">
    <mergeCell ref="A26:B26"/>
    <mergeCell ref="C26:D26"/>
    <mergeCell ref="E26:F26"/>
    <mergeCell ref="A1:K1"/>
    <mergeCell ref="A4:K4"/>
    <mergeCell ref="A6:H6"/>
    <mergeCell ref="I6:K6"/>
    <mergeCell ref="C25:D25"/>
    <mergeCell ref="E25:F2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K33"/>
  <sheetViews>
    <sheetView showGridLines="0" topLeftCell="A2" zoomScale="120" zoomScaleNormal="120" workbookViewId="0">
      <selection activeCell="B11" sqref="B11"/>
    </sheetView>
  </sheetViews>
  <sheetFormatPr defaultRowHeight="13.2" x14ac:dyDescent="0.25"/>
  <cols>
    <col min="1" max="1" width="8.44140625" customWidth="1"/>
    <col min="2" max="2" width="14.44140625" customWidth="1"/>
    <col min="3" max="3" width="14.6640625" customWidth="1"/>
    <col min="4" max="4" width="13.6640625" customWidth="1"/>
    <col min="5" max="5" width="12.6640625" bestFit="1" customWidth="1"/>
    <col min="6" max="6" width="14.44140625" customWidth="1"/>
    <col min="7" max="9" width="16.33203125" bestFit="1" customWidth="1"/>
  </cols>
  <sheetData>
    <row r="1" spans="1:9" ht="20.399999999999999" x14ac:dyDescent="0.35">
      <c r="A1" s="611" t="s">
        <v>230</v>
      </c>
      <c r="B1" s="611"/>
      <c r="C1" s="611"/>
      <c r="D1" s="611"/>
      <c r="E1" s="611"/>
      <c r="F1" s="611"/>
      <c r="G1" s="611"/>
      <c r="H1" s="611"/>
      <c r="I1" s="611"/>
    </row>
    <row r="2" spans="1:9" ht="17.399999999999999" x14ac:dyDescent="0.3">
      <c r="A2" s="97"/>
      <c r="B2" s="97"/>
      <c r="C2" s="97"/>
      <c r="D2" s="97"/>
      <c r="E2" s="97"/>
      <c r="F2" s="97"/>
      <c r="G2" s="97"/>
      <c r="H2" s="97"/>
      <c r="I2" s="97"/>
    </row>
    <row r="3" spans="1:9" s="100" customFormat="1" ht="17.399999999999999" x14ac:dyDescent="0.3">
      <c r="A3" s="22" t="s">
        <v>231</v>
      </c>
      <c r="B3" s="22"/>
      <c r="C3" s="22"/>
      <c r="D3" s="22"/>
      <c r="E3" s="22"/>
      <c r="F3" s="22"/>
      <c r="G3" s="22"/>
      <c r="H3" s="22"/>
      <c r="I3" s="22"/>
    </row>
    <row r="4" spans="1:9" s="100" customFormat="1" ht="17.399999999999999" x14ac:dyDescent="0.3">
      <c r="A4" s="586" t="s">
        <v>292</v>
      </c>
      <c r="B4" s="586"/>
      <c r="C4" s="586"/>
      <c r="D4" s="586"/>
      <c r="E4" s="586"/>
      <c r="F4" s="586"/>
      <c r="G4" s="586"/>
      <c r="H4" s="586"/>
      <c r="I4" s="586"/>
    </row>
    <row r="5" spans="1:9" ht="13.8" thickBot="1" x14ac:dyDescent="0.3">
      <c r="A5" s="15"/>
      <c r="B5" s="15"/>
      <c r="C5" s="15"/>
      <c r="D5" s="15"/>
      <c r="E5" s="16"/>
      <c r="F5" s="13"/>
      <c r="G5" s="13"/>
      <c r="H5" s="13"/>
      <c r="I5" s="13"/>
    </row>
    <row r="6" spans="1:9" x14ac:dyDescent="0.25">
      <c r="A6" s="63"/>
      <c r="B6" s="612" t="s">
        <v>233</v>
      </c>
      <c r="C6" s="613"/>
      <c r="D6" s="613"/>
      <c r="E6" s="614"/>
      <c r="F6" s="612" t="s">
        <v>234</v>
      </c>
      <c r="G6" s="613"/>
      <c r="H6" s="613"/>
      <c r="I6" s="614"/>
    </row>
    <row r="7" spans="1:9" ht="13.8" thickBot="1" x14ac:dyDescent="0.3">
      <c r="A7" s="64"/>
      <c r="B7" s="615" t="s">
        <v>143</v>
      </c>
      <c r="C7" s="616"/>
      <c r="D7" s="617"/>
      <c r="E7" s="618"/>
      <c r="F7" s="619" t="s">
        <v>144</v>
      </c>
      <c r="G7" s="620"/>
      <c r="H7" s="621"/>
      <c r="I7" s="622"/>
    </row>
    <row r="8" spans="1:9" x14ac:dyDescent="0.25">
      <c r="A8" s="64" t="s">
        <v>235</v>
      </c>
      <c r="B8" s="63" t="s">
        <v>201</v>
      </c>
      <c r="C8" s="52" t="s">
        <v>201</v>
      </c>
      <c r="D8" s="119" t="s">
        <v>11</v>
      </c>
      <c r="E8" s="624" t="s">
        <v>12</v>
      </c>
      <c r="F8" s="52" t="s">
        <v>4</v>
      </c>
      <c r="G8" s="52" t="s">
        <v>4</v>
      </c>
      <c r="H8" s="119" t="s">
        <v>11</v>
      </c>
      <c r="I8" s="627" t="s">
        <v>12</v>
      </c>
    </row>
    <row r="9" spans="1:9" x14ac:dyDescent="0.25">
      <c r="A9" s="64"/>
      <c r="B9" s="64" t="s">
        <v>206</v>
      </c>
      <c r="C9" s="53" t="s">
        <v>206</v>
      </c>
      <c r="D9" s="119" t="s">
        <v>236</v>
      </c>
      <c r="E9" s="625"/>
      <c r="F9" s="53" t="s">
        <v>10</v>
      </c>
      <c r="G9" s="53" t="s">
        <v>10</v>
      </c>
      <c r="H9" s="119" t="s">
        <v>236</v>
      </c>
      <c r="I9" s="628"/>
    </row>
    <row r="10" spans="1:9" ht="13.8" thickBot="1" x14ac:dyDescent="0.3">
      <c r="A10" s="89"/>
      <c r="B10" s="89">
        <v>2017</v>
      </c>
      <c r="C10" s="54">
        <v>2018</v>
      </c>
      <c r="D10" s="120" t="s">
        <v>293</v>
      </c>
      <c r="E10" s="626"/>
      <c r="F10" s="54">
        <v>2017</v>
      </c>
      <c r="G10" s="54">
        <v>2018</v>
      </c>
      <c r="H10" s="120" t="s">
        <v>293</v>
      </c>
      <c r="I10" s="629"/>
    </row>
    <row r="11" spans="1:9" x14ac:dyDescent="0.25">
      <c r="A11" s="94" t="s">
        <v>237</v>
      </c>
      <c r="B11" s="36">
        <f>'Comparativo 16 17'!C11</f>
        <v>599494.29</v>
      </c>
      <c r="C11" s="378">
        <f>'Orçamentário e Fin. 2018'!C10-750000</f>
        <v>766426.6399999999</v>
      </c>
      <c r="D11" s="79">
        <f t="shared" ref="D11:D16" si="0">C11-B11</f>
        <v>166932.34999999986</v>
      </c>
      <c r="E11" s="90">
        <f t="shared" ref="E11:E16" si="1">D11/B11</f>
        <v>0.27845527936554632</v>
      </c>
      <c r="F11" s="36">
        <f>'Comparativo 16 17'!G11</f>
        <v>346907.85</v>
      </c>
      <c r="G11" s="86">
        <f>'Orçamentário e Fin. 2018'!E10</f>
        <v>946613.24</v>
      </c>
      <c r="H11" s="79">
        <f t="shared" ref="H11:H16" si="2">G11-F11</f>
        <v>599705.39</v>
      </c>
      <c r="I11" s="108">
        <f t="shared" ref="I11:I16" si="3">H11/F11</f>
        <v>1.7287166894609045</v>
      </c>
    </row>
    <row r="12" spans="1:9" x14ac:dyDescent="0.25">
      <c r="A12" s="95" t="s">
        <v>238</v>
      </c>
      <c r="B12" s="55">
        <f>'Comparativo 16 17'!C12</f>
        <v>853895.52</v>
      </c>
      <c r="C12" s="276">
        <f>'Orçamentário e Fin. 2018'!C11</f>
        <v>1057656.8999999999</v>
      </c>
      <c r="D12" s="79">
        <f t="shared" si="0"/>
        <v>203761.37999999989</v>
      </c>
      <c r="E12" s="90">
        <f t="shared" si="1"/>
        <v>0.23862565762143814</v>
      </c>
      <c r="F12" s="55">
        <f>'Comparativo 16 17'!G12</f>
        <v>424582.95</v>
      </c>
      <c r="G12" s="55">
        <f>'Orçamentário e Fin. 2018'!E11</f>
        <v>499613.27</v>
      </c>
      <c r="H12" s="79">
        <f t="shared" si="2"/>
        <v>75030.320000000007</v>
      </c>
      <c r="I12" s="108">
        <f t="shared" si="3"/>
        <v>0.17671533913455545</v>
      </c>
    </row>
    <row r="13" spans="1:9" x14ac:dyDescent="0.25">
      <c r="A13" s="95" t="s">
        <v>239</v>
      </c>
      <c r="B13" s="55">
        <f>'Comparativo 16 17'!C13</f>
        <v>585418.93000000005</v>
      </c>
      <c r="C13" s="276">
        <f>'Orçamentário e Fin. 2018'!C12</f>
        <v>600507.5</v>
      </c>
      <c r="D13" s="79">
        <f t="shared" si="0"/>
        <v>15088.569999999949</v>
      </c>
      <c r="E13" s="90">
        <f t="shared" si="1"/>
        <v>2.5773970103768164E-2</v>
      </c>
      <c r="F13" s="55">
        <f>'Comparativo 16 17'!G13</f>
        <v>381859.26</v>
      </c>
      <c r="G13" s="55">
        <f>'Orçamentário e Fin. 2018'!E12</f>
        <v>373743.19</v>
      </c>
      <c r="H13" s="79">
        <f t="shared" si="2"/>
        <v>-8116.070000000007</v>
      </c>
      <c r="I13" s="108">
        <f t="shared" si="3"/>
        <v>-2.1254087173373789E-2</v>
      </c>
    </row>
    <row r="14" spans="1:9" x14ac:dyDescent="0.25">
      <c r="A14" s="95" t="s">
        <v>240</v>
      </c>
      <c r="B14" s="55">
        <v>728836.78</v>
      </c>
      <c r="C14" s="276">
        <v>761105.99</v>
      </c>
      <c r="D14" s="79">
        <f t="shared" si="0"/>
        <v>32269.209999999963</v>
      </c>
      <c r="E14" s="90">
        <f t="shared" si="1"/>
        <v>4.4274947265970803E-2</v>
      </c>
      <c r="F14" s="55">
        <v>378273.77</v>
      </c>
      <c r="G14" s="55">
        <f>'Orçamentário e Fin. 2018'!E13</f>
        <v>435061.59</v>
      </c>
      <c r="H14" s="79">
        <f t="shared" si="2"/>
        <v>56787.820000000007</v>
      </c>
      <c r="I14" s="108">
        <f t="shared" si="3"/>
        <v>0.1501235996352589</v>
      </c>
    </row>
    <row r="15" spans="1:9" x14ac:dyDescent="0.25">
      <c r="A15" s="95" t="s">
        <v>241</v>
      </c>
      <c r="B15" s="55">
        <v>438089.44</v>
      </c>
      <c r="C15" s="55">
        <f>'Orçamentário e Fin. 2018'!C14</f>
        <v>445996.57</v>
      </c>
      <c r="D15" s="79">
        <f t="shared" si="0"/>
        <v>7907.1300000000047</v>
      </c>
      <c r="E15" s="90">
        <f t="shared" si="1"/>
        <v>1.8049122571865701E-2</v>
      </c>
      <c r="F15" s="55">
        <f>'Comparativo 16 17'!G15</f>
        <v>327829.14</v>
      </c>
      <c r="G15" s="55">
        <f>'Orçamentário e Fin. 2018'!E14</f>
        <v>360826.8</v>
      </c>
      <c r="H15" s="79">
        <f t="shared" si="2"/>
        <v>32997.659999999974</v>
      </c>
      <c r="I15" s="108">
        <f t="shared" si="3"/>
        <v>0.10065505464218334</v>
      </c>
    </row>
    <row r="16" spans="1:9" x14ac:dyDescent="0.25">
      <c r="A16" s="95" t="s">
        <v>242</v>
      </c>
      <c r="B16" s="56">
        <v>319840.08</v>
      </c>
      <c r="C16" s="56">
        <v>319780.62</v>
      </c>
      <c r="D16" s="79">
        <f t="shared" si="0"/>
        <v>-59.460000000020955</v>
      </c>
      <c r="E16" s="90">
        <f t="shared" si="1"/>
        <v>-1.8590540622682734E-4</v>
      </c>
      <c r="F16" s="56">
        <v>275437.52</v>
      </c>
      <c r="G16" s="56">
        <v>311167.86</v>
      </c>
      <c r="H16" s="79">
        <f t="shared" si="2"/>
        <v>35730.339999999967</v>
      </c>
      <c r="I16" s="108">
        <f t="shared" si="3"/>
        <v>0.1297221235509235</v>
      </c>
    </row>
    <row r="17" spans="1:11" x14ac:dyDescent="0.25">
      <c r="A17" s="95" t="s">
        <v>243</v>
      </c>
      <c r="B17" s="87">
        <f>'Comparativo 16 17'!C17</f>
        <v>263942.64</v>
      </c>
      <c r="C17" s="87">
        <f>'Orçamentário e Fin. 2018'!C16</f>
        <v>205927.97</v>
      </c>
      <c r="D17" s="79">
        <f t="shared" ref="D17:D22" si="4">C17-B17</f>
        <v>-58014.670000000013</v>
      </c>
      <c r="E17" s="90">
        <f t="shared" ref="E17:E22" si="5">D17/B17</f>
        <v>-0.21980029448822672</v>
      </c>
      <c r="F17" s="56">
        <f>'Comparativo 16 17'!G17</f>
        <v>283916.13</v>
      </c>
      <c r="G17" s="56">
        <f>'Orçamentário e Fin. 2018'!E16</f>
        <v>287278.7</v>
      </c>
      <c r="H17" s="79">
        <f t="shared" ref="H17:H22" si="6">G17-F17</f>
        <v>3362.570000000007</v>
      </c>
      <c r="I17" s="108">
        <f t="shared" ref="I17:I22" si="7">H17/F17</f>
        <v>1.1843532806677827E-2</v>
      </c>
    </row>
    <row r="18" spans="1:11" x14ac:dyDescent="0.25">
      <c r="A18" s="95" t="s">
        <v>244</v>
      </c>
      <c r="B18" s="87">
        <v>278555.48</v>
      </c>
      <c r="C18" s="87">
        <v>266049.89</v>
      </c>
      <c r="D18" s="79">
        <f t="shared" si="4"/>
        <v>-12505.589999999967</v>
      </c>
      <c r="E18" s="90">
        <f t="shared" si="5"/>
        <v>-4.4894431802239065E-2</v>
      </c>
      <c r="F18" s="56">
        <f>'Comparativo 16 17'!G18</f>
        <v>307383.57</v>
      </c>
      <c r="G18" s="56">
        <f>'Orçamentário e Fin. 2018'!E17</f>
        <v>376274.66</v>
      </c>
      <c r="H18" s="79">
        <f t="shared" si="6"/>
        <v>68891.089999999967</v>
      </c>
      <c r="I18" s="108">
        <f t="shared" si="7"/>
        <v>0.22412092487571786</v>
      </c>
    </row>
    <row r="19" spans="1:11" x14ac:dyDescent="0.25">
      <c r="A19" s="95" t="s">
        <v>245</v>
      </c>
      <c r="B19" s="87">
        <f>'Comparativo 16 17'!C19</f>
        <v>186859.51999999999</v>
      </c>
      <c r="C19" s="288">
        <f>'Orçamentário e Fin. 2018'!C18</f>
        <v>176650.9</v>
      </c>
      <c r="D19" s="79">
        <f t="shared" si="4"/>
        <v>-10208.619999999995</v>
      </c>
      <c r="E19" s="90">
        <f t="shared" si="5"/>
        <v>-5.4632592441637415E-2</v>
      </c>
      <c r="F19" s="387">
        <f>'Comparativo 16 17'!G19</f>
        <v>263043.40000000002</v>
      </c>
      <c r="G19" s="87">
        <f>'Orçamentário e Fin. 2018'!E18</f>
        <v>286001.84999999998</v>
      </c>
      <c r="H19" s="79">
        <f t="shared" si="6"/>
        <v>22958.449999999953</v>
      </c>
      <c r="I19" s="108">
        <f t="shared" si="7"/>
        <v>8.7280083818867732E-2</v>
      </c>
    </row>
    <row r="20" spans="1:11" x14ac:dyDescent="0.25">
      <c r="A20" s="95" t="s">
        <v>246</v>
      </c>
      <c r="B20" s="87">
        <v>135737.24</v>
      </c>
      <c r="C20" s="87">
        <f>'Orçamentário e Fin. 2018'!C19</f>
        <v>161571.63</v>
      </c>
      <c r="D20" s="79">
        <f t="shared" si="4"/>
        <v>25834.390000000014</v>
      </c>
      <c r="E20" s="90">
        <f t="shared" si="5"/>
        <v>0.19032647193946198</v>
      </c>
      <c r="F20" s="87">
        <f>'Comparativo 16 17'!G20</f>
        <v>264364.03999999998</v>
      </c>
      <c r="G20" s="87">
        <f>'Orçamentário e Fin. 2018'!E19</f>
        <v>281443.3</v>
      </c>
      <c r="H20" s="79">
        <f t="shared" si="6"/>
        <v>17079.260000000009</v>
      </c>
      <c r="I20" s="108">
        <f t="shared" si="7"/>
        <v>6.4605080176562635E-2</v>
      </c>
    </row>
    <row r="21" spans="1:11" x14ac:dyDescent="0.25">
      <c r="A21" s="95" t="s">
        <v>247</v>
      </c>
      <c r="B21" s="87">
        <f>'Comparativo 16 17'!C21</f>
        <v>162198.37</v>
      </c>
      <c r="C21" s="288">
        <f>'Orçamentário e Fin. 2018'!C20</f>
        <v>156599.51999999999</v>
      </c>
      <c r="D21" s="79">
        <f t="shared" si="4"/>
        <v>-5598.8500000000058</v>
      </c>
      <c r="E21" s="90">
        <f t="shared" si="5"/>
        <v>-3.45185343107949E-2</v>
      </c>
      <c r="F21" s="87">
        <f>'Comparativo 16 17'!G21</f>
        <v>266252.33</v>
      </c>
      <c r="G21" s="288">
        <f>'Orçamentário e Fin. 2018'!E20</f>
        <v>305398.84999999998</v>
      </c>
      <c r="H21" s="79">
        <f t="shared" si="6"/>
        <v>39146.51999999996</v>
      </c>
      <c r="I21" s="108">
        <f t="shared" si="7"/>
        <v>0.14702789643192965</v>
      </c>
    </row>
    <row r="22" spans="1:11" x14ac:dyDescent="0.25">
      <c r="A22" s="95" t="s">
        <v>248</v>
      </c>
      <c r="B22" s="87">
        <f>'Comparativo 16 17'!C22</f>
        <v>146025.46</v>
      </c>
      <c r="C22" s="87">
        <f>'Orçamentário e Fin. 2018'!C21</f>
        <v>133907.39000000001</v>
      </c>
      <c r="D22" s="79">
        <f t="shared" si="4"/>
        <v>-12118.069999999978</v>
      </c>
      <c r="E22" s="90">
        <f t="shared" si="5"/>
        <v>-8.2986008056403174E-2</v>
      </c>
      <c r="F22" s="87">
        <f>'Comparativo 16 17'!G22</f>
        <v>352518.3</v>
      </c>
      <c r="G22" s="87">
        <f>'Orçamentário e Fin. 2018'!E21</f>
        <v>341609.89</v>
      </c>
      <c r="H22" s="79">
        <f t="shared" si="6"/>
        <v>-10908.409999999974</v>
      </c>
      <c r="I22" s="108">
        <f t="shared" si="7"/>
        <v>-3.0944237504833012E-2</v>
      </c>
    </row>
    <row r="23" spans="1:11" ht="13.8" thickBot="1" x14ac:dyDescent="0.3">
      <c r="A23" s="96"/>
      <c r="B23" s="110"/>
      <c r="C23" s="36"/>
      <c r="D23" s="111"/>
      <c r="E23" s="110"/>
      <c r="F23" s="110"/>
      <c r="G23" s="36"/>
      <c r="H23" s="111"/>
      <c r="I23" s="112"/>
    </row>
    <row r="24" spans="1:11" ht="13.8" thickBot="1" x14ac:dyDescent="0.3">
      <c r="A24" s="127" t="s">
        <v>224</v>
      </c>
      <c r="B24" s="113">
        <f>SUM(B11:B23)</f>
        <v>4698893.7500000009</v>
      </c>
      <c r="C24" s="113">
        <f>SUM(C11:C23)</f>
        <v>5052181.5199999996</v>
      </c>
      <c r="D24" s="125">
        <f>C24-B24</f>
        <v>353287.76999999862</v>
      </c>
      <c r="E24" s="126">
        <f>D24/B24</f>
        <v>7.5185307180014135E-2</v>
      </c>
      <c r="F24" s="113">
        <f>SUM(F11:F23)</f>
        <v>3872368.26</v>
      </c>
      <c r="G24" s="113">
        <f>SUM(G11:G23)</f>
        <v>4805033.1999999993</v>
      </c>
      <c r="H24" s="121">
        <f>SUM(H11:H23)</f>
        <v>932664.93999999971</v>
      </c>
      <c r="I24" s="122">
        <f>H24/F24</f>
        <v>0.24085130271158656</v>
      </c>
    </row>
    <row r="25" spans="1:11" x14ac:dyDescent="0.25">
      <c r="A25" s="248"/>
      <c r="B25" s="248"/>
      <c r="C25" s="248"/>
      <c r="D25" s="249"/>
      <c r="E25" s="13"/>
      <c r="F25" s="13"/>
      <c r="G25" s="13"/>
      <c r="H25" s="13"/>
      <c r="I25" s="13"/>
      <c r="J25" s="13"/>
      <c r="K25" s="13"/>
    </row>
    <row r="26" spans="1:11" x14ac:dyDescent="0.25">
      <c r="A26" s="630"/>
      <c r="B26" s="631"/>
      <c r="C26" s="632"/>
      <c r="D26" s="632"/>
      <c r="E26" s="222"/>
      <c r="F26" s="222"/>
      <c r="G26" s="220"/>
      <c r="H26" s="223"/>
      <c r="I26" s="224"/>
      <c r="J26" s="13"/>
      <c r="K26" s="13"/>
    </row>
    <row r="27" spans="1:11" x14ac:dyDescent="0.25">
      <c r="A27" s="631"/>
      <c r="B27" s="631"/>
      <c r="C27" s="632"/>
      <c r="D27" s="632"/>
      <c r="E27" s="221"/>
      <c r="F27" s="221"/>
      <c r="G27" s="310"/>
      <c r="H27" s="15"/>
      <c r="I27" s="13"/>
      <c r="J27" s="13"/>
      <c r="K27" s="13"/>
    </row>
    <row r="28" spans="1:11" x14ac:dyDescent="0.25">
      <c r="A28" s="248"/>
      <c r="B28" s="248"/>
      <c r="C28" s="623"/>
      <c r="D28" s="623"/>
      <c r="E28" s="13"/>
      <c r="F28" s="118"/>
      <c r="G28" s="13"/>
      <c r="H28" s="13"/>
      <c r="I28" s="13"/>
      <c r="J28" s="13"/>
      <c r="K28" s="13"/>
    </row>
    <row r="29" spans="1:11" x14ac:dyDescent="0.25">
      <c r="A29" s="248"/>
      <c r="B29" s="248"/>
      <c r="C29" s="248"/>
      <c r="D29" s="248"/>
      <c r="E29" s="13"/>
      <c r="F29" s="118"/>
      <c r="G29" s="13"/>
      <c r="H29" s="13"/>
      <c r="I29" s="13"/>
      <c r="J29" s="13"/>
      <c r="K29" s="13"/>
    </row>
    <row r="30" spans="1:11" x14ac:dyDescent="0.25">
      <c r="A30" s="248"/>
      <c r="B30" s="385"/>
      <c r="C30" s="248"/>
      <c r="D30" s="249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18"/>
      <c r="I31" s="13"/>
      <c r="J31" s="13"/>
      <c r="K31" s="13"/>
    </row>
    <row r="32" spans="1:11" x14ac:dyDescent="0.25">
      <c r="D32" s="101"/>
    </row>
    <row r="33" spans="7:7" x14ac:dyDescent="0.25">
      <c r="G33" s="78"/>
    </row>
  </sheetData>
  <mergeCells count="13">
    <mergeCell ref="A1:I1"/>
    <mergeCell ref="A4:I4"/>
    <mergeCell ref="B6:E6"/>
    <mergeCell ref="F6:I6"/>
    <mergeCell ref="B7:E7"/>
    <mergeCell ref="F7:I7"/>
    <mergeCell ref="C28:D28"/>
    <mergeCell ref="E8:E10"/>
    <mergeCell ref="I8:I10"/>
    <mergeCell ref="A26:B26"/>
    <mergeCell ref="C26:D26"/>
    <mergeCell ref="A27:B27"/>
    <mergeCell ref="C27:D27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N34"/>
  <sheetViews>
    <sheetView showGridLines="0" zoomScale="130" zoomScaleNormal="130" workbookViewId="0">
      <selection activeCell="AC42" sqref="AC42"/>
    </sheetView>
  </sheetViews>
  <sheetFormatPr defaultColWidth="11.44140625" defaultRowHeight="13.2" x14ac:dyDescent="0.25"/>
  <cols>
    <col min="1" max="1" width="8.44140625" bestFit="1" customWidth="1"/>
    <col min="2" max="2" width="13.6640625" bestFit="1" customWidth="1"/>
    <col min="3" max="3" width="12.6640625" customWidth="1"/>
    <col min="4" max="4" width="8" bestFit="1" customWidth="1"/>
    <col min="5" max="5" width="14" bestFit="1" customWidth="1"/>
    <col min="6" max="6" width="8" customWidth="1"/>
    <col min="7" max="7" width="14.33203125" customWidth="1"/>
    <col min="8" max="8" width="9.33203125" customWidth="1"/>
    <col min="9" max="9" width="14.6640625" bestFit="1" customWidth="1"/>
    <col min="10" max="10" width="13.33203125" bestFit="1" customWidth="1"/>
    <col min="11" max="11" width="12.44140625" bestFit="1" customWidth="1"/>
    <col min="13" max="13" width="13" bestFit="1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s="98" customFormat="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576" t="s">
        <v>294</v>
      </c>
      <c r="B4" s="576"/>
      <c r="C4" s="576"/>
      <c r="D4" s="576"/>
      <c r="E4" s="576"/>
      <c r="F4" s="576"/>
      <c r="G4" s="576"/>
      <c r="H4" s="576"/>
      <c r="I4" s="576"/>
      <c r="J4" s="576"/>
      <c r="K4" s="576"/>
    </row>
    <row r="5" spans="1:11" ht="13.8" thickBot="1" x14ac:dyDescent="0.3"/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x14ac:dyDescent="0.25">
      <c r="A7" s="46"/>
      <c r="B7" s="63" t="s">
        <v>200</v>
      </c>
      <c r="C7" s="63" t="s">
        <v>201</v>
      </c>
      <c r="D7" s="52"/>
      <c r="E7" s="45" t="s">
        <v>4</v>
      </c>
      <c r="F7" s="52"/>
      <c r="G7" s="45" t="s">
        <v>202</v>
      </c>
      <c r="H7" s="52"/>
      <c r="I7" s="63" t="s">
        <v>6</v>
      </c>
      <c r="J7" s="371" t="s">
        <v>203</v>
      </c>
      <c r="K7" s="52" t="s">
        <v>202</v>
      </c>
    </row>
    <row r="8" spans="1:11" x14ac:dyDescent="0.25">
      <c r="A8" s="44" t="s">
        <v>204</v>
      </c>
      <c r="B8" s="64" t="s">
        <v>205</v>
      </c>
      <c r="C8" s="64" t="s">
        <v>206</v>
      </c>
      <c r="D8" s="53" t="s">
        <v>12</v>
      </c>
      <c r="E8" s="15" t="s">
        <v>10</v>
      </c>
      <c r="F8" s="53" t="s">
        <v>12</v>
      </c>
      <c r="G8" s="15" t="s">
        <v>207</v>
      </c>
      <c r="H8" s="53" t="s">
        <v>12</v>
      </c>
      <c r="I8" s="64" t="s">
        <v>208</v>
      </c>
      <c r="J8" s="372" t="s">
        <v>209</v>
      </c>
      <c r="K8" s="53" t="s">
        <v>210</v>
      </c>
    </row>
    <row r="9" spans="1:11" ht="13.8" thickBot="1" x14ac:dyDescent="0.3">
      <c r="A9" s="47"/>
      <c r="B9" s="89">
        <v>2018</v>
      </c>
      <c r="C9" s="89">
        <v>2018</v>
      </c>
      <c r="D9" s="54" t="s">
        <v>211</v>
      </c>
      <c r="E9" s="89">
        <v>2018</v>
      </c>
      <c r="F9" s="54" t="s">
        <v>211</v>
      </c>
      <c r="G9" s="89">
        <v>2018</v>
      </c>
      <c r="H9" s="54"/>
      <c r="I9" s="89">
        <v>2018</v>
      </c>
      <c r="J9" s="373">
        <v>2018</v>
      </c>
      <c r="K9" s="54">
        <v>2018</v>
      </c>
    </row>
    <row r="10" spans="1:11" x14ac:dyDescent="0.25">
      <c r="A10" s="48" t="s">
        <v>212</v>
      </c>
      <c r="B10" s="278">
        <v>7650000</v>
      </c>
      <c r="C10" s="279">
        <v>1516426.64</v>
      </c>
      <c r="D10" s="280">
        <f t="shared" ref="D10:D21" si="0">C10/B10</f>
        <v>0.19822570457516339</v>
      </c>
      <c r="E10" s="86">
        <v>946613.24</v>
      </c>
      <c r="F10" s="280">
        <f t="shared" ref="F10:F16" si="1">E10/B10</f>
        <v>0.12374029281045751</v>
      </c>
      <c r="G10" s="276">
        <f t="shared" ref="G10:G16" si="2">C10-E10</f>
        <v>569813.39999999991</v>
      </c>
      <c r="H10" s="281">
        <f t="shared" ref="H10:H16" si="3">G10/C10</f>
        <v>0.37576061048360371</v>
      </c>
      <c r="I10" s="278">
        <v>2007169.59</v>
      </c>
      <c r="J10" s="276">
        <v>946281.62</v>
      </c>
      <c r="K10" s="282">
        <f t="shared" ref="K10:K15" si="4">I10-J10</f>
        <v>1060887.9700000002</v>
      </c>
    </row>
    <row r="11" spans="1:11" x14ac:dyDescent="0.25">
      <c r="A11" s="48" t="s">
        <v>213</v>
      </c>
      <c r="B11" s="278">
        <v>7650000</v>
      </c>
      <c r="C11" s="276">
        <v>1057656.8999999999</v>
      </c>
      <c r="D11" s="280">
        <f t="shared" si="0"/>
        <v>0.13825580392156861</v>
      </c>
      <c r="E11" s="55">
        <v>499613.27</v>
      </c>
      <c r="F11" s="280">
        <f t="shared" si="1"/>
        <v>6.5308924183006545E-2</v>
      </c>
      <c r="G11" s="276">
        <f t="shared" si="2"/>
        <v>558043.62999999989</v>
      </c>
      <c r="H11" s="281">
        <f t="shared" si="3"/>
        <v>0.52762254942978193</v>
      </c>
      <c r="I11" s="283">
        <v>2581007.1</v>
      </c>
      <c r="J11" s="276">
        <v>969143.34</v>
      </c>
      <c r="K11" s="282">
        <f t="shared" si="4"/>
        <v>1611863.7600000002</v>
      </c>
    </row>
    <row r="12" spans="1:11" x14ac:dyDescent="0.25">
      <c r="A12" s="48" t="s">
        <v>214</v>
      </c>
      <c r="B12" s="278">
        <v>7650000</v>
      </c>
      <c r="C12" s="276">
        <v>600507.5</v>
      </c>
      <c r="D12" s="280">
        <f t="shared" si="0"/>
        <v>7.8497712418300655E-2</v>
      </c>
      <c r="E12" s="55">
        <v>373743.19</v>
      </c>
      <c r="F12" s="280">
        <f t="shared" si="1"/>
        <v>4.885531895424837E-2</v>
      </c>
      <c r="G12" s="276">
        <f t="shared" si="2"/>
        <v>226764.31</v>
      </c>
      <c r="H12" s="281">
        <f t="shared" si="3"/>
        <v>0.37762111214264599</v>
      </c>
      <c r="I12" s="283">
        <v>2802784.97</v>
      </c>
      <c r="J12" s="276">
        <v>952096.92</v>
      </c>
      <c r="K12" s="282">
        <f t="shared" si="4"/>
        <v>1850688.0500000003</v>
      </c>
    </row>
    <row r="13" spans="1:11" x14ac:dyDescent="0.25">
      <c r="A13" s="48" t="s">
        <v>215</v>
      </c>
      <c r="B13" s="278">
        <v>7650000</v>
      </c>
      <c r="C13" s="276">
        <v>761105.99</v>
      </c>
      <c r="D13" s="280">
        <f t="shared" si="0"/>
        <v>9.9490979084967318E-2</v>
      </c>
      <c r="E13" s="55">
        <v>435061.59</v>
      </c>
      <c r="F13" s="280">
        <f t="shared" si="1"/>
        <v>5.6870796078431374E-2</v>
      </c>
      <c r="G13" s="276">
        <f t="shared" si="2"/>
        <v>326044.39999999997</v>
      </c>
      <c r="H13" s="281">
        <f t="shared" si="3"/>
        <v>0.42838238600644829</v>
      </c>
      <c r="I13" s="283">
        <v>3119805.73</v>
      </c>
      <c r="J13" s="276">
        <v>961574.56</v>
      </c>
      <c r="K13" s="282">
        <f t="shared" si="4"/>
        <v>2158231.17</v>
      </c>
    </row>
    <row r="14" spans="1:11" x14ac:dyDescent="0.25">
      <c r="A14" s="48" t="s">
        <v>216</v>
      </c>
      <c r="B14" s="278">
        <v>7650000</v>
      </c>
      <c r="C14" s="276">
        <v>445996.57</v>
      </c>
      <c r="D14" s="284">
        <f t="shared" si="0"/>
        <v>5.8300205228758173E-2</v>
      </c>
      <c r="E14" s="55">
        <v>360826.8</v>
      </c>
      <c r="F14" s="280">
        <f t="shared" si="1"/>
        <v>4.716690196078431E-2</v>
      </c>
      <c r="G14" s="285">
        <f t="shared" si="2"/>
        <v>85169.770000000019</v>
      </c>
      <c r="H14" s="281">
        <f t="shared" si="3"/>
        <v>0.19096507849824948</v>
      </c>
      <c r="I14" s="283">
        <v>3198862.81</v>
      </c>
      <c r="J14" s="276">
        <v>954278.16</v>
      </c>
      <c r="K14" s="286">
        <f t="shared" si="4"/>
        <v>2244584.65</v>
      </c>
    </row>
    <row r="15" spans="1:11" x14ac:dyDescent="0.25">
      <c r="A15" s="48" t="s">
        <v>217</v>
      </c>
      <c r="B15" s="278">
        <v>7650000</v>
      </c>
      <c r="C15" s="384">
        <v>319780.62</v>
      </c>
      <c r="D15" s="284">
        <f t="shared" si="0"/>
        <v>4.1801388235294119E-2</v>
      </c>
      <c r="E15" s="295">
        <v>311167.86</v>
      </c>
      <c r="F15" s="280">
        <f t="shared" si="1"/>
        <v>4.0675537254901958E-2</v>
      </c>
      <c r="G15" s="285">
        <f t="shared" si="2"/>
        <v>8612.7600000000093</v>
      </c>
      <c r="H15" s="281">
        <f t="shared" si="3"/>
        <v>2.6933339487552464E-2</v>
      </c>
      <c r="I15" s="287">
        <v>3201754.43</v>
      </c>
      <c r="J15" s="383">
        <v>920909.57</v>
      </c>
      <c r="K15" s="286">
        <f t="shared" si="4"/>
        <v>2280844.8600000003</v>
      </c>
    </row>
    <row r="16" spans="1:11" x14ac:dyDescent="0.25">
      <c r="A16" s="48" t="s">
        <v>218</v>
      </c>
      <c r="B16" s="278">
        <v>7650000</v>
      </c>
      <c r="C16" s="288">
        <v>205927.97</v>
      </c>
      <c r="D16" s="284">
        <f t="shared" si="0"/>
        <v>2.6918688888888889E-2</v>
      </c>
      <c r="E16" s="55">
        <v>287278.7</v>
      </c>
      <c r="F16" s="280">
        <f t="shared" si="1"/>
        <v>3.7552771241830069E-2</v>
      </c>
      <c r="G16" s="285">
        <f t="shared" si="2"/>
        <v>-81350.73000000001</v>
      </c>
      <c r="H16" s="281">
        <f t="shared" si="3"/>
        <v>-0.39504458767791478</v>
      </c>
      <c r="I16" s="287">
        <v>3120027.78</v>
      </c>
      <c r="J16" s="277">
        <v>911935.6</v>
      </c>
      <c r="K16" s="286">
        <f t="shared" ref="K16:K21" si="5">I16-J16</f>
        <v>2208092.1799999997</v>
      </c>
    </row>
    <row r="17" spans="1:14" x14ac:dyDescent="0.25">
      <c r="A17" s="48" t="s">
        <v>219</v>
      </c>
      <c r="B17" s="278">
        <v>7650000</v>
      </c>
      <c r="C17" s="288">
        <v>266049.89</v>
      </c>
      <c r="D17" s="284">
        <f t="shared" si="0"/>
        <v>3.4777763398692811E-2</v>
      </c>
      <c r="E17" s="55">
        <v>376274.66</v>
      </c>
      <c r="F17" s="280">
        <f>E17/B17</f>
        <v>4.9186230065359472E-2</v>
      </c>
      <c r="G17" s="285">
        <f>C17-E17</f>
        <v>-110224.76999999996</v>
      </c>
      <c r="H17" s="281">
        <f>G17/C17</f>
        <v>-0.41430112976179001</v>
      </c>
      <c r="I17" s="287">
        <v>3030568.62</v>
      </c>
      <c r="J17" s="277">
        <v>927158.74</v>
      </c>
      <c r="K17" s="286">
        <f t="shared" si="5"/>
        <v>2103409.88</v>
      </c>
      <c r="M17" s="101"/>
    </row>
    <row r="18" spans="1:14" x14ac:dyDescent="0.25">
      <c r="A18" s="48" t="s">
        <v>220</v>
      </c>
      <c r="B18" s="278">
        <v>7650000</v>
      </c>
      <c r="C18" s="288">
        <v>176650.9</v>
      </c>
      <c r="D18" s="284">
        <f t="shared" si="0"/>
        <v>2.3091620915032678E-2</v>
      </c>
      <c r="E18" s="55">
        <v>286001.84999999998</v>
      </c>
      <c r="F18" s="280">
        <f>E18/B18</f>
        <v>3.7385862745098038E-2</v>
      </c>
      <c r="G18" s="285">
        <f>C18-E18</f>
        <v>-109350.94999999998</v>
      </c>
      <c r="H18" s="281">
        <f>G18/C18</f>
        <v>-0.61902288638212422</v>
      </c>
      <c r="I18" s="287">
        <v>2915496.5</v>
      </c>
      <c r="J18" s="277">
        <v>939382.09</v>
      </c>
      <c r="K18" s="286">
        <f t="shared" si="5"/>
        <v>1976114.4100000001</v>
      </c>
    </row>
    <row r="19" spans="1:14" x14ac:dyDescent="0.25">
      <c r="A19" s="48" t="s">
        <v>221</v>
      </c>
      <c r="B19" s="278">
        <v>7650000</v>
      </c>
      <c r="C19" s="288">
        <v>161571.63</v>
      </c>
      <c r="D19" s="284">
        <f t="shared" si="0"/>
        <v>2.1120474509803921E-2</v>
      </c>
      <c r="E19" s="55">
        <v>281443.3</v>
      </c>
      <c r="F19" s="280">
        <f>E19/B19</f>
        <v>3.6789973856209149E-2</v>
      </c>
      <c r="G19" s="285">
        <f>C19-E19</f>
        <v>-119871.66999999998</v>
      </c>
      <c r="H19" s="281">
        <f>G19/C19</f>
        <v>-0.74191038364841633</v>
      </c>
      <c r="I19" s="287">
        <v>2797273.48</v>
      </c>
      <c r="J19" s="277">
        <v>957184.82</v>
      </c>
      <c r="K19" s="286">
        <f t="shared" si="5"/>
        <v>1840088.6600000001</v>
      </c>
    </row>
    <row r="20" spans="1:14" x14ac:dyDescent="0.25">
      <c r="A20" s="48" t="s">
        <v>222</v>
      </c>
      <c r="B20" s="278">
        <v>7650000</v>
      </c>
      <c r="C20" s="288">
        <v>156599.51999999999</v>
      </c>
      <c r="D20" s="284">
        <f t="shared" si="0"/>
        <v>2.0470525490196078E-2</v>
      </c>
      <c r="E20" s="55">
        <v>305398.84999999998</v>
      </c>
      <c r="F20" s="280">
        <f>E20/B20</f>
        <v>3.9921418300653592E-2</v>
      </c>
      <c r="G20" s="285">
        <f>C20-E20</f>
        <v>-148799.32999999999</v>
      </c>
      <c r="H20" s="289">
        <f>G20/C20</f>
        <v>-0.95019020492527684</v>
      </c>
      <c r="I20" s="287">
        <v>2642865.11</v>
      </c>
      <c r="J20" s="277">
        <v>936715.88</v>
      </c>
      <c r="K20" s="286">
        <f t="shared" si="5"/>
        <v>1706149.23</v>
      </c>
    </row>
    <row r="21" spans="1:14" x14ac:dyDescent="0.25">
      <c r="A21" s="48" t="s">
        <v>223</v>
      </c>
      <c r="B21" s="278">
        <v>7650000</v>
      </c>
      <c r="C21" s="288">
        <v>133907.39000000001</v>
      </c>
      <c r="D21" s="284">
        <f t="shared" si="0"/>
        <v>1.7504233986928106E-2</v>
      </c>
      <c r="E21" s="55">
        <v>341609.89</v>
      </c>
      <c r="F21" s="280">
        <f>E21/B21</f>
        <v>4.4654887581699346E-2</v>
      </c>
      <c r="G21" s="285">
        <f>C21-E21</f>
        <v>-207702.5</v>
      </c>
      <c r="H21" s="289">
        <f>G21/C21</f>
        <v>-1.551090645557351</v>
      </c>
      <c r="I21" s="287">
        <v>2456094.5099999998</v>
      </c>
      <c r="J21" s="277">
        <v>467801.36</v>
      </c>
      <c r="K21" s="286">
        <f t="shared" si="5"/>
        <v>1988293.15</v>
      </c>
    </row>
    <row r="22" spans="1:14" ht="13.8" thickBot="1" x14ac:dyDescent="0.3">
      <c r="A22" s="49"/>
      <c r="B22" s="290"/>
      <c r="C22" s="291"/>
      <c r="D22" s="290"/>
      <c r="E22" s="291"/>
      <c r="F22" s="290"/>
      <c r="G22" s="292"/>
      <c r="H22" s="293"/>
      <c r="I22" s="294"/>
      <c r="J22" s="292"/>
      <c r="K22" s="293"/>
    </row>
    <row r="23" spans="1:14" ht="13.8" thickBot="1" x14ac:dyDescent="0.3">
      <c r="A23" s="72" t="s">
        <v>224</v>
      </c>
      <c r="B23" s="374">
        <v>7650000</v>
      </c>
      <c r="C23" s="74">
        <f>SUM(C10:C22)</f>
        <v>5802181.5199999996</v>
      </c>
      <c r="D23" s="75">
        <f>C23/B23</f>
        <v>0.75845510065359467</v>
      </c>
      <c r="E23" s="74">
        <f>SUM(E10:E22)</f>
        <v>4805033.1999999993</v>
      </c>
      <c r="F23" s="75">
        <f>E23/B23</f>
        <v>0.62810891503267963</v>
      </c>
      <c r="G23" s="74">
        <f>C23-E23</f>
        <v>997148.3200000003</v>
      </c>
      <c r="H23" s="76">
        <f>E23/C23</f>
        <v>0.828142515610232</v>
      </c>
      <c r="I23" s="77">
        <f>I21</f>
        <v>2456094.5099999998</v>
      </c>
      <c r="J23" s="77">
        <f>J21</f>
        <v>467801.36</v>
      </c>
      <c r="K23" s="74">
        <f>K21</f>
        <v>1988293.15</v>
      </c>
      <c r="L23" s="13"/>
    </row>
    <row r="24" spans="1:14" ht="13.8" thickBot="1" x14ac:dyDescent="0.3">
      <c r="A24" s="221"/>
      <c r="B24" s="223"/>
      <c r="C24" s="223"/>
      <c r="D24" s="224"/>
      <c r="E24" s="223"/>
      <c r="F24" s="224"/>
      <c r="G24" s="223"/>
      <c r="H24" s="224"/>
      <c r="I24" s="223"/>
      <c r="J24" s="223"/>
      <c r="K24" s="223"/>
      <c r="L24" s="13"/>
    </row>
    <row r="25" spans="1:14" ht="13.8" thickBot="1" x14ac:dyDescent="0.3">
      <c r="A25" s="28"/>
      <c r="C25" s="590" t="s">
        <v>225</v>
      </c>
      <c r="D25" s="591"/>
      <c r="E25" s="592" t="s">
        <v>226</v>
      </c>
      <c r="F25" s="593"/>
      <c r="G25" s="377" t="s">
        <v>202</v>
      </c>
      <c r="I25" s="246"/>
    </row>
    <row r="26" spans="1:14" ht="18.75" customHeight="1" thickBot="1" x14ac:dyDescent="0.3">
      <c r="A26" s="603" t="s">
        <v>229</v>
      </c>
      <c r="B26" s="604"/>
      <c r="C26" s="650">
        <f>5052181.52</f>
        <v>5052181.5199999996</v>
      </c>
      <c r="D26" s="651"/>
      <c r="E26" s="652">
        <f>4643516.2</f>
        <v>4643516.2</v>
      </c>
      <c r="F26" s="653"/>
      <c r="G26" s="375">
        <f>C26-E26</f>
        <v>408665.31999999937</v>
      </c>
      <c r="I26" s="101"/>
      <c r="J26" s="249"/>
      <c r="K26" s="368"/>
      <c r="L26" s="248"/>
      <c r="M26" s="248"/>
      <c r="N26" s="248"/>
    </row>
    <row r="27" spans="1:14" x14ac:dyDescent="0.25">
      <c r="C27" s="99"/>
      <c r="E27" s="231"/>
      <c r="I27" s="101"/>
    </row>
    <row r="28" spans="1:14" x14ac:dyDescent="0.25">
      <c r="A28" s="369" t="s">
        <v>282</v>
      </c>
      <c r="B28" s="369"/>
      <c r="C28" s="370"/>
      <c r="D28" s="369"/>
      <c r="E28" s="370"/>
      <c r="G28" s="246"/>
      <c r="I28" s="246"/>
    </row>
    <row r="29" spans="1:14" x14ac:dyDescent="0.25">
      <c r="C29" s="25"/>
      <c r="E29" s="25"/>
      <c r="G29" s="246"/>
    </row>
    <row r="30" spans="1:14" x14ac:dyDescent="0.25">
      <c r="B30" s="246"/>
      <c r="C30" s="231"/>
      <c r="E30" s="376"/>
      <c r="G30" s="231"/>
      <c r="I30" s="231"/>
    </row>
    <row r="31" spans="1:14" x14ac:dyDescent="0.25">
      <c r="C31" s="244"/>
      <c r="E31" s="231"/>
      <c r="I31" s="231"/>
      <c r="J31" s="78"/>
    </row>
    <row r="32" spans="1:14" x14ac:dyDescent="0.25">
      <c r="C32" s="42"/>
      <c r="E32" s="42"/>
      <c r="I32" s="231"/>
    </row>
    <row r="33" spans="3:9" x14ac:dyDescent="0.25">
      <c r="E33" s="42"/>
      <c r="I33" s="231"/>
    </row>
    <row r="34" spans="3:9" x14ac:dyDescent="0.25">
      <c r="C34" s="42"/>
      <c r="E34" s="42"/>
    </row>
  </sheetData>
  <mergeCells count="9">
    <mergeCell ref="A1:K1"/>
    <mergeCell ref="A4:K4"/>
    <mergeCell ref="A6:H6"/>
    <mergeCell ref="I6:K6"/>
    <mergeCell ref="A26:B26"/>
    <mergeCell ref="C26:D26"/>
    <mergeCell ref="E26:F26"/>
    <mergeCell ref="E25:F25"/>
    <mergeCell ref="C25:D2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K32"/>
  <sheetViews>
    <sheetView showGridLines="0" zoomScale="110" zoomScaleNormal="110" workbookViewId="0">
      <selection activeCell="AC42" sqref="AC42"/>
    </sheetView>
  </sheetViews>
  <sheetFormatPr defaultRowHeight="13.2" x14ac:dyDescent="0.25"/>
  <cols>
    <col min="1" max="1" width="8.44140625" customWidth="1"/>
    <col min="2" max="2" width="14.44140625" customWidth="1"/>
    <col min="3" max="3" width="14.6640625" customWidth="1"/>
    <col min="4" max="4" width="13.6640625" customWidth="1"/>
    <col min="5" max="5" width="12.6640625" bestFit="1" customWidth="1"/>
    <col min="6" max="6" width="14.44140625" customWidth="1"/>
    <col min="7" max="9" width="16.33203125" bestFit="1" customWidth="1"/>
  </cols>
  <sheetData>
    <row r="1" spans="1:9" ht="20.399999999999999" x14ac:dyDescent="0.35">
      <c r="A1" s="611" t="s">
        <v>230</v>
      </c>
      <c r="B1" s="611"/>
      <c r="C1" s="611"/>
      <c r="D1" s="611"/>
      <c r="E1" s="611"/>
      <c r="F1" s="611"/>
      <c r="G1" s="611"/>
      <c r="H1" s="611"/>
      <c r="I1" s="611"/>
    </row>
    <row r="2" spans="1:9" ht="17.399999999999999" x14ac:dyDescent="0.3">
      <c r="A2" s="97"/>
      <c r="B2" s="97"/>
      <c r="C2" s="97"/>
      <c r="D2" s="97"/>
      <c r="E2" s="97"/>
      <c r="F2" s="97"/>
      <c r="G2" s="97"/>
      <c r="H2" s="97"/>
      <c r="I2" s="97"/>
    </row>
    <row r="3" spans="1:9" s="100" customFormat="1" ht="17.399999999999999" x14ac:dyDescent="0.3">
      <c r="A3" s="22" t="s">
        <v>231</v>
      </c>
      <c r="B3" s="22"/>
      <c r="C3" s="22"/>
      <c r="D3" s="22"/>
      <c r="E3" s="22"/>
      <c r="F3" s="22"/>
      <c r="G3" s="22"/>
      <c r="H3" s="22"/>
      <c r="I3" s="22"/>
    </row>
    <row r="4" spans="1:9" s="100" customFormat="1" ht="17.399999999999999" x14ac:dyDescent="0.3">
      <c r="A4" s="586" t="s">
        <v>295</v>
      </c>
      <c r="B4" s="586"/>
      <c r="C4" s="586"/>
      <c r="D4" s="586"/>
      <c r="E4" s="586"/>
      <c r="F4" s="586"/>
      <c r="G4" s="586"/>
      <c r="H4" s="586"/>
      <c r="I4" s="586"/>
    </row>
    <row r="5" spans="1:9" ht="13.8" thickBot="1" x14ac:dyDescent="0.3">
      <c r="A5" s="15"/>
      <c r="B5" s="15"/>
      <c r="C5" s="15"/>
      <c r="D5" s="15"/>
      <c r="E5" s="16"/>
      <c r="F5" s="13"/>
      <c r="G5" s="13"/>
      <c r="H5" s="13"/>
      <c r="I5" s="13"/>
    </row>
    <row r="6" spans="1:9" x14ac:dyDescent="0.25">
      <c r="A6" s="63"/>
      <c r="B6" s="612" t="s">
        <v>233</v>
      </c>
      <c r="C6" s="613"/>
      <c r="D6" s="613"/>
      <c r="E6" s="614"/>
      <c r="F6" s="612" t="s">
        <v>234</v>
      </c>
      <c r="G6" s="613"/>
      <c r="H6" s="613"/>
      <c r="I6" s="614"/>
    </row>
    <row r="7" spans="1:9" ht="13.8" thickBot="1" x14ac:dyDescent="0.3">
      <c r="A7" s="64"/>
      <c r="B7" s="615" t="s">
        <v>143</v>
      </c>
      <c r="C7" s="616"/>
      <c r="D7" s="617"/>
      <c r="E7" s="618"/>
      <c r="F7" s="619" t="s">
        <v>144</v>
      </c>
      <c r="G7" s="620"/>
      <c r="H7" s="621"/>
      <c r="I7" s="622"/>
    </row>
    <row r="8" spans="1:9" x14ac:dyDescent="0.25">
      <c r="A8" s="64" t="s">
        <v>235</v>
      </c>
      <c r="B8" s="63" t="s">
        <v>201</v>
      </c>
      <c r="C8" s="52" t="s">
        <v>201</v>
      </c>
      <c r="D8" s="119" t="s">
        <v>11</v>
      </c>
      <c r="E8" s="624" t="s">
        <v>12</v>
      </c>
      <c r="F8" s="52" t="s">
        <v>4</v>
      </c>
      <c r="G8" s="52" t="s">
        <v>4</v>
      </c>
      <c r="H8" s="119" t="s">
        <v>11</v>
      </c>
      <c r="I8" s="627" t="s">
        <v>12</v>
      </c>
    </row>
    <row r="9" spans="1:9" x14ac:dyDescent="0.25">
      <c r="A9" s="64"/>
      <c r="B9" s="64" t="s">
        <v>206</v>
      </c>
      <c r="C9" s="53" t="s">
        <v>206</v>
      </c>
      <c r="D9" s="119" t="s">
        <v>236</v>
      </c>
      <c r="E9" s="625"/>
      <c r="F9" s="53" t="s">
        <v>10</v>
      </c>
      <c r="G9" s="53" t="s">
        <v>10</v>
      </c>
      <c r="H9" s="119" t="s">
        <v>236</v>
      </c>
      <c r="I9" s="628"/>
    </row>
    <row r="10" spans="1:9" ht="13.8" thickBot="1" x14ac:dyDescent="0.3">
      <c r="A10" s="89"/>
      <c r="B10" s="89">
        <v>2016</v>
      </c>
      <c r="C10" s="382">
        <v>2017</v>
      </c>
      <c r="D10" s="120" t="s">
        <v>296</v>
      </c>
      <c r="E10" s="626"/>
      <c r="F10" s="54">
        <v>2016</v>
      </c>
      <c r="G10" s="382">
        <v>2017</v>
      </c>
      <c r="H10" s="120" t="s">
        <v>296</v>
      </c>
      <c r="I10" s="629"/>
    </row>
    <row r="11" spans="1:9" x14ac:dyDescent="0.25">
      <c r="A11" s="94" t="s">
        <v>237</v>
      </c>
      <c r="B11" s="36">
        <v>367940.06</v>
      </c>
      <c r="C11" s="86">
        <v>599494.29</v>
      </c>
      <c r="D11" s="79">
        <f t="shared" ref="D11:D17" si="0">C11-B11</f>
        <v>231554.23000000004</v>
      </c>
      <c r="E11" s="90">
        <f t="shared" ref="E11:E17" si="1">D11/B11</f>
        <v>0.62932595597228536</v>
      </c>
      <c r="F11" s="36">
        <v>386062.33</v>
      </c>
      <c r="G11" s="86">
        <v>346907.85</v>
      </c>
      <c r="H11" s="79">
        <f t="shared" ref="H11:H16" si="2">G11-F11</f>
        <v>-39154.48000000004</v>
      </c>
      <c r="I11" s="108">
        <f t="shared" ref="I11:I16" si="3">H11/F11</f>
        <v>-0.10142009970255331</v>
      </c>
    </row>
    <row r="12" spans="1:9" x14ac:dyDescent="0.25">
      <c r="A12" s="95" t="s">
        <v>238</v>
      </c>
      <c r="B12" s="55">
        <v>476706.94</v>
      </c>
      <c r="C12" s="55">
        <v>853895.52</v>
      </c>
      <c r="D12" s="79">
        <f t="shared" si="0"/>
        <v>377188.58</v>
      </c>
      <c r="E12" s="90">
        <f t="shared" si="1"/>
        <v>0.79123786198707324</v>
      </c>
      <c r="F12" s="55">
        <v>314175.40000000002</v>
      </c>
      <c r="G12" s="55">
        <v>424582.95</v>
      </c>
      <c r="H12" s="79">
        <f t="shared" si="2"/>
        <v>110407.54999999999</v>
      </c>
      <c r="I12" s="108">
        <f t="shared" si="3"/>
        <v>0.35142009845455746</v>
      </c>
    </row>
    <row r="13" spans="1:9" x14ac:dyDescent="0.25">
      <c r="A13" s="95" t="s">
        <v>239</v>
      </c>
      <c r="B13" s="55">
        <v>642073.46</v>
      </c>
      <c r="C13" s="55">
        <v>585418.93000000005</v>
      </c>
      <c r="D13" s="79">
        <f t="shared" si="0"/>
        <v>-56654.529999999912</v>
      </c>
      <c r="E13" s="90">
        <f t="shared" si="1"/>
        <v>-8.8236835081144632E-2</v>
      </c>
      <c r="F13" s="55">
        <v>388360.17</v>
      </c>
      <c r="G13" s="55">
        <f>'Orçamentário e Fin. 2017'!E12</f>
        <v>381859.26</v>
      </c>
      <c r="H13" s="79">
        <f t="shared" si="2"/>
        <v>-6500.9099999999744</v>
      </c>
      <c r="I13" s="108">
        <f t="shared" si="3"/>
        <v>-1.6739383958967714E-2</v>
      </c>
    </row>
    <row r="14" spans="1:9" x14ac:dyDescent="0.25">
      <c r="A14" s="95" t="s">
        <v>240</v>
      </c>
      <c r="B14" s="55">
        <v>953536.91</v>
      </c>
      <c r="C14" s="55">
        <v>728836.78</v>
      </c>
      <c r="D14" s="79">
        <f t="shared" si="0"/>
        <v>-224700.13</v>
      </c>
      <c r="E14" s="90">
        <f t="shared" si="1"/>
        <v>-0.23564911608927649</v>
      </c>
      <c r="F14" s="55">
        <v>454142.47</v>
      </c>
      <c r="G14" s="55">
        <v>378273.77</v>
      </c>
      <c r="H14" s="79">
        <f t="shared" si="2"/>
        <v>-75868.699999999953</v>
      </c>
      <c r="I14" s="108">
        <f t="shared" si="3"/>
        <v>-0.16705924905019334</v>
      </c>
    </row>
    <row r="15" spans="1:9" x14ac:dyDescent="0.25">
      <c r="A15" s="95" t="s">
        <v>241</v>
      </c>
      <c r="B15" s="55">
        <v>383998.45</v>
      </c>
      <c r="C15" s="55">
        <v>438089.44</v>
      </c>
      <c r="D15" s="79">
        <f t="shared" si="0"/>
        <v>54090.989999999991</v>
      </c>
      <c r="E15" s="90">
        <f t="shared" si="1"/>
        <v>0.14086252171069957</v>
      </c>
      <c r="F15" s="55">
        <v>300724.7</v>
      </c>
      <c r="G15" s="55">
        <f>'Orçamentário e Fin. 2017'!E14</f>
        <v>327829.14</v>
      </c>
      <c r="H15" s="79">
        <f t="shared" si="2"/>
        <v>27104.440000000002</v>
      </c>
      <c r="I15" s="108">
        <f t="shared" si="3"/>
        <v>9.0130408310325025E-2</v>
      </c>
    </row>
    <row r="16" spans="1:9" x14ac:dyDescent="0.25">
      <c r="A16" s="95" t="s">
        <v>242</v>
      </c>
      <c r="B16" s="56">
        <v>317397.3</v>
      </c>
      <c r="C16" s="56">
        <v>319840.08</v>
      </c>
      <c r="D16" s="79">
        <f t="shared" si="0"/>
        <v>2442.7800000000279</v>
      </c>
      <c r="E16" s="90">
        <f t="shared" si="1"/>
        <v>7.6962847510045861E-3</v>
      </c>
      <c r="F16" s="56">
        <v>304656.21999999997</v>
      </c>
      <c r="G16" s="56">
        <f>'Orçamentário e Fin. 2017'!E15</f>
        <v>275437.52</v>
      </c>
      <c r="H16" s="79">
        <f t="shared" si="2"/>
        <v>-29218.699999999953</v>
      </c>
      <c r="I16" s="108">
        <f t="shared" si="3"/>
        <v>-9.5907117865507416E-2</v>
      </c>
    </row>
    <row r="17" spans="1:11" x14ac:dyDescent="0.25">
      <c r="A17" s="95" t="s">
        <v>243</v>
      </c>
      <c r="B17" s="87">
        <f>'Orçamentário e Finc. 2016'!C16</f>
        <v>159996.76999999999</v>
      </c>
      <c r="C17" s="87">
        <f>'Orçamentário e Fin. 2017'!C16</f>
        <v>263942.64</v>
      </c>
      <c r="D17" s="79">
        <f t="shared" si="0"/>
        <v>103945.87000000002</v>
      </c>
      <c r="E17" s="90">
        <f t="shared" si="1"/>
        <v>0.64967480281008194</v>
      </c>
      <c r="F17" s="56">
        <f>'Orçamentário e Finc. 2016'!E16</f>
        <v>246901.03</v>
      </c>
      <c r="G17" s="56">
        <f>'Orçamentário e Fin. 2017'!E16</f>
        <v>283916.13</v>
      </c>
      <c r="H17" s="79">
        <f t="shared" ref="H17:H22" si="4">G17-F17</f>
        <v>37015.100000000006</v>
      </c>
      <c r="I17" s="108">
        <f t="shared" ref="I17:I22" si="5">H17/F17</f>
        <v>0.14991877514646257</v>
      </c>
    </row>
    <row r="18" spans="1:11" x14ac:dyDescent="0.25">
      <c r="A18" s="95" t="s">
        <v>244</v>
      </c>
      <c r="B18" s="87">
        <v>253147.36</v>
      </c>
      <c r="C18" s="288">
        <v>278555.48</v>
      </c>
      <c r="D18" s="79">
        <f>C18-B18</f>
        <v>25408.119999999995</v>
      </c>
      <c r="E18" s="90">
        <f>D18/B18</f>
        <v>0.10036889185808612</v>
      </c>
      <c r="F18" s="56">
        <v>312757.53000000003</v>
      </c>
      <c r="G18" s="277">
        <f>'Orçamentário e Fin. 2017'!E17</f>
        <v>307383.57</v>
      </c>
      <c r="H18" s="79">
        <f t="shared" si="4"/>
        <v>-5373.960000000021</v>
      </c>
      <c r="I18" s="108">
        <f t="shared" si="5"/>
        <v>-1.7182511960623363E-2</v>
      </c>
    </row>
    <row r="19" spans="1:11" x14ac:dyDescent="0.25">
      <c r="A19" s="95" t="s">
        <v>245</v>
      </c>
      <c r="B19" s="87">
        <v>167669.35</v>
      </c>
      <c r="C19" s="288">
        <v>186859.51999999999</v>
      </c>
      <c r="D19" s="79">
        <f>C19-B19</f>
        <v>19190.169999999984</v>
      </c>
      <c r="E19" s="90">
        <f>D19/B19</f>
        <v>0.11445246254011233</v>
      </c>
      <c r="F19" s="87">
        <f>'Orçamentário e Finc. 2016'!E18</f>
        <v>295898.52</v>
      </c>
      <c r="G19" s="87">
        <f>'Orçamentário e Fin. 2017'!E18</f>
        <v>263043.40000000002</v>
      </c>
      <c r="H19" s="79">
        <f t="shared" si="4"/>
        <v>-32855.119999999995</v>
      </c>
      <c r="I19" s="108">
        <f t="shared" si="5"/>
        <v>-0.11103509405859817</v>
      </c>
    </row>
    <row r="20" spans="1:11" x14ac:dyDescent="0.25">
      <c r="A20" s="95" t="s">
        <v>246</v>
      </c>
      <c r="B20" s="87">
        <v>109194.53</v>
      </c>
      <c r="C20" s="87">
        <f>'Orçamentário e Fin. 2017'!C19</f>
        <v>135737.24</v>
      </c>
      <c r="D20" s="79">
        <f>C20-B20</f>
        <v>26542.709999999992</v>
      </c>
      <c r="E20" s="90">
        <f>D20/B20</f>
        <v>0.24307728601423526</v>
      </c>
      <c r="F20" s="87">
        <f>'Orçamentário e Finc. 2016'!E19</f>
        <v>219920.69</v>
      </c>
      <c r="G20" s="87">
        <f>'Orçamentário e Fin. 2017'!E19</f>
        <v>264364.03999999998</v>
      </c>
      <c r="H20" s="79">
        <f t="shared" si="4"/>
        <v>44443.349999999977</v>
      </c>
      <c r="I20" s="108">
        <f t="shared" si="5"/>
        <v>0.20208808002557638</v>
      </c>
    </row>
    <row r="21" spans="1:11" x14ac:dyDescent="0.25">
      <c r="A21" s="95" t="s">
        <v>247</v>
      </c>
      <c r="B21" s="87">
        <v>142949.26999999999</v>
      </c>
      <c r="C21" s="288">
        <v>162198.37</v>
      </c>
      <c r="D21" s="79">
        <f>C21-B21</f>
        <v>19249.100000000006</v>
      </c>
      <c r="E21" s="90">
        <f>D21/B21</f>
        <v>0.13465686113682152</v>
      </c>
      <c r="F21" s="87">
        <v>242033.7</v>
      </c>
      <c r="G21" s="288">
        <v>266252.33</v>
      </c>
      <c r="H21" s="79">
        <f t="shared" si="4"/>
        <v>24218.630000000005</v>
      </c>
      <c r="I21" s="108">
        <f t="shared" si="5"/>
        <v>0.10006304907126572</v>
      </c>
    </row>
    <row r="22" spans="1:11" x14ac:dyDescent="0.25">
      <c r="A22" s="95" t="s">
        <v>248</v>
      </c>
      <c r="B22" s="87">
        <f>'Orçamentário e Finc. 2016'!C21</f>
        <v>144237.62</v>
      </c>
      <c r="C22" s="87">
        <f>'Orçamentário e Fin. 2017'!C21</f>
        <v>146025.46</v>
      </c>
      <c r="D22" s="79">
        <f>C22-B22</f>
        <v>1787.8399999999965</v>
      </c>
      <c r="E22" s="90">
        <f>D22/B22</f>
        <v>1.2395101915852443E-2</v>
      </c>
      <c r="F22" s="87">
        <f>'Orçamentário e Finc. 2016'!E21</f>
        <v>335436.24</v>
      </c>
      <c r="G22" s="87">
        <f>'Orçamentário e Fin. 2017'!E21</f>
        <v>352518.3</v>
      </c>
      <c r="H22" s="79">
        <f t="shared" si="4"/>
        <v>17082.059999999998</v>
      </c>
      <c r="I22" s="108">
        <f t="shared" si="5"/>
        <v>5.0924909008042772E-2</v>
      </c>
    </row>
    <row r="23" spans="1:11" ht="13.8" thickBot="1" x14ac:dyDescent="0.3">
      <c r="A23" s="96"/>
      <c r="B23" s="110"/>
      <c r="C23" s="36"/>
      <c r="D23" s="111"/>
      <c r="E23" s="110"/>
      <c r="F23" s="110"/>
      <c r="G23" s="36"/>
      <c r="H23" s="111"/>
      <c r="I23" s="112"/>
    </row>
    <row r="24" spans="1:11" ht="13.8" thickBot="1" x14ac:dyDescent="0.3">
      <c r="A24" s="127" t="s">
        <v>224</v>
      </c>
      <c r="B24" s="113">
        <f>SUM(B11:B23)</f>
        <v>4118848.02</v>
      </c>
      <c r="C24" s="113">
        <f>SUM(C11:C23)</f>
        <v>4698893.7500000009</v>
      </c>
      <c r="D24" s="125">
        <f>C24-B24</f>
        <v>580045.73000000091</v>
      </c>
      <c r="E24" s="126">
        <f>D24/B24</f>
        <v>0.14082717477883558</v>
      </c>
      <c r="F24" s="113">
        <f>SUM(F11:F23)</f>
        <v>3801069</v>
      </c>
      <c r="G24" s="113">
        <f>SUM(G11:G23)</f>
        <v>3872368.26</v>
      </c>
      <c r="H24" s="121">
        <f>G24-F24</f>
        <v>71299.259999999776</v>
      </c>
      <c r="I24" s="122">
        <f>H24/F24</f>
        <v>1.8757686324557585E-2</v>
      </c>
    </row>
    <row r="25" spans="1:11" x14ac:dyDescent="0.25">
      <c r="A25" s="248"/>
      <c r="B25" s="248"/>
      <c r="C25" s="248"/>
      <c r="D25" s="248"/>
      <c r="E25" s="13"/>
      <c r="F25" s="13"/>
      <c r="G25" s="13"/>
      <c r="H25" s="13"/>
      <c r="I25" s="13"/>
      <c r="J25" s="13"/>
      <c r="K25" s="13"/>
    </row>
    <row r="26" spans="1:11" x14ac:dyDescent="0.25">
      <c r="A26" s="630"/>
      <c r="B26" s="631"/>
      <c r="C26" s="632"/>
      <c r="D26" s="632"/>
      <c r="E26" s="222"/>
      <c r="F26" s="222"/>
      <c r="G26" s="220"/>
      <c r="H26" s="223"/>
      <c r="I26" s="224"/>
      <c r="J26" s="13"/>
      <c r="K26" s="13"/>
    </row>
    <row r="27" spans="1:11" x14ac:dyDescent="0.25">
      <c r="A27" s="631"/>
      <c r="B27" s="631"/>
      <c r="C27" s="632"/>
      <c r="D27" s="632"/>
      <c r="E27" s="221"/>
      <c r="F27" s="221"/>
      <c r="G27" s="310"/>
      <c r="H27" s="15"/>
      <c r="I27" s="13"/>
      <c r="J27" s="13"/>
      <c r="K27" s="13"/>
    </row>
    <row r="28" spans="1:11" x14ac:dyDescent="0.25">
      <c r="A28" s="248"/>
      <c r="B28" s="248"/>
      <c r="C28" s="623"/>
      <c r="D28" s="623"/>
      <c r="E28" s="13"/>
      <c r="F28" s="118"/>
      <c r="G28" s="13"/>
      <c r="H28" s="13"/>
      <c r="I28" s="13"/>
      <c r="J28" s="13"/>
      <c r="K28" s="13"/>
    </row>
    <row r="29" spans="1:11" x14ac:dyDescent="0.25">
      <c r="A29" s="248"/>
      <c r="B29" s="248"/>
      <c r="C29" s="248"/>
      <c r="D29" s="248"/>
      <c r="E29" s="13"/>
      <c r="F29" s="118"/>
      <c r="G29" s="13"/>
      <c r="H29" s="13"/>
      <c r="I29" s="13"/>
      <c r="J29" s="13"/>
      <c r="K29" s="13"/>
    </row>
    <row r="30" spans="1:11" x14ac:dyDescent="0.25">
      <c r="A30" s="248"/>
      <c r="B30" s="248"/>
      <c r="C30" s="248"/>
      <c r="D30" s="249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18"/>
      <c r="I31" s="13"/>
      <c r="J31" s="13"/>
      <c r="K31" s="13"/>
    </row>
    <row r="32" spans="1:11" x14ac:dyDescent="0.25">
      <c r="D32" s="101"/>
    </row>
  </sheetData>
  <mergeCells count="13">
    <mergeCell ref="A1:I1"/>
    <mergeCell ref="A4:I4"/>
    <mergeCell ref="B6:E6"/>
    <mergeCell ref="F6:I6"/>
    <mergeCell ref="B7:E7"/>
    <mergeCell ref="F7:I7"/>
    <mergeCell ref="C28:D28"/>
    <mergeCell ref="E8:E10"/>
    <mergeCell ref="I8:I10"/>
    <mergeCell ref="A26:B26"/>
    <mergeCell ref="C26:D26"/>
    <mergeCell ref="A27:B27"/>
    <mergeCell ref="C27:D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</sheetPr>
  <dimension ref="A1:S125"/>
  <sheetViews>
    <sheetView showGridLines="0" zoomScale="80" zoomScaleNormal="80" workbookViewId="0">
      <pane xSplit="1" topLeftCell="B1" activePane="topRight" state="frozen"/>
      <selection activeCell="A16" sqref="A16"/>
      <selection pane="topRight" activeCell="E16" sqref="E16"/>
    </sheetView>
  </sheetViews>
  <sheetFormatPr defaultColWidth="9.33203125" defaultRowHeight="13.2" x14ac:dyDescent="0.25"/>
  <cols>
    <col min="1" max="1" width="57.6640625" style="13" customWidth="1"/>
    <col min="2" max="2" width="16.33203125" style="13" customWidth="1"/>
    <col min="3" max="3" width="17.33203125" style="13" customWidth="1"/>
    <col min="4" max="4" width="15.6640625" style="13" bestFit="1" customWidth="1"/>
    <col min="5" max="5" width="16" style="13" customWidth="1"/>
    <col min="6" max="7" width="15.6640625" style="13" bestFit="1" customWidth="1"/>
    <col min="8" max="8" width="15.5546875" style="13" customWidth="1"/>
    <col min="9" max="9" width="16.6640625" style="13" customWidth="1"/>
    <col min="10" max="10" width="15.6640625" style="13" bestFit="1" customWidth="1"/>
    <col min="11" max="14" width="16.44140625" style="13" bestFit="1" customWidth="1"/>
    <col min="15" max="15" width="14.6640625" style="13" customWidth="1"/>
    <col min="16" max="16" width="13.6640625" style="13" customWidth="1"/>
    <col min="17" max="17" width="20.6640625" style="13" customWidth="1"/>
    <col min="18" max="18" width="17" style="13" bestFit="1" customWidth="1"/>
    <col min="19" max="16384" width="9.33203125" style="13"/>
  </cols>
  <sheetData>
    <row r="1" spans="1:19" ht="31.5" customHeight="1" thickBot="1" x14ac:dyDescent="0.3">
      <c r="A1" s="541" t="s">
        <v>22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</row>
    <row r="2" spans="1:19" ht="19.5" customHeight="1" thickBot="1" x14ac:dyDescent="0.3">
      <c r="A2" s="542" t="s">
        <v>23</v>
      </c>
      <c r="B2" s="544" t="s">
        <v>24</v>
      </c>
      <c r="C2" s="550" t="s">
        <v>25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2"/>
      <c r="O2" s="546" t="s">
        <v>26</v>
      </c>
      <c r="P2" s="546" t="s">
        <v>27</v>
      </c>
      <c r="Q2" s="548" t="s">
        <v>28</v>
      </c>
    </row>
    <row r="3" spans="1:19" ht="18" customHeight="1" thickBot="1" x14ac:dyDescent="0.3">
      <c r="A3" s="543"/>
      <c r="B3" s="545"/>
      <c r="C3" s="247" t="s">
        <v>29</v>
      </c>
      <c r="D3" s="247" t="s">
        <v>30</v>
      </c>
      <c r="E3" s="328" t="s">
        <v>31</v>
      </c>
      <c r="F3" s="328" t="s">
        <v>32</v>
      </c>
      <c r="G3" s="328" t="s">
        <v>33</v>
      </c>
      <c r="H3" s="328" t="s">
        <v>34</v>
      </c>
      <c r="I3" s="329" t="s">
        <v>35</v>
      </c>
      <c r="J3" s="330" t="s">
        <v>36</v>
      </c>
      <c r="K3" s="328" t="s">
        <v>37</v>
      </c>
      <c r="L3" s="328" t="s">
        <v>38</v>
      </c>
      <c r="M3" s="328" t="s">
        <v>39</v>
      </c>
      <c r="N3" s="328" t="s">
        <v>40</v>
      </c>
      <c r="O3" s="547"/>
      <c r="P3" s="547"/>
      <c r="Q3" s="549"/>
    </row>
    <row r="4" spans="1:19" ht="15" customHeight="1" x14ac:dyDescent="0.25">
      <c r="A4" s="137" t="s">
        <v>41</v>
      </c>
      <c r="B4" s="446">
        <v>1352256.28</v>
      </c>
      <c r="C4" s="139">
        <v>94970.52</v>
      </c>
      <c r="D4" s="319">
        <v>95799.38</v>
      </c>
      <c r="E4" s="142">
        <v>91636.59</v>
      </c>
      <c r="F4" s="142">
        <v>100459.7</v>
      </c>
      <c r="G4" s="142"/>
      <c r="H4" s="142"/>
      <c r="I4" s="142"/>
      <c r="J4" s="141"/>
      <c r="K4" s="142"/>
      <c r="L4" s="142"/>
      <c r="M4" s="142"/>
      <c r="N4" s="142"/>
      <c r="O4" s="142">
        <f>N4+M4+L4+K4+J4+I4+H4+G4+F4+E4+D4+C4</f>
        <v>382866.19</v>
      </c>
      <c r="P4" s="144">
        <f>O4/B4</f>
        <v>0.28313138246250186</v>
      </c>
      <c r="Q4" s="331">
        <f>B4-O4</f>
        <v>969390.09000000008</v>
      </c>
      <c r="S4" s="135"/>
    </row>
    <row r="5" spans="1:19" ht="15" customHeight="1" x14ac:dyDescent="0.25">
      <c r="A5" s="140" t="s">
        <v>42</v>
      </c>
      <c r="B5" s="447">
        <v>134352.32999999999</v>
      </c>
      <c r="C5" s="142">
        <v>8155.94</v>
      </c>
      <c r="D5" s="304">
        <v>8319.9699999999993</v>
      </c>
      <c r="E5" s="142">
        <v>8880.75</v>
      </c>
      <c r="F5" s="142">
        <v>9442</v>
      </c>
      <c r="G5" s="142"/>
      <c r="H5" s="142"/>
      <c r="I5" s="142"/>
      <c r="J5" s="141"/>
      <c r="K5" s="142"/>
      <c r="L5" s="142"/>
      <c r="M5" s="142"/>
      <c r="N5" s="142"/>
      <c r="O5" s="142">
        <f>N5+M5+L5+K5+J5+I5+H5+G5+F5+E5+D5+C5</f>
        <v>34798.660000000003</v>
      </c>
      <c r="P5" s="144">
        <f t="shared" ref="P5:P14" si="0">O5/B5</f>
        <v>0.25901046896618768</v>
      </c>
      <c r="Q5" s="331">
        <f t="shared" ref="Q5:Q14" si="1">B5-O5</f>
        <v>99553.669999999984</v>
      </c>
    </row>
    <row r="6" spans="1:19" ht="15" customHeight="1" x14ac:dyDescent="0.25">
      <c r="A6" s="140" t="s">
        <v>43</v>
      </c>
      <c r="B6" s="447">
        <v>12800</v>
      </c>
      <c r="C6" s="142">
        <v>1000</v>
      </c>
      <c r="D6" s="304">
        <v>1000</v>
      </c>
      <c r="E6" s="142">
        <v>983.33</v>
      </c>
      <c r="F6" s="142">
        <v>683.33</v>
      </c>
      <c r="G6" s="142"/>
      <c r="H6" s="142"/>
      <c r="I6" s="142"/>
      <c r="J6" s="141"/>
      <c r="K6" s="142"/>
      <c r="L6" s="142"/>
      <c r="M6" s="142"/>
      <c r="N6" s="142"/>
      <c r="O6" s="142">
        <f t="shared" ref="O6:O14" si="2">N6+M6+L6+K6+J6+I6+H6+G6+F6+E6+D6+C6</f>
        <v>3666.66</v>
      </c>
      <c r="P6" s="144">
        <f t="shared" si="0"/>
        <v>0.28645781249999996</v>
      </c>
      <c r="Q6" s="331">
        <f t="shared" si="1"/>
        <v>9133.34</v>
      </c>
    </row>
    <row r="7" spans="1:19" ht="15" customHeight="1" x14ac:dyDescent="0.25">
      <c r="A7" s="140" t="s">
        <v>44</v>
      </c>
      <c r="B7" s="447">
        <v>13749.97</v>
      </c>
      <c r="C7" s="142">
        <v>2581.34</v>
      </c>
      <c r="D7" s="304"/>
      <c r="E7" s="142">
        <v>1989.68</v>
      </c>
      <c r="F7" s="142">
        <v>1449</v>
      </c>
      <c r="G7" s="142"/>
      <c r="H7" s="142"/>
      <c r="I7" s="142"/>
      <c r="J7" s="141"/>
      <c r="K7" s="142"/>
      <c r="L7" s="142"/>
      <c r="M7" s="142"/>
      <c r="N7" s="142"/>
      <c r="O7" s="142">
        <f>N7+M7+L7+K7+J7+I7+H7+G7+F7+E7+D7+C7</f>
        <v>6020.02</v>
      </c>
      <c r="P7" s="144"/>
      <c r="Q7" s="331">
        <f t="shared" si="1"/>
        <v>7729.9499999999989</v>
      </c>
    </row>
    <row r="8" spans="1:19" ht="15" customHeight="1" x14ac:dyDescent="0.25">
      <c r="A8" s="140" t="s">
        <v>45</v>
      </c>
      <c r="B8" s="447">
        <v>130684.53</v>
      </c>
      <c r="C8" s="142">
        <v>3087.55</v>
      </c>
      <c r="D8" s="304">
        <v>3110.2</v>
      </c>
      <c r="E8" s="142">
        <v>46494.73</v>
      </c>
      <c r="F8" s="142">
        <v>4832.75</v>
      </c>
      <c r="G8" s="142"/>
      <c r="H8" s="142"/>
      <c r="I8" s="142"/>
      <c r="J8" s="141"/>
      <c r="K8" s="142"/>
      <c r="L8" s="142"/>
      <c r="M8" s="142"/>
      <c r="N8" s="142"/>
      <c r="O8" s="142">
        <f>N8+M8+L8+K8+J8+I8+H8+G8+F8+E8+D8+C8</f>
        <v>57525.23</v>
      </c>
      <c r="P8" s="144">
        <f t="shared" si="0"/>
        <v>0.44018392995712657</v>
      </c>
      <c r="Q8" s="331">
        <f t="shared" si="1"/>
        <v>73159.299999999988</v>
      </c>
    </row>
    <row r="9" spans="1:19" ht="15" customHeight="1" x14ac:dyDescent="0.25">
      <c r="A9" s="140" t="s">
        <v>46</v>
      </c>
      <c r="B9" s="447">
        <v>120372.05</v>
      </c>
      <c r="C9" s="142">
        <v>11687.63</v>
      </c>
      <c r="D9" s="304">
        <v>13416.77</v>
      </c>
      <c r="E9" s="142">
        <v>12329.97</v>
      </c>
      <c r="F9" s="142">
        <v>2173.5</v>
      </c>
      <c r="G9" s="142"/>
      <c r="H9" s="142"/>
      <c r="I9" s="142"/>
      <c r="J9" s="141"/>
      <c r="K9" s="142"/>
      <c r="L9" s="142"/>
      <c r="M9" s="142"/>
      <c r="N9" s="142"/>
      <c r="O9" s="142">
        <f>N9+M9+L9+K9+J9+I9+H9+G9+F9+E9+D9+C9</f>
        <v>39607.869999999995</v>
      </c>
      <c r="P9" s="144">
        <f t="shared" si="0"/>
        <v>0.32904540547411126</v>
      </c>
      <c r="Q9" s="331">
        <f t="shared" si="1"/>
        <v>80764.180000000008</v>
      </c>
    </row>
    <row r="10" spans="1:19" ht="15" customHeight="1" x14ac:dyDescent="0.25">
      <c r="A10" s="140" t="s">
        <v>47</v>
      </c>
      <c r="B10" s="447">
        <v>22200</v>
      </c>
      <c r="C10" s="142">
        <v>0</v>
      </c>
      <c r="D10" s="304"/>
      <c r="E10" s="142"/>
      <c r="F10" s="142"/>
      <c r="G10" s="142"/>
      <c r="H10" s="142"/>
      <c r="I10" s="142"/>
      <c r="J10" s="141"/>
      <c r="K10" s="142"/>
      <c r="L10" s="142"/>
      <c r="M10" s="142"/>
      <c r="N10" s="142"/>
      <c r="O10" s="142">
        <f t="shared" si="2"/>
        <v>0</v>
      </c>
      <c r="P10" s="144">
        <f t="shared" si="0"/>
        <v>0</v>
      </c>
      <c r="Q10" s="331">
        <f t="shared" si="1"/>
        <v>22200</v>
      </c>
    </row>
    <row r="11" spans="1:19" ht="15" customHeight="1" x14ac:dyDescent="0.25">
      <c r="A11" s="140" t="s">
        <v>48</v>
      </c>
      <c r="B11" s="447">
        <v>40124.019999999997</v>
      </c>
      <c r="C11" s="142">
        <v>3895.88</v>
      </c>
      <c r="D11" s="304">
        <v>4472.26</v>
      </c>
      <c r="E11" s="142">
        <v>4109.9799999999996</v>
      </c>
      <c r="F11" s="142">
        <v>724.5</v>
      </c>
      <c r="G11" s="142"/>
      <c r="H11" s="142"/>
      <c r="I11" s="142"/>
      <c r="J11" s="141"/>
      <c r="K11" s="142"/>
      <c r="L11" s="142"/>
      <c r="M11" s="142"/>
      <c r="N11" s="142"/>
      <c r="O11" s="142">
        <f>N11+M11+L11+K11+J11+I11+H11+G11+F11+E11+D11+C11</f>
        <v>13202.619999999999</v>
      </c>
      <c r="P11" s="144">
        <f t="shared" si="0"/>
        <v>0.32904529506265823</v>
      </c>
      <c r="Q11" s="331">
        <f t="shared" si="1"/>
        <v>26921.399999999998</v>
      </c>
    </row>
    <row r="12" spans="1:19" ht="15" customHeight="1" x14ac:dyDescent="0.25">
      <c r="A12" s="140" t="s">
        <v>49</v>
      </c>
      <c r="B12" s="447">
        <v>0</v>
      </c>
      <c r="C12" s="142"/>
      <c r="D12" s="304"/>
      <c r="E12" s="142"/>
      <c r="F12" s="142"/>
      <c r="G12" s="142"/>
      <c r="H12" s="142"/>
      <c r="I12" s="142"/>
      <c r="J12" s="141"/>
      <c r="K12" s="142"/>
      <c r="L12" s="142"/>
      <c r="M12" s="142"/>
      <c r="N12" s="142"/>
      <c r="O12" s="142">
        <f t="shared" si="2"/>
        <v>0</v>
      </c>
      <c r="P12" s="144" t="e">
        <f t="shared" si="0"/>
        <v>#DIV/0!</v>
      </c>
      <c r="Q12" s="331">
        <f t="shared" si="1"/>
        <v>0</v>
      </c>
    </row>
    <row r="13" spans="1:19" ht="15" customHeight="1" x14ac:dyDescent="0.25">
      <c r="A13" s="140" t="s">
        <v>50</v>
      </c>
      <c r="B13" s="448">
        <v>0</v>
      </c>
      <c r="C13" s="142"/>
      <c r="D13" s="304"/>
      <c r="E13" s="142"/>
      <c r="F13" s="142"/>
      <c r="G13" s="142"/>
      <c r="H13" s="142"/>
      <c r="I13" s="142"/>
      <c r="J13" s="143"/>
      <c r="K13" s="142"/>
      <c r="L13" s="142"/>
      <c r="M13" s="142"/>
      <c r="N13" s="142"/>
      <c r="O13" s="142">
        <f t="shared" si="2"/>
        <v>0</v>
      </c>
      <c r="P13" s="144" t="e">
        <f t="shared" si="0"/>
        <v>#DIV/0!</v>
      </c>
      <c r="Q13" s="331">
        <f t="shared" si="1"/>
        <v>0</v>
      </c>
    </row>
    <row r="14" spans="1:19" ht="15" customHeight="1" thickBot="1" x14ac:dyDescent="0.3">
      <c r="A14" s="145" t="s">
        <v>51</v>
      </c>
      <c r="B14" s="449">
        <v>0</v>
      </c>
      <c r="C14" s="146"/>
      <c r="D14" s="320"/>
      <c r="E14" s="146"/>
      <c r="F14" s="146"/>
      <c r="G14" s="146"/>
      <c r="H14" s="146"/>
      <c r="I14" s="146"/>
      <c r="J14" s="147"/>
      <c r="K14" s="146"/>
      <c r="L14" s="146"/>
      <c r="M14" s="146"/>
      <c r="N14" s="146"/>
      <c r="O14" s="142">
        <f t="shared" si="2"/>
        <v>0</v>
      </c>
      <c r="P14" s="144" t="e">
        <f t="shared" si="0"/>
        <v>#DIV/0!</v>
      </c>
      <c r="Q14" s="331">
        <f t="shared" si="1"/>
        <v>0</v>
      </c>
    </row>
    <row r="15" spans="1:19" ht="15" customHeight="1" thickBot="1" x14ac:dyDescent="0.3">
      <c r="A15" s="179" t="s">
        <v>52</v>
      </c>
      <c r="B15" s="182">
        <f>SUM(B4:B14)</f>
        <v>1826539.1800000002</v>
      </c>
      <c r="C15" s="181">
        <f>SUM(C4:C14)</f>
        <v>125378.86000000002</v>
      </c>
      <c r="D15" s="303">
        <f>SUM(D4:D14)</f>
        <v>126118.58</v>
      </c>
      <c r="E15" s="338">
        <f>E14+E13+E9+E8+E7+E6+E5+E4+E11</f>
        <v>166425.03</v>
      </c>
      <c r="F15" s="186">
        <f>SUM(F4:F14)</f>
        <v>119764.78</v>
      </c>
      <c r="G15" s="186">
        <f>G14+G13+G9+G8+G7+G6+G5+G4</f>
        <v>0</v>
      </c>
      <c r="H15" s="186">
        <f>SUM(H4:H14)</f>
        <v>0</v>
      </c>
      <c r="I15" s="186">
        <f>I14+I13+I9+I8+I7+I6+I5+I4</f>
        <v>0</v>
      </c>
      <c r="J15" s="186">
        <f>J14+J13+J9+J8+J7+J6+J5+J4</f>
        <v>0</v>
      </c>
      <c r="K15" s="186">
        <f>K4+K5+K6+K7+K8+K9+K13+K14</f>
        <v>0</v>
      </c>
      <c r="L15" s="186">
        <f>SUM(L4:L14)</f>
        <v>0</v>
      </c>
      <c r="M15" s="186">
        <f>M14+M13+M9+M8+M7+M6+M5+M4</f>
        <v>0</v>
      </c>
      <c r="N15" s="186">
        <f>SUM(N4:N14)</f>
        <v>0</v>
      </c>
      <c r="O15" s="186">
        <f>SUM(O4:O14)</f>
        <v>537687.24999999988</v>
      </c>
      <c r="P15" s="339">
        <f>O15/B15</f>
        <v>0.29437487894456216</v>
      </c>
      <c r="Q15" s="340">
        <f>SUM(Q4:Q14)</f>
        <v>1288851.93</v>
      </c>
    </row>
    <row r="16" spans="1:19" ht="15" customHeight="1" x14ac:dyDescent="0.25">
      <c r="A16" s="137" t="s">
        <v>53</v>
      </c>
      <c r="B16" s="149">
        <v>389561.68</v>
      </c>
      <c r="C16" s="139">
        <v>25501.599999999999</v>
      </c>
      <c r="D16" s="319">
        <v>25213.88</v>
      </c>
      <c r="E16" s="334">
        <v>25938.14</v>
      </c>
      <c r="F16" s="334">
        <v>24944.18</v>
      </c>
      <c r="G16" s="334"/>
      <c r="H16" s="334"/>
      <c r="I16" s="334"/>
      <c r="J16" s="336"/>
      <c r="K16" s="334"/>
      <c r="L16" s="334"/>
      <c r="M16" s="334"/>
      <c r="N16" s="334"/>
      <c r="O16" s="142">
        <f>N16+M16+L16+K16+J16+I16+H16+G16+F16+E16+D16+C16</f>
        <v>101597.79999999999</v>
      </c>
      <c r="P16" s="337">
        <f t="shared" ref="P16:P31" si="3">O16/B16</f>
        <v>0.26080029226693957</v>
      </c>
      <c r="Q16" s="331">
        <f>B16-O16</f>
        <v>287963.88</v>
      </c>
    </row>
    <row r="17" spans="1:17" ht="15" customHeight="1" x14ac:dyDescent="0.25">
      <c r="A17" s="150" t="s">
        <v>54</v>
      </c>
      <c r="B17" s="151">
        <v>162569.54999999999</v>
      </c>
      <c r="C17" s="155">
        <v>9735.9699999999993</v>
      </c>
      <c r="D17" s="321">
        <v>9630.7199999999993</v>
      </c>
      <c r="E17" s="142">
        <v>13370.98</v>
      </c>
      <c r="F17" s="142">
        <v>9668.17</v>
      </c>
      <c r="G17" s="142"/>
      <c r="H17" s="142"/>
      <c r="I17" s="142"/>
      <c r="J17" s="141"/>
      <c r="K17" s="142"/>
      <c r="L17" s="142"/>
      <c r="M17" s="142"/>
      <c r="N17" s="142"/>
      <c r="O17" s="142">
        <f>N17+M17+L17+K17+J17+I17+H17+G17+F17+E17+D17+C17</f>
        <v>42405.840000000004</v>
      </c>
      <c r="P17" s="337">
        <f t="shared" si="3"/>
        <v>0.26084737270909591</v>
      </c>
      <c r="Q17" s="331">
        <f>B17-O17</f>
        <v>120163.70999999999</v>
      </c>
    </row>
    <row r="18" spans="1:17" ht="15" customHeight="1" thickBot="1" x14ac:dyDescent="0.3">
      <c r="A18" s="153" t="s">
        <v>55</v>
      </c>
      <c r="B18" s="154">
        <v>18115.89</v>
      </c>
      <c r="C18" s="155">
        <v>1186.1199999999999</v>
      </c>
      <c r="D18" s="305">
        <v>1172.74</v>
      </c>
      <c r="E18" s="146">
        <v>1206.43</v>
      </c>
      <c r="F18" s="146">
        <v>1160.19</v>
      </c>
      <c r="G18" s="146"/>
      <c r="H18" s="146"/>
      <c r="I18" s="146"/>
      <c r="J18" s="252"/>
      <c r="K18" s="146"/>
      <c r="L18" s="146"/>
      <c r="M18" s="146"/>
      <c r="N18" s="146"/>
      <c r="O18" s="142">
        <f>N18+M18+L18+K18+J18+I18+H18+G18+F18+E18+D18+C18</f>
        <v>4725.4799999999996</v>
      </c>
      <c r="P18" s="337">
        <f t="shared" si="3"/>
        <v>0.26084724515328805</v>
      </c>
      <c r="Q18" s="331">
        <f>B18-O18</f>
        <v>13390.41</v>
      </c>
    </row>
    <row r="19" spans="1:17" ht="15" customHeight="1" thickBot="1" x14ac:dyDescent="0.3">
      <c r="A19" s="179" t="s">
        <v>56</v>
      </c>
      <c r="B19" s="180">
        <f>SUM(B16:B18)</f>
        <v>570247.12</v>
      </c>
      <c r="C19" s="181">
        <f>C16+C17+C18</f>
        <v>36423.69</v>
      </c>
      <c r="D19" s="303">
        <f>D16+D17+D18</f>
        <v>36017.339999999997</v>
      </c>
      <c r="E19" s="338">
        <f>E16+E17+E18</f>
        <v>40515.549999999996</v>
      </c>
      <c r="F19" s="186">
        <f>SUM(F16:F18)</f>
        <v>35772.54</v>
      </c>
      <c r="G19" s="186">
        <f>G16+G17+G18</f>
        <v>0</v>
      </c>
      <c r="H19" s="186">
        <f>SUM(H16:H18)</f>
        <v>0</v>
      </c>
      <c r="I19" s="186">
        <f>I16+I17+I18</f>
        <v>0</v>
      </c>
      <c r="J19" s="186">
        <f>J16+J17+J18</f>
        <v>0</v>
      </c>
      <c r="K19" s="186">
        <f>K16+K17+K18</f>
        <v>0</v>
      </c>
      <c r="L19" s="186">
        <f>SUM(L16:L18)</f>
        <v>0</v>
      </c>
      <c r="M19" s="186">
        <f>M16+M17+M18</f>
        <v>0</v>
      </c>
      <c r="N19" s="186">
        <f>SUM(N16:N18)</f>
        <v>0</v>
      </c>
      <c r="O19" s="186">
        <f>SUM(O16:O18)</f>
        <v>148729.12</v>
      </c>
      <c r="P19" s="339">
        <f>O19/B19</f>
        <v>0.26081520587074597</v>
      </c>
      <c r="Q19" s="340">
        <f>SUM(Q16:Q18)</f>
        <v>421517.99999999994</v>
      </c>
    </row>
    <row r="20" spans="1:17" ht="15" customHeight="1" thickBot="1" x14ac:dyDescent="0.3">
      <c r="A20" s="156" t="s">
        <v>57</v>
      </c>
      <c r="B20" s="253">
        <v>1200</v>
      </c>
      <c r="C20" s="402">
        <v>38.82</v>
      </c>
      <c r="D20" s="322">
        <v>36.69</v>
      </c>
      <c r="E20" s="166">
        <v>36.69</v>
      </c>
      <c r="F20" s="166">
        <v>32.43</v>
      </c>
      <c r="G20" s="166"/>
      <c r="H20" s="166"/>
      <c r="I20" s="166"/>
      <c r="J20" s="171"/>
      <c r="K20" s="166"/>
      <c r="L20" s="166"/>
      <c r="M20" s="166"/>
      <c r="N20" s="166"/>
      <c r="O20" s="142">
        <f>N20+M20+L20+K20+J20+I20+H20+G20+F20+E20+D20+C20</f>
        <v>144.63</v>
      </c>
      <c r="P20" s="337">
        <f t="shared" si="3"/>
        <v>0.12052499999999999</v>
      </c>
      <c r="Q20" s="331">
        <f>B20-O20</f>
        <v>1055.3699999999999</v>
      </c>
    </row>
    <row r="21" spans="1:17" ht="15" customHeight="1" thickBot="1" x14ac:dyDescent="0.3">
      <c r="A21" s="179" t="s">
        <v>58</v>
      </c>
      <c r="B21" s="180">
        <f>SUM(B20)</f>
        <v>1200</v>
      </c>
      <c r="C21" s="181">
        <f>C20</f>
        <v>38.82</v>
      </c>
      <c r="D21" s="303">
        <f>D20</f>
        <v>36.69</v>
      </c>
      <c r="E21" s="338">
        <f>E20</f>
        <v>36.69</v>
      </c>
      <c r="F21" s="186">
        <f t="shared" ref="F21:M21" si="4">F20</f>
        <v>32.43</v>
      </c>
      <c r="G21" s="186">
        <f>G20</f>
        <v>0</v>
      </c>
      <c r="H21" s="186">
        <f t="shared" si="4"/>
        <v>0</v>
      </c>
      <c r="I21" s="186">
        <f>SUM(I20)</f>
        <v>0</v>
      </c>
      <c r="J21" s="186">
        <f t="shared" si="4"/>
        <v>0</v>
      </c>
      <c r="K21" s="186">
        <f t="shared" si="4"/>
        <v>0</v>
      </c>
      <c r="L21" s="186">
        <f t="shared" si="4"/>
        <v>0</v>
      </c>
      <c r="M21" s="186">
        <f t="shared" si="4"/>
        <v>0</v>
      </c>
      <c r="N21" s="186">
        <f>N20</f>
        <v>0</v>
      </c>
      <c r="O21" s="186">
        <f>SUM(O20)</f>
        <v>144.63</v>
      </c>
      <c r="P21" s="339">
        <f>O21/B21</f>
        <v>0.12052499999999999</v>
      </c>
      <c r="Q21" s="340">
        <f>SUM(Q20)</f>
        <v>1055.3699999999999</v>
      </c>
    </row>
    <row r="22" spans="1:17" ht="15" customHeight="1" x14ac:dyDescent="0.25">
      <c r="A22" s="137" t="s">
        <v>59</v>
      </c>
      <c r="B22" s="151">
        <v>36000</v>
      </c>
      <c r="C22" s="157">
        <v>2745.6</v>
      </c>
      <c r="D22" s="323">
        <v>2941.8</v>
      </c>
      <c r="E22" s="334">
        <v>3038</v>
      </c>
      <c r="F22" s="334"/>
      <c r="G22" s="334"/>
      <c r="H22" s="334"/>
      <c r="I22" s="334"/>
      <c r="J22" s="336"/>
      <c r="K22" s="334"/>
      <c r="L22" s="334"/>
      <c r="M22" s="334"/>
      <c r="N22" s="334"/>
      <c r="O22" s="142">
        <f>N22+M22+L22+K22+J22+I22+H22+G22+F22+E22+D22+C22</f>
        <v>8725.4</v>
      </c>
      <c r="P22" s="337">
        <f t="shared" si="3"/>
        <v>0.24237222222222221</v>
      </c>
      <c r="Q22" s="331">
        <f>B22-O22</f>
        <v>27274.6</v>
      </c>
    </row>
    <row r="23" spans="1:17" ht="15" customHeight="1" x14ac:dyDescent="0.25">
      <c r="A23" s="150" t="s">
        <v>60</v>
      </c>
      <c r="B23" s="151">
        <v>242957.64</v>
      </c>
      <c r="C23" s="152">
        <v>18268.740000000002</v>
      </c>
      <c r="D23" s="321">
        <v>17306.28</v>
      </c>
      <c r="E23" s="142">
        <v>17306.28</v>
      </c>
      <c r="F23" s="142">
        <v>17306.28</v>
      </c>
      <c r="G23" s="142"/>
      <c r="H23" s="142"/>
      <c r="I23" s="142"/>
      <c r="J23" s="141"/>
      <c r="K23" s="142"/>
      <c r="L23" s="142"/>
      <c r="M23" s="142"/>
      <c r="N23" s="142"/>
      <c r="O23" s="142">
        <f>N23+M23+L23+K23+J23+I23+H23+G23+F23+E23+D23+C23</f>
        <v>70187.58</v>
      </c>
      <c r="P23" s="337">
        <f t="shared" si="3"/>
        <v>0.28888813704314875</v>
      </c>
      <c r="Q23" s="331">
        <f>B23-O23</f>
        <v>172770.06</v>
      </c>
    </row>
    <row r="24" spans="1:17" ht="15" customHeight="1" x14ac:dyDescent="0.25">
      <c r="A24" s="150" t="s">
        <v>61</v>
      </c>
      <c r="B24" s="151">
        <v>297024</v>
      </c>
      <c r="C24" s="152">
        <v>24395.919999999998</v>
      </c>
      <c r="D24" s="321">
        <v>21688.79</v>
      </c>
      <c r="E24" s="142">
        <v>21688.79</v>
      </c>
      <c r="F24" s="142">
        <v>21762.07</v>
      </c>
      <c r="G24" s="142"/>
      <c r="H24" s="142"/>
      <c r="I24" s="142"/>
      <c r="J24" s="141"/>
      <c r="K24" s="142"/>
      <c r="L24" s="142"/>
      <c r="M24" s="142"/>
      <c r="N24" s="142"/>
      <c r="O24" s="142">
        <f>N24+M24+L24+K24+J24+I24+H24+G24+F24+E24+D24+C24</f>
        <v>89535.57</v>
      </c>
      <c r="P24" s="337">
        <f t="shared" si="3"/>
        <v>0.30144220669036847</v>
      </c>
      <c r="Q24" s="331">
        <f>B24-O24</f>
        <v>207488.43</v>
      </c>
    </row>
    <row r="25" spans="1:17" ht="15" customHeight="1" thickBot="1" x14ac:dyDescent="0.3">
      <c r="A25" s="153" t="s">
        <v>62</v>
      </c>
      <c r="B25" s="154">
        <v>18733.310000000001</v>
      </c>
      <c r="C25" s="155">
        <v>975.7</v>
      </c>
      <c r="D25" s="305">
        <v>975.7</v>
      </c>
      <c r="E25" s="146">
        <v>975.7</v>
      </c>
      <c r="F25" s="146">
        <v>975.7</v>
      </c>
      <c r="G25" s="146"/>
      <c r="H25" s="146"/>
      <c r="I25" s="146"/>
      <c r="J25" s="252"/>
      <c r="K25" s="146"/>
      <c r="L25" s="146"/>
      <c r="M25" s="146"/>
      <c r="N25" s="146"/>
      <c r="O25" s="142">
        <f>N25+M25+L25+K25+J25+I25+H25+G25+F25+E25+D25+C25</f>
        <v>3902.8</v>
      </c>
      <c r="P25" s="337">
        <f t="shared" si="3"/>
        <v>0.20833477906467143</v>
      </c>
      <c r="Q25" s="331">
        <f>B25-O25</f>
        <v>14830.510000000002</v>
      </c>
    </row>
    <row r="26" spans="1:17" ht="15" customHeight="1" thickBot="1" x14ac:dyDescent="0.3">
      <c r="A26" s="179" t="s">
        <v>63</v>
      </c>
      <c r="B26" s="180">
        <f>SUM(B22:B25)</f>
        <v>594714.95000000007</v>
      </c>
      <c r="C26" s="181">
        <f>SUM(C22:C25)</f>
        <v>46385.959999999992</v>
      </c>
      <c r="D26" s="303">
        <f>D22+D23+D24+D25</f>
        <v>42912.569999999992</v>
      </c>
      <c r="E26" s="338">
        <f>E22+E23+E24+E25</f>
        <v>43008.77</v>
      </c>
      <c r="F26" s="186">
        <f>SUM(F22:F25)</f>
        <v>40044.049999999996</v>
      </c>
      <c r="G26" s="186">
        <f>G22+G23+G24+G25</f>
        <v>0</v>
      </c>
      <c r="H26" s="186">
        <f>SUM(H22:H25)</f>
        <v>0</v>
      </c>
      <c r="I26" s="186">
        <f>I22+I23+I24+I25</f>
        <v>0</v>
      </c>
      <c r="J26" s="186">
        <f>J22+J23+J24+J25</f>
        <v>0</v>
      </c>
      <c r="K26" s="186">
        <f>K22+K23+K24+K25</f>
        <v>0</v>
      </c>
      <c r="L26" s="186">
        <f>SUM(L22:L25)</f>
        <v>0</v>
      </c>
      <c r="M26" s="186">
        <f>M22+M23+M24+M25</f>
        <v>0</v>
      </c>
      <c r="N26" s="186">
        <f>SUM(N22:N25)</f>
        <v>0</v>
      </c>
      <c r="O26" s="186">
        <f>SUM(O22:O25)</f>
        <v>172351.34999999998</v>
      </c>
      <c r="P26" s="339">
        <f>O26/B26</f>
        <v>0.28980497295384949</v>
      </c>
      <c r="Q26" s="340">
        <f>SUM(Q22:Q25)</f>
        <v>422363.6</v>
      </c>
    </row>
    <row r="27" spans="1:17" ht="15" customHeight="1" x14ac:dyDescent="0.25">
      <c r="A27" s="137" t="s">
        <v>64</v>
      </c>
      <c r="B27" s="151">
        <v>15125.75</v>
      </c>
      <c r="C27" s="139">
        <v>345</v>
      </c>
      <c r="D27" s="319"/>
      <c r="E27" s="334">
        <v>657</v>
      </c>
      <c r="F27" s="334"/>
      <c r="G27" s="334"/>
      <c r="H27" s="334"/>
      <c r="I27" s="334"/>
      <c r="J27" s="335"/>
      <c r="K27" s="334"/>
      <c r="L27" s="334"/>
      <c r="M27" s="334"/>
      <c r="N27" s="334"/>
      <c r="O27" s="142">
        <f t="shared" ref="O27:O78" si="5">N27+M27+L27+K27+J27+I27+H27+G27+F27+E27+D27+C27</f>
        <v>1002</v>
      </c>
      <c r="P27" s="337">
        <f t="shared" si="3"/>
        <v>6.6244649025668151E-2</v>
      </c>
      <c r="Q27" s="331">
        <f t="shared" ref="Q27:Q35" si="6">B27-O27</f>
        <v>14123.75</v>
      </c>
    </row>
    <row r="28" spans="1:17" ht="15" customHeight="1" x14ac:dyDescent="0.25">
      <c r="A28" s="150" t="s">
        <v>65</v>
      </c>
      <c r="B28" s="151">
        <v>6200</v>
      </c>
      <c r="C28" s="152">
        <v>1115.8</v>
      </c>
      <c r="D28" s="321">
        <v>234</v>
      </c>
      <c r="E28" s="142">
        <v>571.41999999999996</v>
      </c>
      <c r="F28" s="142"/>
      <c r="G28" s="142"/>
      <c r="H28" s="142"/>
      <c r="I28" s="142"/>
      <c r="J28" s="141"/>
      <c r="K28" s="142"/>
      <c r="L28" s="142"/>
      <c r="M28" s="142"/>
      <c r="N28" s="142"/>
      <c r="O28" s="142">
        <f t="shared" si="5"/>
        <v>1921.2199999999998</v>
      </c>
      <c r="P28" s="337">
        <f t="shared" si="3"/>
        <v>0.30987419354838708</v>
      </c>
      <c r="Q28" s="331">
        <f>B28-O28</f>
        <v>4278.7800000000007</v>
      </c>
    </row>
    <row r="29" spans="1:17" ht="15" customHeight="1" x14ac:dyDescent="0.25">
      <c r="A29" s="311" t="s">
        <v>66</v>
      </c>
      <c r="B29" s="151">
        <v>1200</v>
      </c>
      <c r="C29" s="152">
        <v>0</v>
      </c>
      <c r="D29" s="321"/>
      <c r="E29" s="142"/>
      <c r="F29" s="142"/>
      <c r="G29" s="142"/>
      <c r="H29" s="142"/>
      <c r="I29" s="142"/>
      <c r="J29" s="143"/>
      <c r="K29" s="142"/>
      <c r="L29" s="142"/>
      <c r="M29" s="142"/>
      <c r="N29" s="142"/>
      <c r="O29" s="142">
        <f t="shared" si="5"/>
        <v>0</v>
      </c>
      <c r="P29" s="337">
        <f t="shared" si="3"/>
        <v>0</v>
      </c>
      <c r="Q29" s="331">
        <f t="shared" si="6"/>
        <v>1200</v>
      </c>
    </row>
    <row r="30" spans="1:17" ht="15" customHeight="1" x14ac:dyDescent="0.25">
      <c r="A30" s="150" t="s">
        <v>67</v>
      </c>
      <c r="B30" s="151">
        <v>5000</v>
      </c>
      <c r="C30" s="152">
        <v>0</v>
      </c>
      <c r="D30" s="321"/>
      <c r="E30" s="142"/>
      <c r="F30" s="142"/>
      <c r="G30" s="142"/>
      <c r="H30" s="142"/>
      <c r="I30" s="142"/>
      <c r="J30" s="143"/>
      <c r="K30" s="142"/>
      <c r="L30" s="142"/>
      <c r="M30" s="142"/>
      <c r="N30" s="142"/>
      <c r="O30" s="142">
        <f t="shared" si="5"/>
        <v>0</v>
      </c>
      <c r="P30" s="337">
        <f t="shared" si="3"/>
        <v>0</v>
      </c>
      <c r="Q30" s="331">
        <f t="shared" si="6"/>
        <v>5000</v>
      </c>
    </row>
    <row r="31" spans="1:17" ht="15" customHeight="1" x14ac:dyDescent="0.25">
      <c r="A31" s="150" t="s">
        <v>68</v>
      </c>
      <c r="B31" s="151">
        <v>2000</v>
      </c>
      <c r="C31" s="152">
        <v>0</v>
      </c>
      <c r="D31" s="321"/>
      <c r="E31" s="142"/>
      <c r="F31" s="142"/>
      <c r="G31" s="142"/>
      <c r="H31" s="142"/>
      <c r="I31" s="142"/>
      <c r="J31" s="143"/>
      <c r="K31" s="142"/>
      <c r="L31" s="142"/>
      <c r="M31" s="142"/>
      <c r="N31" s="142"/>
      <c r="O31" s="142">
        <f t="shared" si="5"/>
        <v>0</v>
      </c>
      <c r="P31" s="337">
        <f t="shared" si="3"/>
        <v>0</v>
      </c>
      <c r="Q31" s="331">
        <f t="shared" si="6"/>
        <v>2000</v>
      </c>
    </row>
    <row r="32" spans="1:17" ht="15" customHeight="1" x14ac:dyDescent="0.25">
      <c r="A32" s="150" t="s">
        <v>69</v>
      </c>
      <c r="B32" s="151">
        <v>279.89999999999998</v>
      </c>
      <c r="C32" s="152"/>
      <c r="D32" s="321">
        <v>279.89999999999998</v>
      </c>
      <c r="E32" s="142">
        <v>580</v>
      </c>
      <c r="F32" s="142"/>
      <c r="G32" s="142"/>
      <c r="H32" s="142"/>
      <c r="I32" s="142"/>
      <c r="J32" s="143"/>
      <c r="K32" s="142"/>
      <c r="L32" s="142"/>
      <c r="M32" s="142"/>
      <c r="N32" s="142"/>
      <c r="O32" s="142">
        <f t="shared" si="5"/>
        <v>859.9</v>
      </c>
      <c r="P32" s="337">
        <v>0</v>
      </c>
      <c r="Q32" s="331">
        <f>B32-O32</f>
        <v>-580</v>
      </c>
    </row>
    <row r="33" spans="1:17" ht="15" customHeight="1" x14ac:dyDescent="0.25">
      <c r="A33" s="311" t="s">
        <v>70</v>
      </c>
      <c r="B33" s="390">
        <v>2720.1</v>
      </c>
      <c r="C33" s="152">
        <v>0</v>
      </c>
      <c r="D33" s="321"/>
      <c r="E33" s="142"/>
      <c r="F33" s="142"/>
      <c r="G33" s="142"/>
      <c r="H33" s="142"/>
      <c r="I33" s="142"/>
      <c r="J33" s="143"/>
      <c r="K33" s="142"/>
      <c r="L33" s="142"/>
      <c r="M33" s="142"/>
      <c r="N33" s="142"/>
      <c r="O33" s="142">
        <f t="shared" si="5"/>
        <v>0</v>
      </c>
      <c r="P33" s="337">
        <v>0</v>
      </c>
      <c r="Q33" s="331">
        <f t="shared" si="6"/>
        <v>2720.1</v>
      </c>
    </row>
    <row r="34" spans="1:17" ht="15" customHeight="1" x14ac:dyDescent="0.25">
      <c r="A34" s="150" t="s">
        <v>71</v>
      </c>
      <c r="B34" s="151">
        <v>10000</v>
      </c>
      <c r="C34" s="152">
        <v>0</v>
      </c>
      <c r="D34" s="321"/>
      <c r="E34" s="142">
        <v>200</v>
      </c>
      <c r="F34" s="142"/>
      <c r="G34" s="142"/>
      <c r="H34" s="142"/>
      <c r="I34" s="142"/>
      <c r="J34" s="143"/>
      <c r="K34" s="142"/>
      <c r="L34" s="142"/>
      <c r="M34" s="142"/>
      <c r="N34" s="142"/>
      <c r="O34" s="142">
        <f t="shared" si="5"/>
        <v>200</v>
      </c>
      <c r="P34" s="337">
        <v>0</v>
      </c>
      <c r="Q34" s="331">
        <f t="shared" si="6"/>
        <v>9800</v>
      </c>
    </row>
    <row r="35" spans="1:17" ht="15.75" customHeight="1" thickBot="1" x14ac:dyDescent="0.3">
      <c r="A35" s="158" t="s">
        <v>72</v>
      </c>
      <c r="B35" s="391">
        <v>1000</v>
      </c>
      <c r="C35" s="159">
        <v>0</v>
      </c>
      <c r="D35" s="306"/>
      <c r="E35" s="146"/>
      <c r="F35" s="146"/>
      <c r="G35" s="146"/>
      <c r="H35" s="146"/>
      <c r="I35" s="146"/>
      <c r="J35" s="147"/>
      <c r="K35" s="146"/>
      <c r="L35" s="146"/>
      <c r="M35" s="146"/>
      <c r="N35" s="146"/>
      <c r="O35" s="142">
        <f t="shared" si="5"/>
        <v>0</v>
      </c>
      <c r="P35" s="337">
        <v>0</v>
      </c>
      <c r="Q35" s="331">
        <f t="shared" si="6"/>
        <v>1000</v>
      </c>
    </row>
    <row r="36" spans="1:17" ht="15" customHeight="1" thickBot="1" x14ac:dyDescent="0.3">
      <c r="A36" s="179" t="s">
        <v>73</v>
      </c>
      <c r="B36" s="183">
        <f>SUM(B27:B35)</f>
        <v>43525.75</v>
      </c>
      <c r="C36" s="181">
        <f>SUM(C27:C35)</f>
        <v>1460.8</v>
      </c>
      <c r="D36" s="303">
        <f>SUM(D27:D35)</f>
        <v>513.9</v>
      </c>
      <c r="E36" s="338">
        <f>E35+E34+E32+E30+E28+E27</f>
        <v>2008.42</v>
      </c>
      <c r="F36" s="186">
        <f>SUM(F27:F35)</f>
        <v>0</v>
      </c>
      <c r="G36" s="186">
        <f>G35+G34+G32+G30+G28+G27</f>
        <v>0</v>
      </c>
      <c r="H36" s="186">
        <f>SUM(H27:H35)</f>
        <v>0</v>
      </c>
      <c r="I36" s="186">
        <f>SUM(I27:I35)</f>
        <v>0</v>
      </c>
      <c r="J36" s="186">
        <f>J35+J34+J32+J30+J28+J27+J33</f>
        <v>0</v>
      </c>
      <c r="K36" s="186">
        <f>K27+K28+K30+K31+K32+K33+K34+K35</f>
        <v>0</v>
      </c>
      <c r="L36" s="186">
        <f>SUM(L27:L35)</f>
        <v>0</v>
      </c>
      <c r="M36" s="186">
        <f>M35+M34+M32+M30+M28+M27+M31+M33+M29</f>
        <v>0</v>
      </c>
      <c r="N36" s="186">
        <f>SUM(N27:N35)</f>
        <v>0</v>
      </c>
      <c r="O36" s="186">
        <f>SUM(O27:O35)</f>
        <v>3983.12</v>
      </c>
      <c r="P36" s="339">
        <f>O36/B36</f>
        <v>9.1511806229645665E-2</v>
      </c>
      <c r="Q36" s="340">
        <f>SUM(Q27:Q35)</f>
        <v>39542.629999999997</v>
      </c>
    </row>
    <row r="37" spans="1:17" ht="15" customHeight="1" x14ac:dyDescent="0.25">
      <c r="A37" s="160" t="s">
        <v>74</v>
      </c>
      <c r="B37" s="392">
        <v>0</v>
      </c>
      <c r="C37" s="403"/>
      <c r="D37" s="161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142">
        <f t="shared" si="5"/>
        <v>0</v>
      </c>
      <c r="P37" s="337"/>
      <c r="Q37" s="331">
        <f t="shared" ref="Q37:Q42" si="7">B37-O37</f>
        <v>0</v>
      </c>
    </row>
    <row r="38" spans="1:17" ht="15" customHeight="1" x14ac:dyDescent="0.25">
      <c r="A38" s="302" t="s">
        <v>75</v>
      </c>
      <c r="B38" s="393">
        <v>0</v>
      </c>
      <c r="C38" s="404"/>
      <c r="D38" s="304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>
        <f t="shared" si="5"/>
        <v>0</v>
      </c>
      <c r="P38" s="144"/>
      <c r="Q38" s="331">
        <f t="shared" si="7"/>
        <v>0</v>
      </c>
    </row>
    <row r="39" spans="1:17" ht="15" customHeight="1" x14ac:dyDescent="0.25">
      <c r="A39" s="162" t="s">
        <v>76</v>
      </c>
      <c r="B39" s="394">
        <v>63360</v>
      </c>
      <c r="C39" s="403">
        <v>4463.8500000000004</v>
      </c>
      <c r="D39" s="161">
        <v>6306.96</v>
      </c>
      <c r="E39" s="142">
        <v>5314.47</v>
      </c>
      <c r="F39" s="142">
        <v>3424</v>
      </c>
      <c r="G39" s="142"/>
      <c r="H39" s="142"/>
      <c r="I39" s="142"/>
      <c r="J39" s="141"/>
      <c r="K39" s="142"/>
      <c r="L39" s="142"/>
      <c r="M39" s="142"/>
      <c r="N39" s="142"/>
      <c r="O39" s="142">
        <f>N39+M39+L39+K39+J39+I39+H39+G39+F39+E39+D39+C39</f>
        <v>19509.28</v>
      </c>
      <c r="P39" s="144">
        <f>O39/B39</f>
        <v>0.30791161616161616</v>
      </c>
      <c r="Q39" s="331">
        <f t="shared" si="7"/>
        <v>43850.720000000001</v>
      </c>
    </row>
    <row r="40" spans="1:17" ht="15" customHeight="1" x14ac:dyDescent="0.25">
      <c r="A40" s="153" t="s">
        <v>77</v>
      </c>
      <c r="B40" s="391">
        <v>2000</v>
      </c>
      <c r="C40" s="405">
        <v>190.48</v>
      </c>
      <c r="D40" s="305"/>
      <c r="E40" s="142"/>
      <c r="F40" s="142"/>
      <c r="G40" s="142"/>
      <c r="H40" s="142"/>
      <c r="I40" s="142"/>
      <c r="J40" s="143"/>
      <c r="K40" s="142"/>
      <c r="L40" s="142"/>
      <c r="M40" s="142"/>
      <c r="N40" s="142"/>
      <c r="O40" s="142">
        <f>N40+M40+L40+K40+J40+I40+H40+G40+F40+E40+D40+C40</f>
        <v>190.48</v>
      </c>
      <c r="P40" s="144">
        <f>O40/B40</f>
        <v>9.5239999999999991E-2</v>
      </c>
      <c r="Q40" s="331">
        <f t="shared" si="7"/>
        <v>1809.52</v>
      </c>
    </row>
    <row r="41" spans="1:17" ht="15" customHeight="1" thickBot="1" x14ac:dyDescent="0.3">
      <c r="A41" s="297" t="s">
        <v>78</v>
      </c>
      <c r="B41" s="389">
        <v>10000</v>
      </c>
      <c r="C41" s="406">
        <v>952.37</v>
      </c>
      <c r="D41" s="306"/>
      <c r="E41" s="142"/>
      <c r="F41" s="142"/>
      <c r="G41" s="142"/>
      <c r="H41" s="142"/>
      <c r="I41" s="142"/>
      <c r="J41" s="143"/>
      <c r="K41" s="142"/>
      <c r="L41" s="142"/>
      <c r="M41" s="142"/>
      <c r="N41" s="142"/>
      <c r="O41" s="142">
        <f>N41+M41+L41+K41+J41+I41+H41+G41+F41+E41+D41+C41</f>
        <v>952.37</v>
      </c>
      <c r="P41" s="144">
        <f>O41/B41</f>
        <v>9.5237000000000002E-2</v>
      </c>
      <c r="Q41" s="331">
        <f t="shared" si="7"/>
        <v>9047.6299999999992</v>
      </c>
    </row>
    <row r="42" spans="1:17" ht="15" customHeight="1" thickBot="1" x14ac:dyDescent="0.3">
      <c r="A42" s="296" t="s">
        <v>79</v>
      </c>
      <c r="B42" s="394">
        <v>0</v>
      </c>
      <c r="C42" s="407"/>
      <c r="D42" s="307"/>
      <c r="E42" s="146"/>
      <c r="F42" s="146"/>
      <c r="G42" s="146"/>
      <c r="H42" s="146"/>
      <c r="I42" s="146"/>
      <c r="J42" s="147"/>
      <c r="K42" s="146"/>
      <c r="L42" s="146"/>
      <c r="M42" s="146"/>
      <c r="N42" s="146"/>
      <c r="O42" s="142">
        <f t="shared" si="5"/>
        <v>0</v>
      </c>
      <c r="P42" s="144"/>
      <c r="Q42" s="331">
        <f t="shared" si="7"/>
        <v>0</v>
      </c>
    </row>
    <row r="43" spans="1:17" ht="15" customHeight="1" thickBot="1" x14ac:dyDescent="0.3">
      <c r="A43" s="179" t="s">
        <v>80</v>
      </c>
      <c r="B43" s="181">
        <f>SUM(B37:B42)</f>
        <v>75360</v>
      </c>
      <c r="C43" s="181">
        <f>SUM(C37:C42)</f>
        <v>5606.7</v>
      </c>
      <c r="D43" s="303">
        <f>SUM(D37:D42)</f>
        <v>6306.96</v>
      </c>
      <c r="E43" s="338">
        <f>E42+E41+E40+E39+E38+E37</f>
        <v>5314.47</v>
      </c>
      <c r="F43" s="338">
        <f>SUM(F37:F42)</f>
        <v>3424</v>
      </c>
      <c r="G43" s="338">
        <f>G42+G41+G40+G39+G38+G37</f>
        <v>0</v>
      </c>
      <c r="H43" s="338">
        <f>SUM(H37:H42)</f>
        <v>0</v>
      </c>
      <c r="I43" s="338">
        <f>SUM(I37:I42)</f>
        <v>0</v>
      </c>
      <c r="J43" s="338">
        <f>J42+J41+J40+J39+J38+J37</f>
        <v>0</v>
      </c>
      <c r="K43" s="338">
        <f>K42+K41+K40+K39+K38+K37</f>
        <v>0</v>
      </c>
      <c r="L43" s="338">
        <f>L42+L41+L40+L39+L38+L37</f>
        <v>0</v>
      </c>
      <c r="M43" s="338">
        <f>M42+M41+M40+M39+M38+M37</f>
        <v>0</v>
      </c>
      <c r="N43" s="338">
        <f>N42+N41+N40+N39+N38+N37</f>
        <v>0</v>
      </c>
      <c r="O43" s="186">
        <f>SUM(O37:O42)</f>
        <v>20652.129999999997</v>
      </c>
      <c r="P43" s="339">
        <f>O43/B43</f>
        <v>0.27404631104033966</v>
      </c>
      <c r="Q43" s="340">
        <f>SUM(Q37:Q42)</f>
        <v>54707.869999999995</v>
      </c>
    </row>
    <row r="44" spans="1:17" ht="15" customHeight="1" x14ac:dyDescent="0.25">
      <c r="A44" s="162" t="s">
        <v>81</v>
      </c>
      <c r="B44" s="163">
        <v>70000</v>
      </c>
      <c r="C44" s="163">
        <v>0</v>
      </c>
      <c r="D44" s="308">
        <v>860</v>
      </c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142">
        <f>N44+M44+L44+K44+J44+I44+H44+G44+F44+E44+D44+C44</f>
        <v>860</v>
      </c>
      <c r="P44" s="337">
        <v>1</v>
      </c>
      <c r="Q44" s="331">
        <f>B44-O44</f>
        <v>69140</v>
      </c>
    </row>
    <row r="45" spans="1:17" ht="15" customHeight="1" thickBot="1" x14ac:dyDescent="0.3">
      <c r="A45" s="153" t="s">
        <v>82</v>
      </c>
      <c r="B45" s="154">
        <v>135000</v>
      </c>
      <c r="C45" s="154">
        <v>5775</v>
      </c>
      <c r="D45" s="309">
        <v>5355</v>
      </c>
      <c r="E45" s="252">
        <v>5475</v>
      </c>
      <c r="F45" s="252">
        <v>5175</v>
      </c>
      <c r="G45" s="252"/>
      <c r="H45" s="252"/>
      <c r="I45" s="252"/>
      <c r="J45" s="252"/>
      <c r="K45" s="252"/>
      <c r="L45" s="252"/>
      <c r="M45" s="252"/>
      <c r="N45" s="252"/>
      <c r="O45" s="142">
        <f>N45+M45+L45+K45+J45+I45+H45+G45+F45+E45+D45+C45</f>
        <v>21780</v>
      </c>
      <c r="P45" s="337">
        <v>1</v>
      </c>
      <c r="Q45" s="331">
        <f>B45-O45</f>
        <v>113220</v>
      </c>
    </row>
    <row r="46" spans="1:17" ht="15" customHeight="1" thickBot="1" x14ac:dyDescent="0.3">
      <c r="A46" s="184" t="s">
        <v>83</v>
      </c>
      <c r="B46" s="181">
        <f>SUM(B44:B45)</f>
        <v>205000</v>
      </c>
      <c r="C46" s="181">
        <f>SUM(C44:C45)</f>
        <v>5775</v>
      </c>
      <c r="D46" s="303">
        <f>D45+D44</f>
        <v>6215</v>
      </c>
      <c r="E46" s="338">
        <f>E45+E44</f>
        <v>5475</v>
      </c>
      <c r="F46" s="186">
        <f>SUM(F44:F45)</f>
        <v>5175</v>
      </c>
      <c r="G46" s="186">
        <f>G45+G44</f>
        <v>0</v>
      </c>
      <c r="H46" s="186">
        <f t="shared" ref="H46:N46" si="8">H45+H44</f>
        <v>0</v>
      </c>
      <c r="I46" s="186">
        <f>I45+I44</f>
        <v>0</v>
      </c>
      <c r="J46" s="186">
        <f t="shared" si="8"/>
        <v>0</v>
      </c>
      <c r="K46" s="186">
        <f>K44+K45</f>
        <v>0</v>
      </c>
      <c r="L46" s="186">
        <f>SUM(L44:L45)</f>
        <v>0</v>
      </c>
      <c r="M46" s="186">
        <f t="shared" si="8"/>
        <v>0</v>
      </c>
      <c r="N46" s="186">
        <f t="shared" si="8"/>
        <v>0</v>
      </c>
      <c r="O46" s="186">
        <f>SUM(O44:O45)</f>
        <v>22640</v>
      </c>
      <c r="P46" s="339">
        <f>O46/B46</f>
        <v>0.1104390243902439</v>
      </c>
      <c r="Q46" s="340">
        <f>SUM(Q44:Q45)</f>
        <v>182360</v>
      </c>
    </row>
    <row r="47" spans="1:17" ht="15" customHeight="1" thickBot="1" x14ac:dyDescent="0.3">
      <c r="A47" s="162" t="s">
        <v>84</v>
      </c>
      <c r="B47" s="163">
        <v>60000</v>
      </c>
      <c r="C47" s="163">
        <v>0</v>
      </c>
      <c r="D47" s="308">
        <v>2662.88</v>
      </c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42">
        <f>N47+M47+L47+K47+J47+I47+H47+G47+F47+E47+D47+C47</f>
        <v>2662.88</v>
      </c>
      <c r="P47" s="341">
        <v>0.21440500000000001</v>
      </c>
      <c r="Q47" s="331">
        <f>B47-O47</f>
        <v>57337.120000000003</v>
      </c>
    </row>
    <row r="48" spans="1:17" ht="15" customHeight="1" thickBot="1" x14ac:dyDescent="0.3">
      <c r="A48" s="179" t="s">
        <v>85</v>
      </c>
      <c r="B48" s="181">
        <f>SUM(B47)</f>
        <v>60000</v>
      </c>
      <c r="C48" s="181">
        <f>C47</f>
        <v>0</v>
      </c>
      <c r="D48" s="303">
        <f>D47</f>
        <v>2662.88</v>
      </c>
      <c r="E48" s="338">
        <f>E47</f>
        <v>0</v>
      </c>
      <c r="F48" s="186">
        <f t="shared" ref="F48:K48" si="9">F47</f>
        <v>0</v>
      </c>
      <c r="G48" s="186">
        <f t="shared" si="9"/>
        <v>0</v>
      </c>
      <c r="H48" s="186">
        <f t="shared" si="9"/>
        <v>0</v>
      </c>
      <c r="I48" s="186">
        <f t="shared" si="9"/>
        <v>0</v>
      </c>
      <c r="J48" s="186">
        <f t="shared" si="9"/>
        <v>0</v>
      </c>
      <c r="K48" s="186">
        <f t="shared" si="9"/>
        <v>0</v>
      </c>
      <c r="L48" s="186">
        <f>SUM(L47)</f>
        <v>0</v>
      </c>
      <c r="M48" s="186">
        <f>M47</f>
        <v>0</v>
      </c>
      <c r="N48" s="186">
        <f>N47</f>
        <v>0</v>
      </c>
      <c r="O48" s="186">
        <f>O47</f>
        <v>2662.88</v>
      </c>
      <c r="P48" s="339">
        <f>O48/B48</f>
        <v>4.4381333333333335E-2</v>
      </c>
      <c r="Q48" s="340">
        <f>B48-O48</f>
        <v>57337.120000000003</v>
      </c>
    </row>
    <row r="49" spans="1:17" ht="15" customHeight="1" thickBot="1" x14ac:dyDescent="0.3">
      <c r="A49" s="162" t="s">
        <v>86</v>
      </c>
      <c r="B49" s="163">
        <v>18</v>
      </c>
      <c r="C49" s="163">
        <v>18</v>
      </c>
      <c r="D49" s="308"/>
      <c r="E49" s="171">
        <v>0</v>
      </c>
      <c r="F49" s="171">
        <v>0</v>
      </c>
      <c r="G49" s="171">
        <v>0</v>
      </c>
      <c r="H49" s="171">
        <v>0</v>
      </c>
      <c r="I49" s="171">
        <v>0</v>
      </c>
      <c r="J49" s="171">
        <v>0</v>
      </c>
      <c r="K49" s="171">
        <v>0</v>
      </c>
      <c r="L49" s="171"/>
      <c r="M49" s="171">
        <v>0</v>
      </c>
      <c r="N49" s="171">
        <v>0</v>
      </c>
      <c r="O49" s="142">
        <f t="shared" si="5"/>
        <v>18</v>
      </c>
      <c r="P49" s="341">
        <v>0.71509999999999996</v>
      </c>
      <c r="Q49" s="331">
        <f>B49-O49</f>
        <v>0</v>
      </c>
    </row>
    <row r="50" spans="1:17" ht="15" customHeight="1" thickBot="1" x14ac:dyDescent="0.3">
      <c r="A50" s="179" t="s">
        <v>87</v>
      </c>
      <c r="B50" s="181">
        <f t="shared" ref="B50:G50" si="10">B49</f>
        <v>18</v>
      </c>
      <c r="C50" s="181">
        <f t="shared" si="10"/>
        <v>18</v>
      </c>
      <c r="D50" s="303">
        <f t="shared" si="10"/>
        <v>0</v>
      </c>
      <c r="E50" s="181">
        <f>E49</f>
        <v>0</v>
      </c>
      <c r="F50" s="343">
        <f>F49</f>
        <v>0</v>
      </c>
      <c r="G50" s="186">
        <f t="shared" si="10"/>
        <v>0</v>
      </c>
      <c r="H50" s="186">
        <f>H49</f>
        <v>0</v>
      </c>
      <c r="I50" s="186">
        <f>I49</f>
        <v>0</v>
      </c>
      <c r="J50" s="186">
        <f>J49</f>
        <v>0</v>
      </c>
      <c r="K50" s="186">
        <f>K49</f>
        <v>0</v>
      </c>
      <c r="L50" s="186">
        <f>SUM(L49)</f>
        <v>0</v>
      </c>
      <c r="M50" s="186">
        <f>M49</f>
        <v>0</v>
      </c>
      <c r="N50" s="186">
        <f>N49</f>
        <v>0</v>
      </c>
      <c r="O50" s="186">
        <f>O49</f>
        <v>18</v>
      </c>
      <c r="P50" s="339"/>
      <c r="Q50" s="340">
        <f>B50-O50</f>
        <v>0</v>
      </c>
    </row>
    <row r="51" spans="1:17" ht="15" customHeight="1" x14ac:dyDescent="0.25">
      <c r="A51" s="312" t="s">
        <v>88</v>
      </c>
      <c r="B51" s="317">
        <v>72600</v>
      </c>
      <c r="C51" s="334">
        <v>5680.4</v>
      </c>
      <c r="D51" s="350">
        <v>5680.4</v>
      </c>
      <c r="E51" s="334">
        <v>5680.4</v>
      </c>
      <c r="F51" s="334">
        <v>5680.4</v>
      </c>
      <c r="G51" s="334"/>
      <c r="H51" s="334"/>
      <c r="I51" s="334"/>
      <c r="J51" s="336"/>
      <c r="K51" s="334"/>
      <c r="L51" s="334"/>
      <c r="M51" s="334"/>
      <c r="N51" s="334"/>
      <c r="O51" s="142">
        <f>N51+M51+L51+K51+J51+I51+H51+G51+F51+E51+D51+C51</f>
        <v>22721.599999999999</v>
      </c>
      <c r="P51" s="337">
        <f>O51/B51</f>
        <v>0.31296969696969695</v>
      </c>
      <c r="Q51" s="331">
        <f t="shared" ref="Q51:Q76" si="11">B51-O51</f>
        <v>49878.400000000001</v>
      </c>
    </row>
    <row r="52" spans="1:17" ht="15" customHeight="1" x14ac:dyDescent="0.25">
      <c r="A52" s="311" t="s">
        <v>89</v>
      </c>
      <c r="B52" s="318">
        <v>95000</v>
      </c>
      <c r="C52" s="142">
        <v>7912.26</v>
      </c>
      <c r="D52" s="304">
        <v>7802.86</v>
      </c>
      <c r="E52" s="142">
        <v>7805.46</v>
      </c>
      <c r="F52" s="142">
        <v>7805.46</v>
      </c>
      <c r="G52" s="142"/>
      <c r="H52" s="142"/>
      <c r="I52" s="142"/>
      <c r="J52" s="141"/>
      <c r="K52" s="142"/>
      <c r="L52" s="142"/>
      <c r="M52" s="142"/>
      <c r="N52" s="142"/>
      <c r="O52" s="142">
        <f>N52+M52+L52+K52+J52+I52+H52+G52+F52+E52+D52+C52</f>
        <v>31326.04</v>
      </c>
      <c r="P52" s="337">
        <f t="shared" ref="P52:P76" si="12">O52/B52</f>
        <v>0.32974778947368422</v>
      </c>
      <c r="Q52" s="331">
        <f t="shared" si="11"/>
        <v>63673.96</v>
      </c>
    </row>
    <row r="53" spans="1:17" ht="15" customHeight="1" x14ac:dyDescent="0.25">
      <c r="A53" s="311" t="s">
        <v>90</v>
      </c>
      <c r="B53" s="318">
        <v>0</v>
      </c>
      <c r="C53" s="404">
        <v>0</v>
      </c>
      <c r="D53" s="304"/>
      <c r="E53" s="142"/>
      <c r="F53" s="142"/>
      <c r="G53" s="142"/>
      <c r="H53" s="142"/>
      <c r="I53" s="142"/>
      <c r="J53" s="141"/>
      <c r="K53" s="142"/>
      <c r="L53" s="142"/>
      <c r="M53" s="142"/>
      <c r="N53" s="142"/>
      <c r="O53" s="142">
        <f t="shared" si="5"/>
        <v>0</v>
      </c>
      <c r="P53" s="337"/>
      <c r="Q53" s="331">
        <f t="shared" si="11"/>
        <v>0</v>
      </c>
    </row>
    <row r="54" spans="1:17" ht="15" customHeight="1" x14ac:dyDescent="0.25">
      <c r="A54" s="311" t="s">
        <v>91</v>
      </c>
      <c r="B54" s="318">
        <v>47800</v>
      </c>
      <c r="C54" s="142">
        <v>3613.8</v>
      </c>
      <c r="D54" s="304">
        <v>3613.8</v>
      </c>
      <c r="E54" s="142">
        <v>3613.8</v>
      </c>
      <c r="F54" s="142">
        <v>3613.8</v>
      </c>
      <c r="G54" s="142"/>
      <c r="H54" s="142"/>
      <c r="I54" s="142"/>
      <c r="J54" s="141"/>
      <c r="K54" s="142"/>
      <c r="L54" s="142"/>
      <c r="M54" s="142"/>
      <c r="N54" s="142"/>
      <c r="O54" s="142">
        <f>N54+M54+L54+K54+J54+I54+H54+G54+F54+E54+D54+C54</f>
        <v>14455.2</v>
      </c>
      <c r="P54" s="337">
        <f t="shared" si="12"/>
        <v>0.30241004184100417</v>
      </c>
      <c r="Q54" s="331">
        <f t="shared" si="11"/>
        <v>33344.800000000003</v>
      </c>
    </row>
    <row r="55" spans="1:17" ht="15" customHeight="1" x14ac:dyDescent="0.25">
      <c r="A55" s="311" t="s">
        <v>92</v>
      </c>
      <c r="B55" s="318">
        <v>5600</v>
      </c>
      <c r="C55" s="142">
        <v>230</v>
      </c>
      <c r="D55" s="304">
        <v>230</v>
      </c>
      <c r="E55" s="142">
        <v>230</v>
      </c>
      <c r="F55" s="142">
        <v>230</v>
      </c>
      <c r="G55" s="142"/>
      <c r="H55" s="142"/>
      <c r="I55" s="142"/>
      <c r="J55" s="141"/>
      <c r="K55" s="142"/>
      <c r="L55" s="142"/>
      <c r="M55" s="142"/>
      <c r="N55" s="142"/>
      <c r="O55" s="142">
        <f>N55+M55+L55+K55+J55+I55+H55+G55+F55+E55+D55+C55</f>
        <v>920</v>
      </c>
      <c r="P55" s="337">
        <f t="shared" si="12"/>
        <v>0.16428571428571428</v>
      </c>
      <c r="Q55" s="331">
        <f t="shared" si="11"/>
        <v>4680</v>
      </c>
    </row>
    <row r="56" spans="1:17" ht="15" customHeight="1" x14ac:dyDescent="0.25">
      <c r="A56" s="311" t="s">
        <v>93</v>
      </c>
      <c r="B56" s="318">
        <v>8400</v>
      </c>
      <c r="C56" s="142">
        <v>665</v>
      </c>
      <c r="D56" s="304">
        <v>665</v>
      </c>
      <c r="E56" s="142">
        <v>710.35</v>
      </c>
      <c r="F56" s="142">
        <v>568.28</v>
      </c>
      <c r="G56" s="142"/>
      <c r="H56" s="142"/>
      <c r="I56" s="142"/>
      <c r="J56" s="141"/>
      <c r="K56" s="142"/>
      <c r="L56" s="142"/>
      <c r="M56" s="142"/>
      <c r="N56" s="142"/>
      <c r="O56" s="142">
        <f>N56+M56+L56+K56+J56+I56+H56+G56+F56+E56+D56+C56</f>
        <v>2608.63</v>
      </c>
      <c r="P56" s="337">
        <f t="shared" si="12"/>
        <v>0.31055119047619051</v>
      </c>
      <c r="Q56" s="331">
        <f t="shared" si="11"/>
        <v>5791.37</v>
      </c>
    </row>
    <row r="57" spans="1:17" ht="15" customHeight="1" x14ac:dyDescent="0.25">
      <c r="A57" s="311" t="s">
        <v>94</v>
      </c>
      <c r="B57" s="318">
        <v>50000</v>
      </c>
      <c r="C57" s="142">
        <v>0</v>
      </c>
      <c r="D57" s="304"/>
      <c r="E57" s="142"/>
      <c r="F57" s="142"/>
      <c r="G57" s="142"/>
      <c r="H57" s="142"/>
      <c r="I57" s="142"/>
      <c r="J57" s="141"/>
      <c r="K57" s="142"/>
      <c r="L57" s="142"/>
      <c r="M57" s="142"/>
      <c r="N57" s="142"/>
      <c r="O57" s="142">
        <f t="shared" si="5"/>
        <v>0</v>
      </c>
      <c r="P57" s="337">
        <f t="shared" si="12"/>
        <v>0</v>
      </c>
      <c r="Q57" s="331">
        <f t="shared" si="11"/>
        <v>50000</v>
      </c>
    </row>
    <row r="58" spans="1:17" ht="15" customHeight="1" x14ac:dyDescent="0.25">
      <c r="A58" s="311" t="s">
        <v>95</v>
      </c>
      <c r="B58" s="318">
        <v>1200</v>
      </c>
      <c r="C58" s="142">
        <v>0</v>
      </c>
      <c r="D58" s="304"/>
      <c r="E58" s="142">
        <v>850</v>
      </c>
      <c r="F58" s="142"/>
      <c r="G58" s="142"/>
      <c r="H58" s="142"/>
      <c r="I58" s="142"/>
      <c r="J58" s="141"/>
      <c r="K58" s="142"/>
      <c r="L58" s="142"/>
      <c r="M58" s="142"/>
      <c r="N58" s="142"/>
      <c r="O58" s="142">
        <f t="shared" si="5"/>
        <v>850</v>
      </c>
      <c r="P58" s="337">
        <f t="shared" si="12"/>
        <v>0.70833333333333337</v>
      </c>
      <c r="Q58" s="331">
        <f t="shared" si="11"/>
        <v>350</v>
      </c>
    </row>
    <row r="59" spans="1:17" ht="15" customHeight="1" x14ac:dyDescent="0.25">
      <c r="A59" s="311" t="s">
        <v>96</v>
      </c>
      <c r="B59" s="318">
        <v>5000</v>
      </c>
      <c r="C59" s="142">
        <v>0</v>
      </c>
      <c r="D59" s="304"/>
      <c r="E59" s="142"/>
      <c r="F59" s="142"/>
      <c r="G59" s="142"/>
      <c r="H59" s="142"/>
      <c r="I59" s="142"/>
      <c r="J59" s="141"/>
      <c r="K59" s="142"/>
      <c r="L59" s="142"/>
      <c r="M59" s="142"/>
      <c r="N59" s="142"/>
      <c r="O59" s="142">
        <f t="shared" si="5"/>
        <v>0</v>
      </c>
      <c r="P59" s="337">
        <f t="shared" si="12"/>
        <v>0</v>
      </c>
      <c r="Q59" s="331">
        <f t="shared" si="11"/>
        <v>5000</v>
      </c>
    </row>
    <row r="60" spans="1:17" ht="15" customHeight="1" x14ac:dyDescent="0.25">
      <c r="A60" s="311" t="s">
        <v>97</v>
      </c>
      <c r="B60" s="318">
        <v>105000</v>
      </c>
      <c r="C60" s="142">
        <v>8250.34</v>
      </c>
      <c r="D60" s="304">
        <v>8615.11</v>
      </c>
      <c r="E60" s="142">
        <v>8615.11</v>
      </c>
      <c r="F60" s="142">
        <v>14238.9</v>
      </c>
      <c r="G60" s="142"/>
      <c r="H60" s="142"/>
      <c r="I60" s="142"/>
      <c r="J60" s="141"/>
      <c r="K60" s="142"/>
      <c r="L60" s="142"/>
      <c r="M60" s="142"/>
      <c r="N60" s="142"/>
      <c r="O60" s="142">
        <f>N60+M60+L60+K60+J60+I60+H60+G60+F60+E60+D60+C60</f>
        <v>39719.460000000006</v>
      </c>
      <c r="P60" s="337">
        <f t="shared" si="12"/>
        <v>0.37828057142857147</v>
      </c>
      <c r="Q60" s="331">
        <f t="shared" si="11"/>
        <v>65280.539999999994</v>
      </c>
    </row>
    <row r="61" spans="1:17" ht="15" customHeight="1" x14ac:dyDescent="0.25">
      <c r="A61" s="311" t="s">
        <v>98</v>
      </c>
      <c r="B61" s="318">
        <v>18800</v>
      </c>
      <c r="C61" s="142">
        <v>960</v>
      </c>
      <c r="D61" s="304">
        <v>960</v>
      </c>
      <c r="E61" s="142">
        <v>960</v>
      </c>
      <c r="F61" s="142">
        <v>960</v>
      </c>
      <c r="G61" s="142"/>
      <c r="H61" s="142"/>
      <c r="I61" s="142"/>
      <c r="J61" s="141"/>
      <c r="K61" s="142"/>
      <c r="L61" s="142"/>
      <c r="M61" s="142"/>
      <c r="N61" s="142"/>
      <c r="O61" s="142">
        <f t="shared" si="5"/>
        <v>3840</v>
      </c>
      <c r="P61" s="337">
        <f t="shared" si="12"/>
        <v>0.20425531914893616</v>
      </c>
      <c r="Q61" s="331">
        <f t="shared" si="11"/>
        <v>14960</v>
      </c>
    </row>
    <row r="62" spans="1:17" ht="15" customHeight="1" x14ac:dyDescent="0.25">
      <c r="A62" s="311" t="s">
        <v>99</v>
      </c>
      <c r="B62" s="318">
        <v>18000</v>
      </c>
      <c r="C62" s="142">
        <v>0</v>
      </c>
      <c r="D62" s="304"/>
      <c r="E62" s="142"/>
      <c r="F62" s="142"/>
      <c r="G62" s="142"/>
      <c r="H62" s="142"/>
      <c r="I62" s="142"/>
      <c r="J62" s="141"/>
      <c r="K62" s="142"/>
      <c r="L62" s="142"/>
      <c r="M62" s="142"/>
      <c r="N62" s="142"/>
      <c r="O62" s="142">
        <f t="shared" si="5"/>
        <v>0</v>
      </c>
      <c r="P62" s="337">
        <f t="shared" si="12"/>
        <v>0</v>
      </c>
      <c r="Q62" s="331">
        <f t="shared" si="11"/>
        <v>18000</v>
      </c>
    </row>
    <row r="63" spans="1:17" ht="15" customHeight="1" x14ac:dyDescent="0.25">
      <c r="A63" s="311" t="s">
        <v>100</v>
      </c>
      <c r="B63" s="318">
        <v>27000</v>
      </c>
      <c r="C63" s="142">
        <v>2089.58</v>
      </c>
      <c r="D63" s="304">
        <v>2659.39</v>
      </c>
      <c r="E63" s="142">
        <v>1878.03</v>
      </c>
      <c r="F63" s="142">
        <v>1686.97</v>
      </c>
      <c r="G63" s="142"/>
      <c r="H63" s="142"/>
      <c r="I63" s="142"/>
      <c r="J63" s="141"/>
      <c r="K63" s="142"/>
      <c r="L63" s="142"/>
      <c r="M63" s="142"/>
      <c r="N63" s="142"/>
      <c r="O63" s="142">
        <f>N63+M63+L63+K63+J63+I63+H63+G63+F63+E63+D63+C63</f>
        <v>8313.9699999999993</v>
      </c>
      <c r="P63" s="337">
        <f t="shared" si="12"/>
        <v>0.30792481481481482</v>
      </c>
      <c r="Q63" s="331">
        <f t="shared" si="11"/>
        <v>18686.03</v>
      </c>
    </row>
    <row r="64" spans="1:17" ht="15" customHeight="1" x14ac:dyDescent="0.25">
      <c r="A64" s="311" t="s">
        <v>101</v>
      </c>
      <c r="B64" s="318">
        <v>32538.639999999999</v>
      </c>
      <c r="C64" s="142">
        <v>97.4</v>
      </c>
      <c r="D64" s="304">
        <v>23677.39</v>
      </c>
      <c r="E64" s="142">
        <v>215.1</v>
      </c>
      <c r="F64" s="142"/>
      <c r="G64" s="142"/>
      <c r="H64" s="142"/>
      <c r="I64" s="142"/>
      <c r="J64" s="141"/>
      <c r="K64" s="142"/>
      <c r="L64" s="142"/>
      <c r="M64" s="142"/>
      <c r="N64" s="142"/>
      <c r="O64" s="142">
        <f>N64+M64+L64+K64+J64+I64+H64+G64+F64+E64+D64+C64</f>
        <v>23989.89</v>
      </c>
      <c r="P64" s="337">
        <f t="shared" si="12"/>
        <v>0.7372738995852316</v>
      </c>
      <c r="Q64" s="331">
        <f t="shared" si="11"/>
        <v>8548.75</v>
      </c>
    </row>
    <row r="65" spans="1:18" ht="15" customHeight="1" x14ac:dyDescent="0.25">
      <c r="A65" s="311" t="s">
        <v>102</v>
      </c>
      <c r="B65" s="318">
        <v>46000</v>
      </c>
      <c r="C65" s="142">
        <v>3258.5</v>
      </c>
      <c r="D65" s="304">
        <v>3272.05</v>
      </c>
      <c r="E65" s="142">
        <v>3285.62</v>
      </c>
      <c r="F65" s="142">
        <v>3345.27</v>
      </c>
      <c r="G65" s="142"/>
      <c r="H65" s="142"/>
      <c r="I65" s="142"/>
      <c r="J65" s="141"/>
      <c r="K65" s="142"/>
      <c r="L65" s="142"/>
      <c r="M65" s="142"/>
      <c r="N65" s="142"/>
      <c r="O65" s="142">
        <f>N65+M65+L65+K65+J65+I65+H65+G65+F65+E65+D65+C65</f>
        <v>13161.439999999999</v>
      </c>
      <c r="P65" s="337">
        <f t="shared" si="12"/>
        <v>0.28611826086956521</v>
      </c>
      <c r="Q65" s="331">
        <f t="shared" si="11"/>
        <v>32838.559999999998</v>
      </c>
    </row>
    <row r="66" spans="1:18" ht="15" customHeight="1" x14ac:dyDescent="0.25">
      <c r="A66" s="311" t="s">
        <v>103</v>
      </c>
      <c r="B66" s="318">
        <v>0</v>
      </c>
      <c r="C66" s="142">
        <v>0</v>
      </c>
      <c r="D66" s="304"/>
      <c r="E66" s="142"/>
      <c r="F66" s="142"/>
      <c r="G66" s="142"/>
      <c r="H66" s="142"/>
      <c r="I66" s="142"/>
      <c r="J66" s="141"/>
      <c r="K66" s="142"/>
      <c r="L66" s="142"/>
      <c r="M66" s="142"/>
      <c r="N66" s="142"/>
      <c r="O66" s="142">
        <f t="shared" si="5"/>
        <v>0</v>
      </c>
      <c r="P66" s="337" t="e">
        <f t="shared" si="12"/>
        <v>#DIV/0!</v>
      </c>
      <c r="Q66" s="331">
        <f t="shared" si="11"/>
        <v>0</v>
      </c>
    </row>
    <row r="67" spans="1:18" ht="15" customHeight="1" x14ac:dyDescent="0.25">
      <c r="A67" s="311" t="s">
        <v>104</v>
      </c>
      <c r="B67" s="318">
        <v>1500</v>
      </c>
      <c r="C67" s="142">
        <v>121.84</v>
      </c>
      <c r="D67" s="304">
        <v>121.84</v>
      </c>
      <c r="E67" s="142">
        <v>121.84</v>
      </c>
      <c r="F67" s="142"/>
      <c r="G67" s="142"/>
      <c r="H67" s="142"/>
      <c r="I67" s="142"/>
      <c r="J67" s="141"/>
      <c r="K67" s="142"/>
      <c r="L67" s="142"/>
      <c r="M67" s="142"/>
      <c r="N67" s="142"/>
      <c r="O67" s="142">
        <f>N67+M67+L67+K67+J67+I67+H67+G67+F67+E67+D67+C67</f>
        <v>365.52</v>
      </c>
      <c r="P67" s="337">
        <f t="shared" si="12"/>
        <v>0.24367999999999998</v>
      </c>
      <c r="Q67" s="331">
        <f t="shared" si="11"/>
        <v>1134.48</v>
      </c>
    </row>
    <row r="68" spans="1:18" ht="15" customHeight="1" x14ac:dyDescent="0.25">
      <c r="A68" s="311" t="s">
        <v>105</v>
      </c>
      <c r="B68" s="318">
        <v>20000</v>
      </c>
      <c r="C68" s="142">
        <v>297.36</v>
      </c>
      <c r="D68" s="304">
        <v>396.48</v>
      </c>
      <c r="E68" s="142">
        <v>99.12</v>
      </c>
      <c r="F68" s="142"/>
      <c r="G68" s="142"/>
      <c r="H68" s="142"/>
      <c r="I68" s="142"/>
      <c r="J68" s="141"/>
      <c r="K68" s="142"/>
      <c r="L68" s="142"/>
      <c r="M68" s="142"/>
      <c r="N68" s="142"/>
      <c r="O68" s="142">
        <f>N68+M68+L68+K68+J68+I68+H68+G68+F68+E68+D68+C68</f>
        <v>792.96</v>
      </c>
      <c r="P68" s="337">
        <f t="shared" si="12"/>
        <v>3.9648000000000003E-2</v>
      </c>
      <c r="Q68" s="331">
        <f t="shared" si="11"/>
        <v>19207.04</v>
      </c>
    </row>
    <row r="69" spans="1:18" ht="15" customHeight="1" x14ac:dyDescent="0.25">
      <c r="A69" s="311" t="s">
        <v>106</v>
      </c>
      <c r="B69" s="318">
        <v>0</v>
      </c>
      <c r="C69" s="142">
        <v>0</v>
      </c>
      <c r="D69" s="304"/>
      <c r="E69" s="142"/>
      <c r="F69" s="142"/>
      <c r="G69" s="142"/>
      <c r="H69" s="142"/>
      <c r="I69" s="142"/>
      <c r="J69" s="141"/>
      <c r="K69" s="142"/>
      <c r="L69" s="142"/>
      <c r="M69" s="142"/>
      <c r="N69" s="142"/>
      <c r="O69" s="142">
        <f t="shared" si="5"/>
        <v>0</v>
      </c>
      <c r="P69" s="337" t="e">
        <f t="shared" si="12"/>
        <v>#DIV/0!</v>
      </c>
      <c r="Q69" s="331">
        <f t="shared" si="11"/>
        <v>0</v>
      </c>
    </row>
    <row r="70" spans="1:18" ht="15" customHeight="1" x14ac:dyDescent="0.25">
      <c r="A70" s="311" t="s">
        <v>107</v>
      </c>
      <c r="B70" s="318">
        <v>60000</v>
      </c>
      <c r="C70" s="142">
        <v>2577.8000000000002</v>
      </c>
      <c r="D70" s="304">
        <v>9565.6</v>
      </c>
      <c r="E70" s="142">
        <v>15080</v>
      </c>
      <c r="F70" s="142"/>
      <c r="G70" s="142"/>
      <c r="H70" s="142"/>
      <c r="I70" s="142"/>
      <c r="J70" s="141"/>
      <c r="K70" s="142"/>
      <c r="L70" s="142"/>
      <c r="M70" s="142"/>
      <c r="N70" s="142"/>
      <c r="O70" s="142">
        <f>N70+M70+L70+K70+J70+I70+H70+G70+F70+E70+D70+C70</f>
        <v>27223.399999999998</v>
      </c>
      <c r="P70" s="337">
        <f t="shared" si="12"/>
        <v>0.45372333333333331</v>
      </c>
      <c r="Q70" s="331">
        <f t="shared" si="11"/>
        <v>32776.600000000006</v>
      </c>
    </row>
    <row r="71" spans="1:18" ht="15" customHeight="1" x14ac:dyDescent="0.25">
      <c r="A71" s="311" t="s">
        <v>108</v>
      </c>
      <c r="B71" s="318">
        <v>0</v>
      </c>
      <c r="C71" s="142">
        <v>0</v>
      </c>
      <c r="D71" s="304"/>
      <c r="E71" s="142"/>
      <c r="F71" s="142"/>
      <c r="G71" s="142"/>
      <c r="H71" s="142"/>
      <c r="I71" s="142"/>
      <c r="J71" s="141"/>
      <c r="K71" s="142"/>
      <c r="L71" s="142"/>
      <c r="M71" s="142"/>
      <c r="N71" s="142"/>
      <c r="O71" s="142">
        <f t="shared" si="5"/>
        <v>0</v>
      </c>
      <c r="P71" s="337" t="e">
        <f t="shared" si="12"/>
        <v>#DIV/0!</v>
      </c>
      <c r="Q71" s="331">
        <f t="shared" si="11"/>
        <v>0</v>
      </c>
    </row>
    <row r="72" spans="1:18" ht="15" customHeight="1" x14ac:dyDescent="0.25">
      <c r="A72" s="313" t="s">
        <v>109</v>
      </c>
      <c r="B72" s="309">
        <v>8000</v>
      </c>
      <c r="C72" s="142">
        <v>182.43</v>
      </c>
      <c r="D72" s="304">
        <v>670.09</v>
      </c>
      <c r="E72" s="142">
        <v>614.15</v>
      </c>
      <c r="F72" s="142">
        <v>343.89</v>
      </c>
      <c r="G72" s="142"/>
      <c r="H72" s="142"/>
      <c r="I72" s="142"/>
      <c r="J72" s="141"/>
      <c r="K72" s="142"/>
      <c r="L72" s="142"/>
      <c r="M72" s="142"/>
      <c r="N72" s="142"/>
      <c r="O72" s="142">
        <f>N72+M72+L72+K72+J72+I72+H72+G72+F72+E72+D72+C72</f>
        <v>1810.5600000000002</v>
      </c>
      <c r="P72" s="337">
        <f t="shared" si="12"/>
        <v>0.22632000000000002</v>
      </c>
      <c r="Q72" s="331">
        <f t="shared" si="11"/>
        <v>6189.44</v>
      </c>
    </row>
    <row r="73" spans="1:18" ht="15" customHeight="1" x14ac:dyDescent="0.25">
      <c r="A73" s="311" t="s">
        <v>110</v>
      </c>
      <c r="B73" s="396">
        <v>0</v>
      </c>
      <c r="C73" s="142">
        <v>0</v>
      </c>
      <c r="D73" s="304"/>
      <c r="E73" s="142"/>
      <c r="F73" s="142"/>
      <c r="G73" s="142"/>
      <c r="H73" s="142"/>
      <c r="I73" s="142"/>
      <c r="J73" s="141"/>
      <c r="K73" s="142"/>
      <c r="L73" s="142"/>
      <c r="M73" s="142"/>
      <c r="N73" s="142"/>
      <c r="O73" s="142">
        <f t="shared" si="5"/>
        <v>0</v>
      </c>
      <c r="P73" s="337" t="e">
        <f t="shared" si="12"/>
        <v>#DIV/0!</v>
      </c>
      <c r="Q73" s="331">
        <f t="shared" si="11"/>
        <v>0</v>
      </c>
    </row>
    <row r="74" spans="1:18" ht="15" customHeight="1" x14ac:dyDescent="0.25">
      <c r="A74" s="311" t="s">
        <v>111</v>
      </c>
      <c r="B74" s="396">
        <v>0</v>
      </c>
      <c r="C74" s="142">
        <v>0</v>
      </c>
      <c r="D74" s="304"/>
      <c r="E74" s="142"/>
      <c r="F74" s="142"/>
      <c r="G74" s="142"/>
      <c r="H74" s="142"/>
      <c r="I74" s="142"/>
      <c r="J74" s="141"/>
      <c r="K74" s="142"/>
      <c r="L74" s="142"/>
      <c r="M74" s="142"/>
      <c r="N74" s="142"/>
      <c r="O74" s="142">
        <f t="shared" si="5"/>
        <v>0</v>
      </c>
      <c r="P74" s="337" t="e">
        <f t="shared" si="12"/>
        <v>#DIV/0!</v>
      </c>
      <c r="Q74" s="331">
        <f t="shared" si="11"/>
        <v>0</v>
      </c>
    </row>
    <row r="75" spans="1:18" ht="15" customHeight="1" x14ac:dyDescent="0.25">
      <c r="A75" s="314" t="s">
        <v>112</v>
      </c>
      <c r="B75" s="395">
        <v>32443.360000000001</v>
      </c>
      <c r="C75" s="142">
        <v>0</v>
      </c>
      <c r="D75" s="304"/>
      <c r="E75" s="142"/>
      <c r="F75" s="142"/>
      <c r="G75" s="142"/>
      <c r="H75" s="142"/>
      <c r="I75" s="142"/>
      <c r="J75" s="141"/>
      <c r="K75" s="142"/>
      <c r="L75" s="142"/>
      <c r="M75" s="142"/>
      <c r="N75" s="142"/>
      <c r="O75" s="142">
        <f t="shared" si="5"/>
        <v>0</v>
      </c>
      <c r="P75" s="337">
        <f t="shared" si="12"/>
        <v>0</v>
      </c>
      <c r="Q75" s="331">
        <f t="shared" si="11"/>
        <v>32443.360000000001</v>
      </c>
    </row>
    <row r="76" spans="1:18" ht="15" customHeight="1" thickBot="1" x14ac:dyDescent="0.3">
      <c r="A76" s="315" t="s">
        <v>113</v>
      </c>
      <c r="B76" s="316">
        <v>6000</v>
      </c>
      <c r="C76" s="146">
        <v>0</v>
      </c>
      <c r="D76" s="320"/>
      <c r="E76" s="146"/>
      <c r="F76" s="146"/>
      <c r="G76" s="146"/>
      <c r="H76" s="146"/>
      <c r="I76" s="146"/>
      <c r="J76" s="252"/>
      <c r="K76" s="146"/>
      <c r="L76" s="146"/>
      <c r="M76" s="146"/>
      <c r="N76" s="146"/>
      <c r="O76" s="142">
        <f t="shared" si="5"/>
        <v>0</v>
      </c>
      <c r="P76" s="337">
        <f t="shared" si="12"/>
        <v>0</v>
      </c>
      <c r="Q76" s="331">
        <f t="shared" si="11"/>
        <v>6000</v>
      </c>
    </row>
    <row r="77" spans="1:18" ht="15" customHeight="1" thickBot="1" x14ac:dyDescent="0.3">
      <c r="A77" s="179" t="s">
        <v>114</v>
      </c>
      <c r="B77" s="181">
        <f>SUM(B51:B76)</f>
        <v>660882</v>
      </c>
      <c r="C77" s="181">
        <f>SUM(C51:C76)</f>
        <v>35936.71</v>
      </c>
      <c r="D77" s="303">
        <f>SUM(D51:D76)</f>
        <v>67930.009999999995</v>
      </c>
      <c r="E77" s="338">
        <f>E51+E52+E54+E55+E57+E58+E59+E60+E61+E63+E64+E65+E66+E67+E68+E69+E70+E71+E72+E75+E56+E76</f>
        <v>49758.979999999996</v>
      </c>
      <c r="F77" s="338">
        <f>SUM(F51:F76)</f>
        <v>38472.969999999994</v>
      </c>
      <c r="G77" s="338">
        <f>G51+G52+G54+G55+G57+G58+G59+G60+G61+G63+G64+G65+G66+G67+G68+G69+G70+G71+G72+G75+G56</f>
        <v>0</v>
      </c>
      <c r="H77" s="338">
        <f>SUM(H51:H76)</f>
        <v>0</v>
      </c>
      <c r="I77" s="338">
        <f>SUM(I51:I76)</f>
        <v>0</v>
      </c>
      <c r="J77" s="338">
        <f>J51+J52+J54+J55+J57+J58+J59+J60+J61+J63+J64+J65+J66+J67+J68+J69+J70+J71+J72+J75+J56+J76</f>
        <v>0</v>
      </c>
      <c r="K77" s="338">
        <f>SUM(K51:K76)</f>
        <v>0</v>
      </c>
      <c r="L77" s="338">
        <f>L51+L52+L54+L55+L56+L57+L58+L59+L60+L61+L62+L63+L64+L65+L66+L67+L68+L69+L70+L71+L72+L75+L76+L74</f>
        <v>0</v>
      </c>
      <c r="M77" s="338">
        <f>M51+M52++M53+M54+M55+M57+M58+M59+M60+M61+M63+M64+M65+M66+M67+M68+M69+M70+M71+M72+M75+M56+M76</f>
        <v>0</v>
      </c>
      <c r="N77" s="338">
        <f>N51+N52+N54+N55+N57+N58+N59+N60+N61+N63+N64+N65+N66+N67+N68+N69+N70+N71+N72+N75+N56+N76</f>
        <v>0</v>
      </c>
      <c r="O77" s="186">
        <f>SUM(O51:O76)</f>
        <v>192098.66999999998</v>
      </c>
      <c r="P77" s="339">
        <f>O77/B77</f>
        <v>0.29067014989060069</v>
      </c>
      <c r="Q77" s="340">
        <f>SUM(Q51:Q76)</f>
        <v>468783.3299999999</v>
      </c>
    </row>
    <row r="78" spans="1:18" ht="15" customHeight="1" thickBot="1" x14ac:dyDescent="0.3">
      <c r="A78" s="164" t="s">
        <v>115</v>
      </c>
      <c r="B78" s="163">
        <v>6000</v>
      </c>
      <c r="C78" s="165">
        <v>0</v>
      </c>
      <c r="D78" s="324"/>
      <c r="E78" s="334"/>
      <c r="F78" s="342">
        <v>3911.22</v>
      </c>
      <c r="G78" s="342"/>
      <c r="H78" s="334"/>
      <c r="I78" s="334"/>
      <c r="J78" s="334"/>
      <c r="K78" s="334"/>
      <c r="L78" s="334"/>
      <c r="M78" s="334"/>
      <c r="N78" s="342"/>
      <c r="O78" s="142">
        <f t="shared" si="5"/>
        <v>3911.22</v>
      </c>
      <c r="P78" s="337">
        <f>O78/B78</f>
        <v>0.65186999999999995</v>
      </c>
      <c r="Q78" s="331">
        <f>B78-O78</f>
        <v>2088.7800000000002</v>
      </c>
      <c r="R78" s="381"/>
    </row>
    <row r="79" spans="1:18" ht="15" hidden="1" customHeight="1" thickBot="1" x14ac:dyDescent="0.3">
      <c r="A79" s="158" t="s">
        <v>116</v>
      </c>
      <c r="B79" s="254"/>
      <c r="C79" s="146">
        <v>0</v>
      </c>
      <c r="D79" s="345"/>
      <c r="E79" s="146"/>
      <c r="F79" s="146"/>
      <c r="G79" s="146"/>
      <c r="H79" s="146"/>
      <c r="I79" s="146">
        <f>SUM(I51:I78)</f>
        <v>0</v>
      </c>
      <c r="J79" s="147"/>
      <c r="K79" s="146"/>
      <c r="L79" s="146"/>
      <c r="M79" s="146"/>
      <c r="N79" s="146"/>
      <c r="O79" s="146">
        <f>N79+M79+L79+K79+J79+I79+H79+G79+F79+E79+D79+C79</f>
        <v>0</v>
      </c>
      <c r="P79" s="332"/>
      <c r="Q79" s="333">
        <f>B79-O79</f>
        <v>0</v>
      </c>
    </row>
    <row r="80" spans="1:18" ht="15" customHeight="1" thickBot="1" x14ac:dyDescent="0.3">
      <c r="A80" s="179" t="s">
        <v>117</v>
      </c>
      <c r="B80" s="181">
        <f>SUM(B78:B79)</f>
        <v>6000</v>
      </c>
      <c r="C80" s="181">
        <f>C78+C79</f>
        <v>0</v>
      </c>
      <c r="D80" s="303">
        <f>D78+D79</f>
        <v>0</v>
      </c>
      <c r="E80" s="186">
        <f>E78+E79</f>
        <v>0</v>
      </c>
      <c r="F80" s="186">
        <f>F78</f>
        <v>3911.22</v>
      </c>
      <c r="G80" s="186">
        <f t="shared" ref="G80:N80" si="13">G78</f>
        <v>0</v>
      </c>
      <c r="H80" s="186">
        <f t="shared" si="13"/>
        <v>0</v>
      </c>
      <c r="I80" s="186">
        <f t="shared" si="13"/>
        <v>0</v>
      </c>
      <c r="J80" s="186">
        <f>J78</f>
        <v>0</v>
      </c>
      <c r="K80" s="186">
        <f>K78</f>
        <v>0</v>
      </c>
      <c r="L80" s="186">
        <f>L78+L79</f>
        <v>0</v>
      </c>
      <c r="M80" s="186">
        <f>M78+M79</f>
        <v>0</v>
      </c>
      <c r="N80" s="186">
        <f t="shared" si="13"/>
        <v>0</v>
      </c>
      <c r="O80" s="186">
        <f>O78</f>
        <v>3911.22</v>
      </c>
      <c r="P80" s="339">
        <f>O80/B80</f>
        <v>0.65186999999999995</v>
      </c>
      <c r="Q80" s="340">
        <f>SUM(Q78)</f>
        <v>2088.7800000000002</v>
      </c>
    </row>
    <row r="81" spans="1:17" ht="15" customHeight="1" x14ac:dyDescent="0.25">
      <c r="A81" s="167" t="s">
        <v>118</v>
      </c>
      <c r="B81" s="138">
        <v>1197677</v>
      </c>
      <c r="C81" s="148">
        <v>242305.27</v>
      </c>
      <c r="D81" s="346">
        <v>267133.42</v>
      </c>
      <c r="E81" s="334">
        <v>118439.99</v>
      </c>
      <c r="F81" s="334">
        <v>106856.66</v>
      </c>
      <c r="G81" s="334"/>
      <c r="H81" s="334"/>
      <c r="I81" s="334"/>
      <c r="J81" s="336"/>
      <c r="K81" s="334"/>
      <c r="L81" s="334"/>
      <c r="M81" s="334"/>
      <c r="N81" s="334"/>
      <c r="O81" s="142">
        <f>N81+M81+L81+K81+J81+I81+H81+G81+F81+E81+D81+C81</f>
        <v>734735.34</v>
      </c>
      <c r="P81" s="337">
        <f>O81/B81</f>
        <v>0.61346701990603469</v>
      </c>
      <c r="Q81" s="331">
        <f>B81-O81</f>
        <v>462941.66000000003</v>
      </c>
    </row>
    <row r="82" spans="1:17" ht="15" customHeight="1" x14ac:dyDescent="0.25">
      <c r="A82" s="150" t="s">
        <v>119</v>
      </c>
      <c r="B82" s="151">
        <v>299420</v>
      </c>
      <c r="C82" s="152">
        <v>60576.32</v>
      </c>
      <c r="D82" s="326">
        <v>66783.360000000001</v>
      </c>
      <c r="E82" s="142">
        <v>29610</v>
      </c>
      <c r="F82" s="142">
        <v>26714.16</v>
      </c>
      <c r="G82" s="142"/>
      <c r="H82" s="142"/>
      <c r="I82" s="142"/>
      <c r="J82" s="141"/>
      <c r="K82" s="142"/>
      <c r="L82" s="142"/>
      <c r="M82" s="142"/>
      <c r="N82" s="142"/>
      <c r="O82" s="142">
        <f>N82+M82+L82+K82+J82+I82+H82+G82+F82+E82+D82+C82</f>
        <v>183683.84</v>
      </c>
      <c r="P82" s="337">
        <f>O82/B82</f>
        <v>0.61346549996660205</v>
      </c>
      <c r="Q82" s="331">
        <f>B82-O82</f>
        <v>115736.16</v>
      </c>
    </row>
    <row r="83" spans="1:17" ht="15" customHeight="1" thickBot="1" x14ac:dyDescent="0.3">
      <c r="A83" s="158" t="s">
        <v>120</v>
      </c>
      <c r="B83" s="168">
        <v>56416</v>
      </c>
      <c r="C83" s="169">
        <v>15160.03</v>
      </c>
      <c r="D83" s="325">
        <v>16136.08</v>
      </c>
      <c r="E83" s="146">
        <v>1853.17</v>
      </c>
      <c r="F83" s="146">
        <v>2147.71</v>
      </c>
      <c r="G83" s="146"/>
      <c r="H83" s="146"/>
      <c r="I83" s="146"/>
      <c r="J83" s="252"/>
      <c r="K83" s="146"/>
      <c r="L83" s="146"/>
      <c r="M83" s="146"/>
      <c r="N83" s="146"/>
      <c r="O83" s="142">
        <f>N83+M83+L83+K83+J83+I83+H83+G83+F83+E83+D83+C83</f>
        <v>35296.99</v>
      </c>
      <c r="P83" s="337">
        <f>O83/B83</f>
        <v>0.6256556650595575</v>
      </c>
      <c r="Q83" s="331">
        <f>B83-O83</f>
        <v>21119.010000000002</v>
      </c>
    </row>
    <row r="84" spans="1:17" ht="15" customHeight="1" thickBot="1" x14ac:dyDescent="0.3">
      <c r="A84" s="179" t="s">
        <v>121</v>
      </c>
      <c r="B84" s="181">
        <f>SUM(B81:B83)</f>
        <v>1553513</v>
      </c>
      <c r="C84" s="181">
        <f>SUM(C81:C83)</f>
        <v>318041.62</v>
      </c>
      <c r="D84" s="303">
        <f>D83+D82+D81</f>
        <v>350052.86</v>
      </c>
      <c r="E84" s="338">
        <f>E81+E82+E83+E79</f>
        <v>149903.16</v>
      </c>
      <c r="F84" s="186">
        <f>SUM(F81:F83)</f>
        <v>135718.53</v>
      </c>
      <c r="G84" s="186">
        <f>G83+G82+G81+G79</f>
        <v>0</v>
      </c>
      <c r="H84" s="186">
        <f>H83+H82+H81</f>
        <v>0</v>
      </c>
      <c r="I84" s="186">
        <f>SUM(I81:I83)</f>
        <v>0</v>
      </c>
      <c r="J84" s="186">
        <f>J83+J82+J81</f>
        <v>0</v>
      </c>
      <c r="K84" s="186">
        <f>SUM(K81:K83)</f>
        <v>0</v>
      </c>
      <c r="L84" s="186">
        <f>SUM(L81:L83)</f>
        <v>0</v>
      </c>
      <c r="M84" s="186">
        <f>M83+M82+M81</f>
        <v>0</v>
      </c>
      <c r="N84" s="186">
        <f>SUM(N81:N83)</f>
        <v>0</v>
      </c>
      <c r="O84" s="186">
        <f>SUM(O81:O83)</f>
        <v>953716.16999999993</v>
      </c>
      <c r="P84" s="339">
        <f>O84/B84</f>
        <v>0.61390935898186882</v>
      </c>
      <c r="Q84" s="340">
        <f>Q81+Q82+Q83</f>
        <v>599796.83000000007</v>
      </c>
    </row>
    <row r="85" spans="1:17" ht="15" customHeight="1" x14ac:dyDescent="0.25">
      <c r="A85" s="167" t="s">
        <v>122</v>
      </c>
      <c r="B85" s="149">
        <v>0</v>
      </c>
      <c r="C85" s="157"/>
      <c r="D85" s="319"/>
      <c r="E85" s="334"/>
      <c r="F85" s="334"/>
      <c r="G85" s="334"/>
      <c r="H85" s="334"/>
      <c r="I85" s="334"/>
      <c r="J85" s="335"/>
      <c r="K85" s="334"/>
      <c r="L85" s="334"/>
      <c r="M85" s="334"/>
      <c r="N85" s="334"/>
      <c r="O85" s="142">
        <f t="shared" ref="O85:O102" si="14">N85+M85+L85+K85+J85+I85+H85+G85+F85+E85+D85+C85</f>
        <v>0</v>
      </c>
      <c r="P85" s="337">
        <v>0</v>
      </c>
      <c r="Q85" s="331">
        <f>B85-O85</f>
        <v>0</v>
      </c>
    </row>
    <row r="86" spans="1:17" ht="15" customHeight="1" x14ac:dyDescent="0.25">
      <c r="A86" s="137" t="s">
        <v>123</v>
      </c>
      <c r="B86" s="397">
        <v>0</v>
      </c>
      <c r="C86" s="139"/>
      <c r="D86" s="319"/>
      <c r="E86" s="166"/>
      <c r="F86" s="166"/>
      <c r="G86" s="166"/>
      <c r="H86" s="166"/>
      <c r="I86" s="166"/>
      <c r="J86" s="386"/>
      <c r="K86" s="166"/>
      <c r="L86" s="166"/>
      <c r="M86" s="166"/>
      <c r="N86" s="166"/>
      <c r="O86" s="142">
        <f t="shared" si="14"/>
        <v>0</v>
      </c>
      <c r="P86" s="337">
        <v>0</v>
      </c>
      <c r="Q86" s="331">
        <f>B86-O86</f>
        <v>0</v>
      </c>
    </row>
    <row r="87" spans="1:17" ht="15" customHeight="1" thickBot="1" x14ac:dyDescent="0.3">
      <c r="A87" s="150" t="s">
        <v>124</v>
      </c>
      <c r="B87" s="151">
        <v>3000</v>
      </c>
      <c r="C87" s="152">
        <v>500</v>
      </c>
      <c r="D87" s="321"/>
      <c r="E87" s="146">
        <v>700</v>
      </c>
      <c r="F87" s="146"/>
      <c r="G87" s="146"/>
      <c r="H87" s="146"/>
      <c r="I87" s="146"/>
      <c r="J87" s="252"/>
      <c r="K87" s="146"/>
      <c r="L87" s="146"/>
      <c r="M87" s="146"/>
      <c r="N87" s="146"/>
      <c r="O87" s="142">
        <f t="shared" si="14"/>
        <v>1200</v>
      </c>
      <c r="P87" s="332">
        <f t="shared" ref="P87:P92" si="15">O87/B87</f>
        <v>0.4</v>
      </c>
      <c r="Q87" s="331">
        <f>B87-O87</f>
        <v>1800</v>
      </c>
    </row>
    <row r="88" spans="1:17" ht="15" customHeight="1" thickBot="1" x14ac:dyDescent="0.3">
      <c r="A88" s="179" t="s">
        <v>125</v>
      </c>
      <c r="B88" s="181">
        <f>SUM(B85:B87)</f>
        <v>3000</v>
      </c>
      <c r="C88" s="181">
        <f t="shared" ref="C88:H88" si="16">C87+C85</f>
        <v>500</v>
      </c>
      <c r="D88" s="303">
        <f t="shared" si="16"/>
        <v>0</v>
      </c>
      <c r="E88" s="338">
        <f t="shared" si="16"/>
        <v>700</v>
      </c>
      <c r="F88" s="186">
        <f t="shared" si="16"/>
        <v>0</v>
      </c>
      <c r="G88" s="186">
        <f t="shared" si="16"/>
        <v>0</v>
      </c>
      <c r="H88" s="186">
        <f t="shared" si="16"/>
        <v>0</v>
      </c>
      <c r="I88" s="186">
        <f>SUM(I85:I87)</f>
        <v>0</v>
      </c>
      <c r="J88" s="186">
        <f>J87+J85+J86</f>
        <v>0</v>
      </c>
      <c r="K88" s="186">
        <f>SUM(K85:K87)</f>
        <v>0</v>
      </c>
      <c r="L88" s="186">
        <f>L85+L86+L87</f>
        <v>0</v>
      </c>
      <c r="M88" s="186">
        <f>M87+M85</f>
        <v>0</v>
      </c>
      <c r="N88" s="186">
        <f>SUM(N85:N87)</f>
        <v>0</v>
      </c>
      <c r="O88" s="186">
        <f>O85+O86+O87</f>
        <v>1200</v>
      </c>
      <c r="P88" s="339">
        <f t="shared" si="15"/>
        <v>0.4</v>
      </c>
      <c r="Q88" s="340">
        <f>SUM(Q85:Q87)</f>
        <v>1800</v>
      </c>
    </row>
    <row r="89" spans="1:17" ht="15" customHeight="1" thickBot="1" x14ac:dyDescent="0.3">
      <c r="A89" s="170" t="s">
        <v>126</v>
      </c>
      <c r="B89" s="171">
        <v>200000</v>
      </c>
      <c r="C89" s="166">
        <v>7248.89</v>
      </c>
      <c r="D89" s="321">
        <v>9054.9</v>
      </c>
      <c r="E89" s="166">
        <v>8756.77</v>
      </c>
      <c r="F89" s="166">
        <v>8018.78</v>
      </c>
      <c r="G89" s="166"/>
      <c r="H89" s="166"/>
      <c r="I89" s="166"/>
      <c r="J89" s="171"/>
      <c r="K89" s="166"/>
      <c r="L89" s="166"/>
      <c r="M89" s="166"/>
      <c r="N89" s="166"/>
      <c r="O89" s="142">
        <f t="shared" si="14"/>
        <v>33079.339999999997</v>
      </c>
      <c r="P89" s="341">
        <f t="shared" si="15"/>
        <v>0.16539669999999998</v>
      </c>
      <c r="Q89" s="331">
        <f>B89-O89</f>
        <v>166920.66</v>
      </c>
    </row>
    <row r="90" spans="1:17" ht="15" customHeight="1" thickBot="1" x14ac:dyDescent="0.3">
      <c r="A90" s="179" t="s">
        <v>127</v>
      </c>
      <c r="B90" s="185">
        <f>SUM(B89)</f>
        <v>200000</v>
      </c>
      <c r="C90" s="185">
        <f t="shared" ref="C90:N90" si="17">C89</f>
        <v>7248.89</v>
      </c>
      <c r="D90" s="327">
        <f t="shared" si="17"/>
        <v>9054.9</v>
      </c>
      <c r="E90" s="338">
        <f t="shared" si="17"/>
        <v>8756.77</v>
      </c>
      <c r="F90" s="186">
        <f t="shared" si="17"/>
        <v>8018.78</v>
      </c>
      <c r="G90" s="186">
        <f t="shared" si="17"/>
        <v>0</v>
      </c>
      <c r="H90" s="186">
        <f t="shared" si="17"/>
        <v>0</v>
      </c>
      <c r="I90" s="186">
        <f t="shared" si="17"/>
        <v>0</v>
      </c>
      <c r="J90" s="186">
        <f t="shared" si="17"/>
        <v>0</v>
      </c>
      <c r="K90" s="186">
        <f t="shared" si="17"/>
        <v>0</v>
      </c>
      <c r="L90" s="186">
        <f t="shared" si="17"/>
        <v>0</v>
      </c>
      <c r="M90" s="186">
        <f t="shared" si="17"/>
        <v>0</v>
      </c>
      <c r="N90" s="186">
        <f t="shared" si="17"/>
        <v>0</v>
      </c>
      <c r="O90" s="186">
        <f>O89</f>
        <v>33079.339999999997</v>
      </c>
      <c r="P90" s="339">
        <f t="shared" si="15"/>
        <v>0.16539669999999998</v>
      </c>
      <c r="Q90" s="340">
        <f>SUM(Q89)</f>
        <v>166920.66</v>
      </c>
    </row>
    <row r="91" spans="1:17" ht="15" customHeight="1" thickBot="1" x14ac:dyDescent="0.3">
      <c r="A91" s="172" t="s">
        <v>128</v>
      </c>
      <c r="B91" s="151">
        <v>0</v>
      </c>
      <c r="C91" s="152">
        <v>0</v>
      </c>
      <c r="D91" s="321">
        <v>0</v>
      </c>
      <c r="E91" s="334"/>
      <c r="F91" s="334">
        <v>0</v>
      </c>
      <c r="G91" s="334"/>
      <c r="H91" s="334">
        <v>0</v>
      </c>
      <c r="I91" s="334">
        <v>0</v>
      </c>
      <c r="J91" s="335">
        <v>0</v>
      </c>
      <c r="K91" s="334">
        <v>0</v>
      </c>
      <c r="L91" s="334">
        <v>0</v>
      </c>
      <c r="M91" s="334">
        <v>0</v>
      </c>
      <c r="N91" s="334">
        <v>0</v>
      </c>
      <c r="O91" s="142">
        <f t="shared" si="14"/>
        <v>0</v>
      </c>
      <c r="P91" s="341" t="e">
        <f t="shared" si="15"/>
        <v>#DIV/0!</v>
      </c>
      <c r="Q91" s="331">
        <f>B91-O91</f>
        <v>0</v>
      </c>
    </row>
    <row r="92" spans="1:17" ht="15" customHeight="1" thickBot="1" x14ac:dyDescent="0.3">
      <c r="A92" s="179" t="s">
        <v>129</v>
      </c>
      <c r="B92" s="352">
        <f>SUM(B91)</f>
        <v>0</v>
      </c>
      <c r="C92" s="185">
        <f t="shared" ref="C92:O92" si="18">C91</f>
        <v>0</v>
      </c>
      <c r="D92" s="327">
        <f t="shared" si="18"/>
        <v>0</v>
      </c>
      <c r="E92" s="338">
        <f t="shared" si="18"/>
        <v>0</v>
      </c>
      <c r="F92" s="186">
        <f t="shared" si="18"/>
        <v>0</v>
      </c>
      <c r="G92" s="186">
        <f t="shared" si="18"/>
        <v>0</v>
      </c>
      <c r="H92" s="186">
        <f t="shared" si="18"/>
        <v>0</v>
      </c>
      <c r="I92" s="186">
        <f t="shared" si="18"/>
        <v>0</v>
      </c>
      <c r="J92" s="186">
        <f t="shared" si="18"/>
        <v>0</v>
      </c>
      <c r="K92" s="186">
        <f t="shared" si="18"/>
        <v>0</v>
      </c>
      <c r="L92" s="186">
        <f>L91</f>
        <v>0</v>
      </c>
      <c r="M92" s="186">
        <f t="shared" si="18"/>
        <v>0</v>
      </c>
      <c r="N92" s="186">
        <f t="shared" si="18"/>
        <v>0</v>
      </c>
      <c r="O92" s="186">
        <f t="shared" si="18"/>
        <v>0</v>
      </c>
      <c r="P92" s="339" t="e">
        <f t="shared" si="15"/>
        <v>#DIV/0!</v>
      </c>
      <c r="Q92" s="340">
        <f>SUM(Q91)</f>
        <v>0</v>
      </c>
    </row>
    <row r="93" spans="1:17" ht="15" customHeight="1" x14ac:dyDescent="0.25">
      <c r="A93" s="172" t="s">
        <v>130</v>
      </c>
      <c r="B93" s="151">
        <v>80000</v>
      </c>
      <c r="C93" s="152">
        <v>1948</v>
      </c>
      <c r="D93" s="321"/>
      <c r="E93" s="334"/>
      <c r="F93" s="334"/>
      <c r="G93" s="334"/>
      <c r="H93" s="334"/>
      <c r="I93" s="334"/>
      <c r="J93" s="335"/>
      <c r="K93" s="334"/>
      <c r="L93" s="334"/>
      <c r="M93" s="334"/>
      <c r="N93" s="334"/>
      <c r="O93" s="142">
        <f t="shared" si="14"/>
        <v>1948</v>
      </c>
      <c r="P93" s="337">
        <f t="shared" ref="P93:P102" si="19">O93/B93</f>
        <v>2.435E-2</v>
      </c>
      <c r="Q93" s="331">
        <f t="shared" ref="Q93:Q102" si="20">B93-O93</f>
        <v>78052</v>
      </c>
    </row>
    <row r="94" spans="1:17" ht="15" customHeight="1" x14ac:dyDescent="0.25">
      <c r="A94" s="172" t="s">
        <v>131</v>
      </c>
      <c r="B94" s="151">
        <v>2330.6999999999998</v>
      </c>
      <c r="C94" s="152">
        <v>2330.6999999999998</v>
      </c>
      <c r="D94" s="321"/>
      <c r="E94" s="334"/>
      <c r="F94" s="334"/>
      <c r="G94" s="334"/>
      <c r="H94" s="334"/>
      <c r="I94" s="334"/>
      <c r="J94" s="335"/>
      <c r="K94" s="334"/>
      <c r="L94" s="334"/>
      <c r="M94" s="334"/>
      <c r="N94" s="334"/>
      <c r="O94" s="142">
        <f t="shared" si="14"/>
        <v>2330.6999999999998</v>
      </c>
      <c r="P94" s="337">
        <f t="shared" si="19"/>
        <v>1</v>
      </c>
      <c r="Q94" s="331">
        <f t="shared" si="20"/>
        <v>0</v>
      </c>
    </row>
    <row r="95" spans="1:17" ht="15" customHeight="1" x14ac:dyDescent="0.25">
      <c r="A95" s="172" t="s">
        <v>132</v>
      </c>
      <c r="B95" s="151">
        <v>150000</v>
      </c>
      <c r="C95" s="152">
        <v>0</v>
      </c>
      <c r="D95" s="321">
        <v>5998</v>
      </c>
      <c r="E95" s="334"/>
      <c r="F95" s="334"/>
      <c r="G95" s="334"/>
      <c r="H95" s="334"/>
      <c r="I95" s="334"/>
      <c r="J95" s="335"/>
      <c r="K95" s="334"/>
      <c r="L95" s="334"/>
      <c r="M95" s="334"/>
      <c r="N95" s="334"/>
      <c r="O95" s="142">
        <f t="shared" si="14"/>
        <v>5998</v>
      </c>
      <c r="P95" s="337">
        <f t="shared" si="19"/>
        <v>3.9986666666666663E-2</v>
      </c>
      <c r="Q95" s="331">
        <f t="shared" si="20"/>
        <v>144002</v>
      </c>
    </row>
    <row r="96" spans="1:17" ht="15" customHeight="1" x14ac:dyDescent="0.25">
      <c r="A96" s="172" t="s">
        <v>133</v>
      </c>
      <c r="B96" s="151">
        <v>0</v>
      </c>
      <c r="C96" s="152">
        <v>0</v>
      </c>
      <c r="D96" s="321"/>
      <c r="E96" s="142"/>
      <c r="F96" s="142"/>
      <c r="G96" s="142"/>
      <c r="H96" s="142"/>
      <c r="I96" s="142"/>
      <c r="J96" s="143"/>
      <c r="K96" s="142"/>
      <c r="L96" s="142"/>
      <c r="M96" s="142"/>
      <c r="N96" s="142"/>
      <c r="O96" s="142">
        <f t="shared" si="14"/>
        <v>0</v>
      </c>
      <c r="P96" s="337" t="e">
        <f t="shared" si="19"/>
        <v>#DIV/0!</v>
      </c>
      <c r="Q96" s="331">
        <f t="shared" si="20"/>
        <v>0</v>
      </c>
    </row>
    <row r="97" spans="1:18" ht="15" customHeight="1" x14ac:dyDescent="0.25">
      <c r="A97" s="351" t="s">
        <v>134</v>
      </c>
      <c r="B97" s="151">
        <v>0</v>
      </c>
      <c r="C97" s="152">
        <v>0</v>
      </c>
      <c r="D97" s="321"/>
      <c r="E97" s="142"/>
      <c r="F97" s="142"/>
      <c r="G97" s="142"/>
      <c r="H97" s="142"/>
      <c r="I97" s="142"/>
      <c r="J97" s="143"/>
      <c r="K97" s="142"/>
      <c r="L97" s="142"/>
      <c r="M97" s="142"/>
      <c r="N97" s="142"/>
      <c r="O97" s="142">
        <f t="shared" si="14"/>
        <v>0</v>
      </c>
      <c r="P97" s="337" t="e">
        <f t="shared" si="19"/>
        <v>#DIV/0!</v>
      </c>
      <c r="Q97" s="331">
        <f t="shared" si="20"/>
        <v>0</v>
      </c>
    </row>
    <row r="98" spans="1:18" ht="15" customHeight="1" x14ac:dyDescent="0.25">
      <c r="A98" s="172" t="s">
        <v>135</v>
      </c>
      <c r="B98" s="151">
        <v>17669.3</v>
      </c>
      <c r="C98" s="152">
        <v>0</v>
      </c>
      <c r="D98" s="321"/>
      <c r="E98" s="142"/>
      <c r="F98" s="142"/>
      <c r="G98" s="142"/>
      <c r="H98" s="142"/>
      <c r="I98" s="142"/>
      <c r="J98" s="143"/>
      <c r="K98" s="142"/>
      <c r="L98" s="142"/>
      <c r="M98" s="142"/>
      <c r="N98" s="142"/>
      <c r="O98" s="142">
        <f t="shared" si="14"/>
        <v>0</v>
      </c>
      <c r="P98" s="337">
        <f t="shared" si="19"/>
        <v>0</v>
      </c>
      <c r="Q98" s="331">
        <f t="shared" si="20"/>
        <v>17669.3</v>
      </c>
    </row>
    <row r="99" spans="1:18" ht="15" customHeight="1" x14ac:dyDescent="0.25">
      <c r="A99" s="172" t="s">
        <v>136</v>
      </c>
      <c r="B99" s="151">
        <v>180000</v>
      </c>
      <c r="C99" s="152">
        <v>15000</v>
      </c>
      <c r="D99" s="321">
        <v>15000</v>
      </c>
      <c r="E99" s="142">
        <v>15000</v>
      </c>
      <c r="F99" s="142">
        <v>15000</v>
      </c>
      <c r="G99" s="142"/>
      <c r="H99" s="142"/>
      <c r="I99" s="142"/>
      <c r="J99" s="141"/>
      <c r="K99" s="142"/>
      <c r="L99" s="142"/>
      <c r="M99" s="142"/>
      <c r="N99" s="445"/>
      <c r="O99" s="142">
        <f t="shared" si="14"/>
        <v>60000</v>
      </c>
      <c r="P99" s="337">
        <f t="shared" si="19"/>
        <v>0.33333333333333331</v>
      </c>
      <c r="Q99" s="331">
        <f t="shared" si="20"/>
        <v>120000</v>
      </c>
    </row>
    <row r="100" spans="1:18" ht="15" customHeight="1" x14ac:dyDescent="0.25">
      <c r="A100" s="150" t="s">
        <v>137</v>
      </c>
      <c r="B100" s="151">
        <v>0</v>
      </c>
      <c r="C100" s="152">
        <v>0</v>
      </c>
      <c r="D100" s="321"/>
      <c r="E100" s="142"/>
      <c r="F100" s="142"/>
      <c r="G100" s="142"/>
      <c r="H100" s="142"/>
      <c r="I100" s="142"/>
      <c r="J100" s="143"/>
      <c r="K100" s="142"/>
      <c r="L100" s="142"/>
      <c r="M100" s="142"/>
      <c r="N100" s="142"/>
      <c r="O100" s="142">
        <f t="shared" si="14"/>
        <v>0</v>
      </c>
      <c r="P100" s="337" t="e">
        <f t="shared" si="19"/>
        <v>#DIV/0!</v>
      </c>
      <c r="Q100" s="331">
        <f t="shared" si="20"/>
        <v>0</v>
      </c>
    </row>
    <row r="101" spans="1:18" ht="15" hidden="1" customHeight="1" thickBot="1" x14ac:dyDescent="0.3">
      <c r="A101" s="158" t="s">
        <v>138</v>
      </c>
      <c r="B101" s="154">
        <v>0</v>
      </c>
      <c r="C101" s="159"/>
      <c r="D101" s="305"/>
      <c r="E101" s="146"/>
      <c r="F101" s="146"/>
      <c r="G101" s="146"/>
      <c r="H101" s="146"/>
      <c r="I101" s="146"/>
      <c r="J101" s="147"/>
      <c r="K101" s="146"/>
      <c r="L101" s="146"/>
      <c r="M101" s="146"/>
      <c r="N101" s="146"/>
      <c r="O101" s="142">
        <f t="shared" si="14"/>
        <v>0</v>
      </c>
      <c r="P101" s="337" t="e">
        <f t="shared" si="19"/>
        <v>#DIV/0!</v>
      </c>
      <c r="Q101" s="331">
        <f t="shared" si="20"/>
        <v>0</v>
      </c>
    </row>
    <row r="102" spans="1:18" ht="15" customHeight="1" thickBot="1" x14ac:dyDescent="0.3">
      <c r="A102" s="162" t="s">
        <v>139</v>
      </c>
      <c r="B102" s="163">
        <v>30000</v>
      </c>
      <c r="C102" s="161">
        <v>0</v>
      </c>
      <c r="D102" s="142"/>
      <c r="E102" s="398"/>
      <c r="F102" s="399"/>
      <c r="G102" s="398"/>
      <c r="H102" s="166"/>
      <c r="I102" s="166"/>
      <c r="J102" s="386"/>
      <c r="K102" s="166"/>
      <c r="L102" s="166"/>
      <c r="M102" s="166"/>
      <c r="N102" s="166"/>
      <c r="O102" s="142">
        <f t="shared" si="14"/>
        <v>0</v>
      </c>
      <c r="P102" s="341">
        <f t="shared" si="19"/>
        <v>0</v>
      </c>
      <c r="Q102" s="331">
        <f t="shared" si="20"/>
        <v>30000</v>
      </c>
    </row>
    <row r="103" spans="1:18" ht="15" customHeight="1" thickBot="1" x14ac:dyDescent="0.3">
      <c r="A103" s="187" t="s">
        <v>140</v>
      </c>
      <c r="B103" s="188">
        <f>B93+B94+B95+B96+B97+B98+B99+B100+B102</f>
        <v>460000</v>
      </c>
      <c r="C103" s="188">
        <f>SUM(C93:C102)</f>
        <v>19278.7</v>
      </c>
      <c r="D103" s="408">
        <f>D98+D99+D100+D101+D97+D96+D95+D94+D93</f>
        <v>20998</v>
      </c>
      <c r="E103" s="338">
        <f>E101+E100+E99+E98+E97+E96+E95+E94+E93+E102</f>
        <v>15000</v>
      </c>
      <c r="F103" s="344">
        <f>F101+F100+F99+F98+F97+F96+F95+F94+F93</f>
        <v>15000</v>
      </c>
      <c r="G103" s="343">
        <f>G101+G100+G99+G98</f>
        <v>0</v>
      </c>
      <c r="H103" s="186">
        <f>SUM(H93:H101)</f>
        <v>0</v>
      </c>
      <c r="I103" s="186">
        <f>SUM(I93:I102)</f>
        <v>0</v>
      </c>
      <c r="J103" s="186">
        <f>J95+J98+J99+J100+J101</f>
        <v>0</v>
      </c>
      <c r="K103" s="186">
        <f>K93+K94+K95+K96+K97+K98+K99+K100</f>
        <v>0</v>
      </c>
      <c r="L103" s="186">
        <f>SUM(L95:L100)</f>
        <v>0</v>
      </c>
      <c r="M103" s="186">
        <f>M95+M98+M99+M100+M101</f>
        <v>0</v>
      </c>
      <c r="N103" s="186">
        <f>N95+N98+N99+N100+N101</f>
        <v>0</v>
      </c>
      <c r="O103" s="186">
        <f>O93+O94+O95+O96+O97+O98+O99+O100</f>
        <v>70276.7</v>
      </c>
      <c r="P103" s="339">
        <f>O103/B103</f>
        <v>0.15277543478260869</v>
      </c>
      <c r="Q103" s="409">
        <f>Q93+Q94+Q95+Q96+Q97+Q98+Q99+Q100+Q102</f>
        <v>389723.3</v>
      </c>
    </row>
    <row r="104" spans="1:18" ht="15" customHeight="1" thickBot="1" x14ac:dyDescent="0.3">
      <c r="A104" s="173" t="s">
        <v>141</v>
      </c>
      <c r="B104" s="174">
        <f>B15+B19+B21+B26+B36+B43+B46+B48+B50+B77+B80+B84+B88+B90+B92+B103</f>
        <v>6260000</v>
      </c>
      <c r="C104" s="174">
        <f>C15+C19+C21+C26+C36+C43+C46+C50+C77+C84+C88+C90+C92+C103</f>
        <v>602093.75</v>
      </c>
      <c r="D104" s="174">
        <f>D15+D19+D21+D26+D36+D43+D46+D48+D50+D77+D80+D84+D88+D90+D103</f>
        <v>668819.69000000006</v>
      </c>
      <c r="E104" s="347">
        <f>E103+E90+E88+E84+E80+E77+E50+E48+E46+E43+E36+E26+E21+E19+E15</f>
        <v>486902.83999999997</v>
      </c>
      <c r="F104" s="347">
        <f>F15+F19+F21+F26+F36+F43+F46+F48+F50+F77+F80+F84+F88+F90+F103</f>
        <v>405334.30000000005</v>
      </c>
      <c r="G104" s="347">
        <f>G15+G19+G21+G26+G36+G43+G46+G48+G50+G77+G80+G84+G88+G90+G103</f>
        <v>0</v>
      </c>
      <c r="H104" s="347">
        <f>H15+H19+H21+H26+H36+H43+H46+H48+H50+H77+H80+H84+H88+H90+H103</f>
        <v>0</v>
      </c>
      <c r="I104" s="347">
        <f>I15+I19+I21+I26+I36+I43+I46+I48+I50+I77+I80+I84+I88+I90+I92+I103</f>
        <v>0</v>
      </c>
      <c r="J104" s="347">
        <f>J15+J19+J21+J26+J36+J43+J46+J48+J50+J77+J80+J84+J88+J90+J103</f>
        <v>0</v>
      </c>
      <c r="K104" s="347">
        <f>K15+K19+K26+K36+K43+K46+K48+K50+K77+K80+K84+K88+K90+K103+K21</f>
        <v>0</v>
      </c>
      <c r="L104" s="347">
        <f>L15+L19+L21+L26+L36+L43+L46+L48+L50+L77+L80+L84+L88+L90+L103</f>
        <v>0</v>
      </c>
      <c r="M104" s="347">
        <f>M15+M19+M21+M26+M36+M43+M46+M48+M50+M77+M80+M84+M88+M90+M103</f>
        <v>0</v>
      </c>
      <c r="N104" s="347">
        <f>N15+N19+N21+N26+N36+N43+N46+N48+N50+N77+N80+N84+N88+N90+N103</f>
        <v>0</v>
      </c>
      <c r="O104" s="347">
        <f>O15+O19+O21+O26+O36++O46+O43+O48+O50+O77+O84+O80+O88+O90+O103</f>
        <v>2163150.58</v>
      </c>
      <c r="P104" s="348">
        <f>O104/B104</f>
        <v>0.34555121086261981</v>
      </c>
      <c r="Q104" s="349">
        <f>Q15+Q19+Q21+Q26+Q36+Q43+Q46+Q48+Q50+Q77+Q80+Q84+Q88+Q90+Q92+Q103</f>
        <v>4096849.42</v>
      </c>
      <c r="R104" s="436"/>
    </row>
    <row r="105" spans="1:18" ht="15" customHeight="1" thickBot="1" x14ac:dyDescent="0.3">
      <c r="A105" s="175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7"/>
      <c r="Q105" s="178"/>
      <c r="R105" s="381"/>
    </row>
    <row r="106" spans="1:18" ht="15" customHeight="1" x14ac:dyDescent="0.25">
      <c r="A106" s="553" t="s">
        <v>142</v>
      </c>
      <c r="B106" s="554"/>
      <c r="C106" s="299" t="s">
        <v>29</v>
      </c>
      <c r="D106" s="299" t="s">
        <v>30</v>
      </c>
      <c r="E106" s="299" t="s">
        <v>31</v>
      </c>
      <c r="F106" s="299" t="s">
        <v>32</v>
      </c>
      <c r="G106" s="299" t="s">
        <v>33</v>
      </c>
      <c r="H106" s="299" t="s">
        <v>34</v>
      </c>
      <c r="I106" s="299" t="s">
        <v>35</v>
      </c>
      <c r="J106" s="299" t="s">
        <v>36</v>
      </c>
      <c r="K106" s="299" t="s">
        <v>37</v>
      </c>
      <c r="L106" s="299" t="s">
        <v>38</v>
      </c>
      <c r="M106" s="299" t="s">
        <v>39</v>
      </c>
      <c r="N106" s="299" t="s">
        <v>40</v>
      </c>
      <c r="O106" s="561" t="s">
        <v>26</v>
      </c>
      <c r="P106" s="562"/>
      <c r="Q106" s="563"/>
      <c r="R106" s="301"/>
    </row>
    <row r="107" spans="1:18" ht="15" customHeight="1" x14ac:dyDescent="0.25">
      <c r="A107" s="555" t="s">
        <v>143</v>
      </c>
      <c r="B107" s="556"/>
      <c r="C107" s="365">
        <f>'RELATÓRIO DA RECEITA  2020'!C54</f>
        <v>1227425.54</v>
      </c>
      <c r="D107" s="365">
        <f>'RELATÓRIO DA RECEITA  2020'!D54</f>
        <v>1351339.68</v>
      </c>
      <c r="E107" s="365">
        <f>'RELATÓRIO DA RECEITA  2020'!E54</f>
        <v>610156.17000000016</v>
      </c>
      <c r="F107" s="365">
        <f>'RELATÓRIO DA RECEITA  2020'!F54</f>
        <v>550104.25</v>
      </c>
      <c r="G107" s="365">
        <f>'RELATÓRIO DA RECEITA  2020'!G54</f>
        <v>0</v>
      </c>
      <c r="H107" s="365">
        <f>'RELATÓRIO DA RECEITA  2020'!H54</f>
        <v>0</v>
      </c>
      <c r="I107" s="365">
        <f>'RELATÓRIO DA RECEITA  2020'!I54</f>
        <v>0</v>
      </c>
      <c r="J107" s="365">
        <f>'RELATÓRIO DA RECEITA  2020'!J54</f>
        <v>0</v>
      </c>
      <c r="K107" s="365">
        <f>'RELATÓRIO DA RECEITA  2020'!K54</f>
        <v>0</v>
      </c>
      <c r="L107" s="365">
        <f>'RELATÓRIO DA RECEITA  2020'!L54</f>
        <v>0</v>
      </c>
      <c r="M107" s="365">
        <f>'RELATÓRIO DA RECEITA  2020'!M54</f>
        <v>0</v>
      </c>
      <c r="N107" s="365">
        <f>'RELATÓRIO DA RECEITA  2020'!N54</f>
        <v>0</v>
      </c>
      <c r="O107" s="564">
        <f>C107+D107+E107+F107+G107+H107+I107+J107+K107+L107+M107+N107</f>
        <v>3739025.6399999997</v>
      </c>
      <c r="P107" s="565"/>
      <c r="Q107" s="566"/>
      <c r="R107" s="300"/>
    </row>
    <row r="108" spans="1:18" ht="15" customHeight="1" x14ac:dyDescent="0.25">
      <c r="A108" s="557" t="s">
        <v>144</v>
      </c>
      <c r="B108" s="558"/>
      <c r="C108" s="366">
        <f t="shared" ref="C108:H108" si="21">C104</f>
        <v>602093.75</v>
      </c>
      <c r="D108" s="366">
        <f t="shared" si="21"/>
        <v>668819.69000000006</v>
      </c>
      <c r="E108" s="366">
        <f t="shared" si="21"/>
        <v>486902.83999999997</v>
      </c>
      <c r="F108" s="366">
        <f t="shared" si="21"/>
        <v>405334.30000000005</v>
      </c>
      <c r="G108" s="366">
        <f t="shared" si="21"/>
        <v>0</v>
      </c>
      <c r="H108" s="366">
        <f t="shared" si="21"/>
        <v>0</v>
      </c>
      <c r="I108" s="366">
        <f t="shared" ref="I108:N108" si="22">I104</f>
        <v>0</v>
      </c>
      <c r="J108" s="366">
        <f t="shared" si="22"/>
        <v>0</v>
      </c>
      <c r="K108" s="366">
        <f t="shared" si="22"/>
        <v>0</v>
      </c>
      <c r="L108" s="366">
        <f t="shared" si="22"/>
        <v>0</v>
      </c>
      <c r="M108" s="366">
        <f t="shared" si="22"/>
        <v>0</v>
      </c>
      <c r="N108" s="366">
        <f t="shared" si="22"/>
        <v>0</v>
      </c>
      <c r="O108" s="567">
        <f>C108+D108+E108+F108+G108+H108+I108+J108+K108+L108+M108+N108</f>
        <v>2163150.58</v>
      </c>
      <c r="P108" s="568"/>
      <c r="Q108" s="569"/>
      <c r="R108" s="300"/>
    </row>
    <row r="109" spans="1:18" ht="15" customHeight="1" thickBot="1" x14ac:dyDescent="0.3">
      <c r="A109" s="559" t="s">
        <v>145</v>
      </c>
      <c r="B109" s="560"/>
      <c r="C109" s="367">
        <f t="shared" ref="C109:H109" si="23">C107-C108</f>
        <v>625331.79</v>
      </c>
      <c r="D109" s="367">
        <f t="shared" si="23"/>
        <v>682519.98999999987</v>
      </c>
      <c r="E109" s="367">
        <f t="shared" si="23"/>
        <v>123253.33000000019</v>
      </c>
      <c r="F109" s="367">
        <f t="shared" si="23"/>
        <v>144769.94999999995</v>
      </c>
      <c r="G109" s="367">
        <f t="shared" si="23"/>
        <v>0</v>
      </c>
      <c r="H109" s="367">
        <f t="shared" si="23"/>
        <v>0</v>
      </c>
      <c r="I109" s="367">
        <f t="shared" ref="I109:O109" si="24">I107-I108</f>
        <v>0</v>
      </c>
      <c r="J109" s="367">
        <f t="shared" si="24"/>
        <v>0</v>
      </c>
      <c r="K109" s="367">
        <f t="shared" si="24"/>
        <v>0</v>
      </c>
      <c r="L109" s="367">
        <f t="shared" si="24"/>
        <v>0</v>
      </c>
      <c r="M109" s="367">
        <f t="shared" si="24"/>
        <v>0</v>
      </c>
      <c r="N109" s="367">
        <f t="shared" si="24"/>
        <v>0</v>
      </c>
      <c r="O109" s="570">
        <f t="shared" si="24"/>
        <v>1575875.0599999996</v>
      </c>
      <c r="P109" s="571"/>
      <c r="Q109" s="572"/>
      <c r="R109" s="300"/>
    </row>
    <row r="110" spans="1:18" ht="15" customHeight="1" x14ac:dyDescent="0.25">
      <c r="A110" s="300"/>
      <c r="B110" s="300"/>
      <c r="C110" s="301"/>
      <c r="D110" s="300"/>
      <c r="E110" s="300"/>
      <c r="F110" s="300"/>
      <c r="G110" s="300"/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</row>
    <row r="111" spans="1:18" ht="15" customHeight="1" x14ac:dyDescent="0.25">
      <c r="C111" s="136"/>
      <c r="D111" s="136"/>
      <c r="H111" s="136"/>
      <c r="J111" s="380"/>
      <c r="O111" s="136"/>
    </row>
    <row r="112" spans="1:18" ht="15" customHeight="1" x14ac:dyDescent="0.25">
      <c r="B112" s="380"/>
      <c r="C112" s="136"/>
      <c r="E112" s="411"/>
      <c r="G112" s="411"/>
      <c r="J112" s="380"/>
      <c r="K112" s="136"/>
      <c r="L112" s="380"/>
    </row>
    <row r="113" spans="3:17" ht="15" customHeight="1" x14ac:dyDescent="0.25">
      <c r="C113" s="136"/>
      <c r="Q113" s="381"/>
    </row>
    <row r="114" spans="3:17" ht="15" customHeight="1" x14ac:dyDescent="0.25">
      <c r="C114" s="136"/>
      <c r="I114" s="380"/>
    </row>
    <row r="115" spans="3:17" ht="15" customHeight="1" x14ac:dyDescent="0.25"/>
    <row r="116" spans="3:17" ht="15" customHeight="1" x14ac:dyDescent="0.25"/>
    <row r="117" spans="3:17" ht="15" customHeight="1" x14ac:dyDescent="0.25">
      <c r="E117" s="380"/>
      <c r="K117" s="380"/>
    </row>
    <row r="118" spans="3:17" ht="15" customHeight="1" x14ac:dyDescent="0.25">
      <c r="K118" s="381"/>
      <c r="O118" s="380"/>
    </row>
    <row r="119" spans="3:17" ht="15" customHeight="1" x14ac:dyDescent="0.25"/>
    <row r="120" spans="3:17" ht="15" customHeight="1" x14ac:dyDescent="0.25"/>
    <row r="121" spans="3:17" ht="15" customHeight="1" x14ac:dyDescent="0.25"/>
    <row r="122" spans="3:17" ht="15" customHeight="1" x14ac:dyDescent="0.25"/>
    <row r="123" spans="3:17" ht="15" customHeight="1" x14ac:dyDescent="0.25"/>
    <row r="124" spans="3:17" ht="15" customHeight="1" x14ac:dyDescent="0.25"/>
    <row r="125" spans="3:17" ht="15" customHeight="1" x14ac:dyDescent="0.25"/>
  </sheetData>
  <mergeCells count="15">
    <mergeCell ref="A106:B106"/>
    <mergeCell ref="A107:B107"/>
    <mergeCell ref="A108:B108"/>
    <mergeCell ref="A109:B109"/>
    <mergeCell ref="O106:Q106"/>
    <mergeCell ref="O107:Q107"/>
    <mergeCell ref="O108:Q108"/>
    <mergeCell ref="O109:Q109"/>
    <mergeCell ref="A1:Q1"/>
    <mergeCell ref="A2:A3"/>
    <mergeCell ref="B2:B3"/>
    <mergeCell ref="O2:O3"/>
    <mergeCell ref="P2:P3"/>
    <mergeCell ref="Q2:Q3"/>
    <mergeCell ref="C2:N2"/>
  </mergeCells>
  <printOptions horizontalCentered="1" verticalCentered="1"/>
  <pageMargins left="0.51181102362204722" right="0.51181102362204722" top="0.19685039370078741" bottom="0.78740157480314965" header="0.31496062992125984" footer="0.31496062992125984"/>
  <pageSetup paperSize="9" scale="4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L33"/>
  <sheetViews>
    <sheetView showGridLines="0" zoomScale="130" zoomScaleNormal="130" workbookViewId="0">
      <selection activeCell="AC42" sqref="AC42"/>
    </sheetView>
  </sheetViews>
  <sheetFormatPr defaultColWidth="11.44140625" defaultRowHeight="13.2" x14ac:dyDescent="0.25"/>
  <cols>
    <col min="1" max="1" width="8.44140625" bestFit="1" customWidth="1"/>
    <col min="2" max="2" width="12.5546875" bestFit="1" customWidth="1"/>
    <col min="3" max="3" width="11.6640625" bestFit="1" customWidth="1"/>
    <col min="4" max="4" width="8" bestFit="1" customWidth="1"/>
    <col min="5" max="5" width="14" bestFit="1" customWidth="1"/>
    <col min="6" max="6" width="8" customWidth="1"/>
    <col min="7" max="7" width="13.33203125" customWidth="1"/>
    <col min="8" max="8" width="9.33203125" customWidth="1"/>
    <col min="9" max="9" width="14.6640625" bestFit="1" customWidth="1"/>
    <col min="10" max="10" width="13.33203125" bestFit="1" customWidth="1"/>
    <col min="11" max="11" width="12.44140625" bestFit="1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s="98" customFormat="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576" t="s">
        <v>297</v>
      </c>
      <c r="B4" s="576"/>
      <c r="C4" s="576"/>
      <c r="D4" s="576"/>
      <c r="E4" s="576"/>
      <c r="F4" s="576"/>
      <c r="G4" s="576"/>
      <c r="H4" s="576"/>
      <c r="I4" s="576"/>
      <c r="J4" s="576"/>
      <c r="K4" s="576"/>
    </row>
    <row r="5" spans="1:11" ht="13.8" thickBot="1" x14ac:dyDescent="0.3"/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x14ac:dyDescent="0.25">
      <c r="A7" s="46"/>
      <c r="B7" s="63" t="s">
        <v>200</v>
      </c>
      <c r="C7" s="63" t="s">
        <v>201</v>
      </c>
      <c r="D7" s="52"/>
      <c r="E7" s="45" t="s">
        <v>4</v>
      </c>
      <c r="F7" s="52"/>
      <c r="G7" s="45" t="s">
        <v>202</v>
      </c>
      <c r="H7" s="52"/>
      <c r="I7" s="63" t="s">
        <v>6</v>
      </c>
      <c r="J7" s="52" t="s">
        <v>203</v>
      </c>
      <c r="K7" s="52" t="s">
        <v>202</v>
      </c>
    </row>
    <row r="8" spans="1:11" x14ac:dyDescent="0.25">
      <c r="A8" s="44" t="s">
        <v>204</v>
      </c>
      <c r="B8" s="64" t="s">
        <v>205</v>
      </c>
      <c r="C8" s="64" t="s">
        <v>206</v>
      </c>
      <c r="D8" s="53" t="s">
        <v>12</v>
      </c>
      <c r="E8" s="15" t="s">
        <v>10</v>
      </c>
      <c r="F8" s="53" t="s">
        <v>12</v>
      </c>
      <c r="G8" s="15" t="s">
        <v>207</v>
      </c>
      <c r="H8" s="53" t="s">
        <v>12</v>
      </c>
      <c r="I8" s="64" t="s">
        <v>208</v>
      </c>
      <c r="J8" s="53" t="s">
        <v>209</v>
      </c>
      <c r="K8" s="53" t="s">
        <v>210</v>
      </c>
    </row>
    <row r="9" spans="1:11" ht="13.8" thickBot="1" x14ac:dyDescent="0.3">
      <c r="A9" s="47"/>
      <c r="B9" s="89">
        <v>2017</v>
      </c>
      <c r="C9" s="89">
        <v>2017</v>
      </c>
      <c r="D9" s="54" t="s">
        <v>211</v>
      </c>
      <c r="E9" s="89">
        <v>2017</v>
      </c>
      <c r="F9" s="54" t="s">
        <v>211</v>
      </c>
      <c r="G9" s="89">
        <v>2017</v>
      </c>
      <c r="H9" s="54"/>
      <c r="I9" s="89">
        <v>2017</v>
      </c>
      <c r="J9" s="89">
        <v>2017</v>
      </c>
      <c r="K9" s="54">
        <v>2017</v>
      </c>
    </row>
    <row r="10" spans="1:11" x14ac:dyDescent="0.25">
      <c r="A10" s="48" t="s">
        <v>212</v>
      </c>
      <c r="B10" s="278">
        <v>5426000</v>
      </c>
      <c r="C10" s="279">
        <v>599494.29</v>
      </c>
      <c r="D10" s="280">
        <f t="shared" ref="D10:D21" si="0">C10/B10</f>
        <v>0.11048549391817178</v>
      </c>
      <c r="E10" s="86">
        <v>346907.85</v>
      </c>
      <c r="F10" s="280">
        <f t="shared" ref="F10:F16" si="1">E10/B10</f>
        <v>6.3934362329524513E-2</v>
      </c>
      <c r="G10" s="276">
        <f t="shared" ref="G10:G16" si="2">C10-E10</f>
        <v>252586.44000000006</v>
      </c>
      <c r="H10" s="281">
        <f t="shared" ref="H10:H16" si="3">G10/C10</f>
        <v>0.42133252011457867</v>
      </c>
      <c r="I10" s="278">
        <v>837935.26</v>
      </c>
      <c r="J10" s="276">
        <v>199352.05</v>
      </c>
      <c r="K10" s="282">
        <f t="shared" ref="K10:K21" si="4">I10-J10</f>
        <v>638583.21</v>
      </c>
    </row>
    <row r="11" spans="1:11" x14ac:dyDescent="0.25">
      <c r="A11" s="48" t="s">
        <v>213</v>
      </c>
      <c r="B11" s="278">
        <v>5426000</v>
      </c>
      <c r="C11" s="276">
        <v>853895.52</v>
      </c>
      <c r="D11" s="280">
        <f t="shared" si="0"/>
        <v>0.15737108735716918</v>
      </c>
      <c r="E11" s="55">
        <v>424582.95</v>
      </c>
      <c r="F11" s="280">
        <f t="shared" si="1"/>
        <v>7.8249714338370815E-2</v>
      </c>
      <c r="G11" s="276">
        <f t="shared" si="2"/>
        <v>429312.57</v>
      </c>
      <c r="H11" s="281">
        <f t="shared" si="3"/>
        <v>0.50276943717891853</v>
      </c>
      <c r="I11" s="283">
        <v>1288358.72</v>
      </c>
      <c r="J11" s="276">
        <v>212873.3</v>
      </c>
      <c r="K11" s="282">
        <f t="shared" si="4"/>
        <v>1075485.42</v>
      </c>
    </row>
    <row r="12" spans="1:11" x14ac:dyDescent="0.25">
      <c r="A12" s="48" t="s">
        <v>214</v>
      </c>
      <c r="B12" s="278">
        <v>5437500</v>
      </c>
      <c r="C12" s="276">
        <v>585418.93000000005</v>
      </c>
      <c r="D12" s="280">
        <f t="shared" si="0"/>
        <v>0.10766325149425288</v>
      </c>
      <c r="E12" s="55">
        <v>381859.26</v>
      </c>
      <c r="F12" s="280">
        <f t="shared" si="1"/>
        <v>7.0226990344827586E-2</v>
      </c>
      <c r="G12" s="276">
        <f t="shared" si="2"/>
        <v>203559.67000000004</v>
      </c>
      <c r="H12" s="281">
        <f t="shared" si="3"/>
        <v>0.34771624142731433</v>
      </c>
      <c r="I12" s="283">
        <v>1502835.88</v>
      </c>
      <c r="J12" s="276">
        <v>204841.74</v>
      </c>
      <c r="K12" s="282">
        <f t="shared" si="4"/>
        <v>1297994.1399999999</v>
      </c>
    </row>
    <row r="13" spans="1:11" x14ac:dyDescent="0.25">
      <c r="A13" s="48" t="s">
        <v>215</v>
      </c>
      <c r="B13" s="278">
        <v>5437500</v>
      </c>
      <c r="C13" s="276">
        <v>728836.78</v>
      </c>
      <c r="D13" s="280">
        <f t="shared" si="0"/>
        <v>0.13403894804597702</v>
      </c>
      <c r="E13" s="55">
        <v>378273.77</v>
      </c>
      <c r="F13" s="280">
        <f t="shared" si="1"/>
        <v>6.9567589885057471E-2</v>
      </c>
      <c r="G13" s="276">
        <f t="shared" si="2"/>
        <v>350563.01</v>
      </c>
      <c r="H13" s="281">
        <f t="shared" si="3"/>
        <v>0.48098973545215434</v>
      </c>
      <c r="I13" s="283">
        <v>1829208.78</v>
      </c>
      <c r="J13" s="276">
        <v>210495.83</v>
      </c>
      <c r="K13" s="282">
        <f t="shared" si="4"/>
        <v>1618712.95</v>
      </c>
    </row>
    <row r="14" spans="1:11" x14ac:dyDescent="0.25">
      <c r="A14" s="48" t="s">
        <v>216</v>
      </c>
      <c r="B14" s="278">
        <v>5437500</v>
      </c>
      <c r="C14" s="276">
        <v>438089.44</v>
      </c>
      <c r="D14" s="284">
        <f t="shared" si="0"/>
        <v>8.0568172873563215E-2</v>
      </c>
      <c r="E14" s="55">
        <v>327829.14</v>
      </c>
      <c r="F14" s="280">
        <f t="shared" si="1"/>
        <v>6.0290416551724138E-2</v>
      </c>
      <c r="G14" s="285">
        <f t="shared" si="2"/>
        <v>110260.29999999999</v>
      </c>
      <c r="H14" s="281">
        <f t="shared" si="3"/>
        <v>0.25168445055420646</v>
      </c>
      <c r="I14" s="283">
        <v>1950678.83</v>
      </c>
      <c r="J14" s="276">
        <v>219765.28</v>
      </c>
      <c r="K14" s="286">
        <f t="shared" si="4"/>
        <v>1730913.55</v>
      </c>
    </row>
    <row r="15" spans="1:11" x14ac:dyDescent="0.25">
      <c r="A15" s="48" t="s">
        <v>217</v>
      </c>
      <c r="B15" s="278">
        <v>5437500</v>
      </c>
      <c r="C15" s="277">
        <v>319840.08</v>
      </c>
      <c r="D15" s="284">
        <f t="shared" si="0"/>
        <v>5.8821164137931037E-2</v>
      </c>
      <c r="E15" s="295">
        <v>275437.52</v>
      </c>
      <c r="F15" s="280">
        <f t="shared" si="1"/>
        <v>5.0655176091954024E-2</v>
      </c>
      <c r="G15" s="285">
        <f t="shared" si="2"/>
        <v>44402.559999999998</v>
      </c>
      <c r="H15" s="281">
        <f t="shared" si="3"/>
        <v>0.13882737898264658</v>
      </c>
      <c r="I15" s="287">
        <v>1995269.36</v>
      </c>
      <c r="J15" s="277">
        <v>240341.61</v>
      </c>
      <c r="K15" s="286">
        <f t="shared" si="4"/>
        <v>1754927.75</v>
      </c>
    </row>
    <row r="16" spans="1:11" x14ac:dyDescent="0.25">
      <c r="A16" s="48" t="s">
        <v>218</v>
      </c>
      <c r="B16" s="278">
        <v>5437500</v>
      </c>
      <c r="C16" s="288">
        <v>263942.64</v>
      </c>
      <c r="D16" s="284">
        <f t="shared" si="0"/>
        <v>4.8541175172413797E-2</v>
      </c>
      <c r="E16" s="295">
        <v>283916.13</v>
      </c>
      <c r="F16" s="280">
        <f t="shared" si="1"/>
        <v>5.2214460689655171E-2</v>
      </c>
      <c r="G16" s="285">
        <f t="shared" si="2"/>
        <v>-19973.489999999991</v>
      </c>
      <c r="H16" s="281">
        <f t="shared" si="3"/>
        <v>-7.567360090055926E-2</v>
      </c>
      <c r="I16" s="287">
        <v>1982155.84</v>
      </c>
      <c r="J16" s="277">
        <v>263680.21000000002</v>
      </c>
      <c r="K16" s="286">
        <f t="shared" si="4"/>
        <v>1718475.6300000001</v>
      </c>
    </row>
    <row r="17" spans="1:12" x14ac:dyDescent="0.25">
      <c r="A17" s="48" t="s">
        <v>219</v>
      </c>
      <c r="B17" s="278">
        <v>5437500</v>
      </c>
      <c r="C17" s="288">
        <v>278555.48</v>
      </c>
      <c r="D17" s="284">
        <f t="shared" si="0"/>
        <v>5.1228594022988502E-2</v>
      </c>
      <c r="E17" s="277">
        <v>307383.57</v>
      </c>
      <c r="F17" s="280">
        <f>E17/B17</f>
        <v>5.653031172413793E-2</v>
      </c>
      <c r="G17" s="285">
        <f>C17-E17</f>
        <v>-28828.090000000026</v>
      </c>
      <c r="H17" s="281">
        <f>G17/C17</f>
        <v>-0.10349137629602558</v>
      </c>
      <c r="I17" s="287">
        <v>1967621.05</v>
      </c>
      <c r="J17" s="277">
        <v>300835.76</v>
      </c>
      <c r="K17" s="286">
        <f t="shared" si="4"/>
        <v>1666785.29</v>
      </c>
    </row>
    <row r="18" spans="1:12" x14ac:dyDescent="0.25">
      <c r="A18" s="48" t="s">
        <v>220</v>
      </c>
      <c r="B18" s="278">
        <v>5437500</v>
      </c>
      <c r="C18" s="288">
        <v>186859.51999999999</v>
      </c>
      <c r="D18" s="284">
        <f t="shared" si="0"/>
        <v>3.4364969195402294E-2</v>
      </c>
      <c r="E18" s="288">
        <v>263043.40000000002</v>
      </c>
      <c r="F18" s="280">
        <f>E18/B18</f>
        <v>4.8375797701149428E-2</v>
      </c>
      <c r="G18" s="285">
        <f>C18-E18</f>
        <v>-76183.880000000034</v>
      </c>
      <c r="H18" s="281">
        <f>G18/C18</f>
        <v>-0.40770670929690944</v>
      </c>
      <c r="I18" s="287">
        <v>1877706.34</v>
      </c>
      <c r="J18" s="277">
        <v>295256.52</v>
      </c>
      <c r="K18" s="286">
        <f t="shared" si="4"/>
        <v>1582449.82</v>
      </c>
    </row>
    <row r="19" spans="1:12" x14ac:dyDescent="0.25">
      <c r="A19" s="48" t="s">
        <v>221</v>
      </c>
      <c r="B19" s="278">
        <v>5437500</v>
      </c>
      <c r="C19" s="288">
        <v>135737.24</v>
      </c>
      <c r="D19" s="284">
        <f t="shared" si="0"/>
        <v>2.4963170574712642E-2</v>
      </c>
      <c r="E19" s="288">
        <v>264364.03999999998</v>
      </c>
      <c r="F19" s="280">
        <f>E19/B19</f>
        <v>4.8618674022988501E-2</v>
      </c>
      <c r="G19" s="285">
        <f>C19-E19</f>
        <v>-128626.79999999999</v>
      </c>
      <c r="H19" s="281">
        <f>G19/C19</f>
        <v>-0.94761614425046503</v>
      </c>
      <c r="I19" s="287">
        <v>1747466.54</v>
      </c>
      <c r="J19" s="277">
        <v>310954.71999999997</v>
      </c>
      <c r="K19" s="286">
        <f t="shared" si="4"/>
        <v>1436511.82</v>
      </c>
    </row>
    <row r="20" spans="1:12" x14ac:dyDescent="0.25">
      <c r="A20" s="48" t="s">
        <v>222</v>
      </c>
      <c r="B20" s="278">
        <v>5437500</v>
      </c>
      <c r="C20" s="288">
        <v>162198.37</v>
      </c>
      <c r="D20" s="284">
        <f t="shared" si="0"/>
        <v>2.9829585287356322E-2</v>
      </c>
      <c r="E20" s="288">
        <v>266252.33</v>
      </c>
      <c r="F20" s="280">
        <f>E20/B20</f>
        <v>4.8965945747126441E-2</v>
      </c>
      <c r="G20" s="285">
        <f>C20-E20</f>
        <v>-104053.96000000002</v>
      </c>
      <c r="H20" s="289">
        <f>G20/C20</f>
        <v>-0.64152284637632317</v>
      </c>
      <c r="I20" s="287">
        <v>1646402.17</v>
      </c>
      <c r="J20" s="277">
        <v>306091.28000000003</v>
      </c>
      <c r="K20" s="286">
        <f t="shared" si="4"/>
        <v>1340310.8899999999</v>
      </c>
    </row>
    <row r="21" spans="1:12" x14ac:dyDescent="0.25">
      <c r="A21" s="48" t="s">
        <v>223</v>
      </c>
      <c r="B21" s="278">
        <v>5437500</v>
      </c>
      <c r="C21" s="288">
        <v>146025.46</v>
      </c>
      <c r="D21" s="284">
        <f t="shared" si="0"/>
        <v>2.685525701149425E-2</v>
      </c>
      <c r="E21" s="288">
        <v>352518.3</v>
      </c>
      <c r="F21" s="280">
        <f>E21/B21</f>
        <v>6.4830951724137928E-2</v>
      </c>
      <c r="G21" s="285">
        <f>C21-E21</f>
        <v>-206492.84</v>
      </c>
      <c r="H21" s="289">
        <f>G21/C21</f>
        <v>-1.414087926858782</v>
      </c>
      <c r="I21" s="287">
        <v>1456459.33</v>
      </c>
      <c r="J21" s="277">
        <v>258280.27</v>
      </c>
      <c r="K21" s="286">
        <f t="shared" si="4"/>
        <v>1198179.06</v>
      </c>
    </row>
    <row r="22" spans="1:12" ht="13.8" thickBot="1" x14ac:dyDescent="0.3">
      <c r="A22" s="49"/>
      <c r="B22" s="290"/>
      <c r="C22" s="291"/>
      <c r="D22" s="290"/>
      <c r="E22" s="291"/>
      <c r="F22" s="290"/>
      <c r="G22" s="292"/>
      <c r="H22" s="293"/>
      <c r="I22" s="294"/>
      <c r="J22" s="292"/>
      <c r="K22" s="293"/>
    </row>
    <row r="23" spans="1:12" ht="13.8" thickBot="1" x14ac:dyDescent="0.3">
      <c r="A23" s="72" t="s">
        <v>224</v>
      </c>
      <c r="B23" s="74">
        <v>5437500</v>
      </c>
      <c r="C23" s="74">
        <f>SUM(C10:C22)</f>
        <v>4698893.7500000009</v>
      </c>
      <c r="D23" s="75">
        <f>C23/B23</f>
        <v>0.86416436781609207</v>
      </c>
      <c r="E23" s="74">
        <f>SUM(E10:E22)</f>
        <v>3872368.26</v>
      </c>
      <c r="F23" s="75">
        <f>E23/B23</f>
        <v>0.71215967999999996</v>
      </c>
      <c r="G23" s="74">
        <f>C23-E23</f>
        <v>826525.49000000115</v>
      </c>
      <c r="H23" s="76">
        <f>E23/C23</f>
        <v>0.82410211126821054</v>
      </c>
      <c r="I23" s="77">
        <f>I21</f>
        <v>1456459.33</v>
      </c>
      <c r="J23" s="77">
        <f>J21</f>
        <v>258280.27</v>
      </c>
      <c r="K23" s="74">
        <f>K21</f>
        <v>1198179.06</v>
      </c>
      <c r="L23" s="13"/>
    </row>
    <row r="24" spans="1:12" ht="13.8" thickBot="1" x14ac:dyDescent="0.3">
      <c r="A24" s="28"/>
    </row>
    <row r="25" spans="1:12" ht="13.8" thickBot="1" x14ac:dyDescent="0.3">
      <c r="A25" s="654" t="s">
        <v>229</v>
      </c>
      <c r="B25" s="655"/>
      <c r="C25" s="656">
        <f>C23</f>
        <v>4698893.7500000009</v>
      </c>
      <c r="D25" s="657"/>
      <c r="E25" s="656">
        <v>3856984.71</v>
      </c>
      <c r="F25" s="657"/>
      <c r="G25" s="298">
        <f>C25-E25</f>
        <v>841909.04000000097</v>
      </c>
      <c r="I25" s="101"/>
      <c r="K25" s="246"/>
    </row>
    <row r="26" spans="1:12" x14ac:dyDescent="0.25">
      <c r="C26" s="99"/>
      <c r="I26" s="101"/>
    </row>
    <row r="27" spans="1:12" x14ac:dyDescent="0.25">
      <c r="C27" s="99"/>
      <c r="E27" s="99"/>
      <c r="G27" s="246"/>
      <c r="I27" s="246"/>
    </row>
    <row r="28" spans="1:12" x14ac:dyDescent="0.25">
      <c r="C28" s="25"/>
      <c r="E28" s="25"/>
      <c r="G28" s="246"/>
    </row>
    <row r="29" spans="1:12" x14ac:dyDescent="0.25">
      <c r="C29" s="244"/>
      <c r="E29" s="245"/>
      <c r="I29" s="231"/>
    </row>
    <row r="30" spans="1:12" x14ac:dyDescent="0.25">
      <c r="C30" s="42"/>
      <c r="E30" s="42"/>
      <c r="I30" s="231"/>
    </row>
    <row r="31" spans="1:12" x14ac:dyDescent="0.25">
      <c r="C31" s="42"/>
      <c r="E31" s="42"/>
      <c r="I31" s="231"/>
    </row>
    <row r="32" spans="1:12" x14ac:dyDescent="0.25">
      <c r="E32" s="42"/>
      <c r="I32" s="231"/>
    </row>
    <row r="33" spans="3:5" x14ac:dyDescent="0.25">
      <c r="C33" s="42"/>
      <c r="E33" s="42"/>
    </row>
  </sheetData>
  <mergeCells count="7">
    <mergeCell ref="A1:K1"/>
    <mergeCell ref="A4:K4"/>
    <mergeCell ref="A6:H6"/>
    <mergeCell ref="I6:K6"/>
    <mergeCell ref="A25:B25"/>
    <mergeCell ref="C25:D25"/>
    <mergeCell ref="E25:F2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L33"/>
  <sheetViews>
    <sheetView showGridLines="0" topLeftCell="B1" workbookViewId="0">
      <selection activeCell="AC42" sqref="AC42"/>
    </sheetView>
  </sheetViews>
  <sheetFormatPr defaultColWidth="11.44140625" defaultRowHeight="13.2" x14ac:dyDescent="0.25"/>
  <cols>
    <col min="1" max="1" width="8.44140625" bestFit="1" customWidth="1"/>
    <col min="2" max="2" width="12.5546875" bestFit="1" customWidth="1"/>
    <col min="3" max="3" width="11.6640625" bestFit="1" customWidth="1"/>
    <col min="4" max="4" width="8" bestFit="1" customWidth="1"/>
    <col min="5" max="5" width="14" bestFit="1" customWidth="1"/>
    <col min="6" max="6" width="8" customWidth="1"/>
    <col min="7" max="7" width="13.33203125" customWidth="1"/>
    <col min="8" max="8" width="9" bestFit="1" customWidth="1"/>
    <col min="9" max="10" width="13.33203125" bestFit="1" customWidth="1"/>
    <col min="11" max="11" width="12.44140625" bestFit="1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s="98" customFormat="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576" t="s">
        <v>298</v>
      </c>
      <c r="B4" s="576"/>
      <c r="C4" s="576"/>
      <c r="D4" s="576"/>
      <c r="E4" s="576"/>
      <c r="F4" s="576"/>
      <c r="G4" s="576"/>
      <c r="H4" s="576"/>
      <c r="I4" s="576"/>
      <c r="J4" s="576"/>
      <c r="K4" s="576"/>
    </row>
    <row r="5" spans="1:11" ht="13.8" thickBot="1" x14ac:dyDescent="0.3"/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x14ac:dyDescent="0.25">
      <c r="A7" s="46"/>
      <c r="B7" s="63" t="s">
        <v>200</v>
      </c>
      <c r="C7" s="63" t="s">
        <v>201</v>
      </c>
      <c r="D7" s="52"/>
      <c r="E7" s="45" t="s">
        <v>4</v>
      </c>
      <c r="F7" s="52"/>
      <c r="G7" s="45" t="s">
        <v>202</v>
      </c>
      <c r="H7" s="52"/>
      <c r="I7" s="63" t="s">
        <v>6</v>
      </c>
      <c r="J7" s="52" t="s">
        <v>203</v>
      </c>
      <c r="K7" s="52" t="s">
        <v>202</v>
      </c>
    </row>
    <row r="8" spans="1:11" x14ac:dyDescent="0.25">
      <c r="A8" s="44" t="s">
        <v>204</v>
      </c>
      <c r="B8" s="64" t="s">
        <v>205</v>
      </c>
      <c r="C8" s="64" t="s">
        <v>206</v>
      </c>
      <c r="D8" s="53" t="s">
        <v>12</v>
      </c>
      <c r="E8" s="15" t="s">
        <v>10</v>
      </c>
      <c r="F8" s="53" t="s">
        <v>12</v>
      </c>
      <c r="G8" s="15" t="s">
        <v>207</v>
      </c>
      <c r="H8" s="53" t="s">
        <v>12</v>
      </c>
      <c r="I8" s="64" t="s">
        <v>208</v>
      </c>
      <c r="J8" s="53" t="s">
        <v>209</v>
      </c>
      <c r="K8" s="53" t="s">
        <v>210</v>
      </c>
    </row>
    <row r="9" spans="1:11" ht="13.8" thickBot="1" x14ac:dyDescent="0.3">
      <c r="A9" s="47"/>
      <c r="B9" s="89">
        <v>2016</v>
      </c>
      <c r="C9" s="89">
        <v>2016</v>
      </c>
      <c r="D9" s="54" t="s">
        <v>211</v>
      </c>
      <c r="E9" s="89">
        <v>2016</v>
      </c>
      <c r="F9" s="54" t="s">
        <v>211</v>
      </c>
      <c r="G9" s="89">
        <v>2016</v>
      </c>
      <c r="H9" s="54"/>
      <c r="I9" s="89">
        <v>2016</v>
      </c>
      <c r="J9" s="89">
        <v>2016</v>
      </c>
      <c r="K9" s="54">
        <v>2016</v>
      </c>
    </row>
    <row r="10" spans="1:11" x14ac:dyDescent="0.25">
      <c r="A10" s="48" t="s">
        <v>212</v>
      </c>
      <c r="B10" s="50">
        <v>4996000</v>
      </c>
      <c r="C10" s="86">
        <v>367940.06</v>
      </c>
      <c r="D10" s="57">
        <f t="shared" ref="D10:D21" si="0">C10/B10</f>
        <v>7.3646929543634901E-2</v>
      </c>
      <c r="E10" s="86">
        <v>386062.33</v>
      </c>
      <c r="F10" s="57">
        <f t="shared" ref="F10:F21" si="1">E10/B10</f>
        <v>7.7274285428342679E-2</v>
      </c>
      <c r="G10" s="55">
        <f t="shared" ref="G10:G21" si="2">C10-E10</f>
        <v>-18122.270000000019</v>
      </c>
      <c r="H10" s="59">
        <f t="shared" ref="H10:H21" si="3">G10/C10</f>
        <v>-4.9253321315433876E-2</v>
      </c>
      <c r="I10" s="50">
        <v>313182.86</v>
      </c>
      <c r="J10" s="55">
        <v>273577.11</v>
      </c>
      <c r="K10" s="68">
        <f t="shared" ref="K10:K20" si="4">I10-J10</f>
        <v>39605.75</v>
      </c>
    </row>
    <row r="11" spans="1:11" x14ac:dyDescent="0.25">
      <c r="A11" s="48" t="s">
        <v>213</v>
      </c>
      <c r="B11" s="50">
        <v>4996000</v>
      </c>
      <c r="C11" s="55">
        <v>476706.94</v>
      </c>
      <c r="D11" s="57">
        <f t="shared" si="0"/>
        <v>9.5417722177742192E-2</v>
      </c>
      <c r="E11" s="55">
        <v>314175.40000000002</v>
      </c>
      <c r="F11" s="57">
        <f t="shared" si="1"/>
        <v>6.2885388310648521E-2</v>
      </c>
      <c r="G11" s="55">
        <f t="shared" si="2"/>
        <v>162531.53999999998</v>
      </c>
      <c r="H11" s="59">
        <f t="shared" si="3"/>
        <v>0.34094645234239718</v>
      </c>
      <c r="I11" s="65">
        <v>424180.33</v>
      </c>
      <c r="J11" s="55">
        <v>185219.48</v>
      </c>
      <c r="K11" s="68">
        <f t="shared" si="4"/>
        <v>238960.85</v>
      </c>
    </row>
    <row r="12" spans="1:11" x14ac:dyDescent="0.25">
      <c r="A12" s="48" t="s">
        <v>214</v>
      </c>
      <c r="B12" s="50">
        <v>4996000</v>
      </c>
      <c r="C12" s="55">
        <v>642073.46</v>
      </c>
      <c r="D12" s="57">
        <f t="shared" si="0"/>
        <v>0.12851750600480383</v>
      </c>
      <c r="E12" s="55">
        <v>388360.17</v>
      </c>
      <c r="F12" s="57">
        <f t="shared" si="1"/>
        <v>7.7734221377101675E-2</v>
      </c>
      <c r="G12" s="55">
        <f t="shared" si="2"/>
        <v>253713.28999999998</v>
      </c>
      <c r="H12" s="59">
        <f t="shared" si="3"/>
        <v>0.39514682634600717</v>
      </c>
      <c r="I12" s="65">
        <v>673646.25</v>
      </c>
      <c r="J12" s="55">
        <v>171393.73</v>
      </c>
      <c r="K12" s="68">
        <f t="shared" si="4"/>
        <v>502252.52</v>
      </c>
    </row>
    <row r="13" spans="1:11" x14ac:dyDescent="0.25">
      <c r="A13" s="48" t="s">
        <v>215</v>
      </c>
      <c r="B13" s="50">
        <v>4996000</v>
      </c>
      <c r="C13" s="55">
        <v>953536.91</v>
      </c>
      <c r="D13" s="57">
        <f t="shared" si="0"/>
        <v>0.19086007005604486</v>
      </c>
      <c r="E13" s="55">
        <v>454142.47</v>
      </c>
      <c r="F13" s="57">
        <f t="shared" si="1"/>
        <v>9.0901214971977576E-2</v>
      </c>
      <c r="G13" s="55">
        <f t="shared" si="2"/>
        <v>499394.44000000006</v>
      </c>
      <c r="H13" s="59">
        <f t="shared" si="3"/>
        <v>0.52372848367243596</v>
      </c>
      <c r="I13" s="65">
        <v>1189146.01</v>
      </c>
      <c r="J13" s="55">
        <v>194145.83</v>
      </c>
      <c r="K13" s="68">
        <f t="shared" si="4"/>
        <v>995000.18</v>
      </c>
    </row>
    <row r="14" spans="1:11" x14ac:dyDescent="0.25">
      <c r="A14" s="48" t="s">
        <v>216</v>
      </c>
      <c r="B14" s="50">
        <v>4996000</v>
      </c>
      <c r="C14" s="55">
        <v>383998.45</v>
      </c>
      <c r="D14" s="58">
        <f t="shared" si="0"/>
        <v>7.6861178943154529E-2</v>
      </c>
      <c r="E14" s="55">
        <v>300724.7</v>
      </c>
      <c r="F14" s="57">
        <f t="shared" si="1"/>
        <v>6.0193094475580466E-2</v>
      </c>
      <c r="G14" s="62">
        <f t="shared" si="2"/>
        <v>83273.75</v>
      </c>
      <c r="H14" s="59">
        <f t="shared" si="3"/>
        <v>0.21685959930307011</v>
      </c>
      <c r="I14" s="65">
        <v>1256028.08</v>
      </c>
      <c r="J14" s="55">
        <v>200146.85</v>
      </c>
      <c r="K14" s="69">
        <f t="shared" si="4"/>
        <v>1055881.23</v>
      </c>
    </row>
    <row r="15" spans="1:11" x14ac:dyDescent="0.25">
      <c r="A15" s="48" t="s">
        <v>217</v>
      </c>
      <c r="B15" s="50">
        <f t="shared" ref="B15:B21" si="5">B14</f>
        <v>4996000</v>
      </c>
      <c r="C15" s="56">
        <v>317397.3</v>
      </c>
      <c r="D15" s="58">
        <f t="shared" si="0"/>
        <v>6.3530284227381897E-2</v>
      </c>
      <c r="E15" s="56">
        <v>304656.21999999997</v>
      </c>
      <c r="F15" s="57">
        <f t="shared" si="1"/>
        <v>6.0980028022417927E-2</v>
      </c>
      <c r="G15" s="62">
        <f t="shared" si="2"/>
        <v>12741.080000000016</v>
      </c>
      <c r="H15" s="59">
        <f t="shared" si="3"/>
        <v>4.014237046124846E-2</v>
      </c>
      <c r="I15" s="66">
        <v>1257743.33</v>
      </c>
      <c r="J15" s="56">
        <v>211354.17</v>
      </c>
      <c r="K15" s="69">
        <f t="shared" si="4"/>
        <v>1046389.16</v>
      </c>
    </row>
    <row r="16" spans="1:11" x14ac:dyDescent="0.25">
      <c r="A16" s="48" t="s">
        <v>218</v>
      </c>
      <c r="B16" s="50">
        <f t="shared" si="5"/>
        <v>4996000</v>
      </c>
      <c r="C16" s="87">
        <v>159996.76999999999</v>
      </c>
      <c r="D16" s="58">
        <f t="shared" si="0"/>
        <v>3.2024973979183344E-2</v>
      </c>
      <c r="E16" s="56">
        <v>246901.03</v>
      </c>
      <c r="F16" s="57">
        <f t="shared" si="1"/>
        <v>4.9419741793434745E-2</v>
      </c>
      <c r="G16" s="62">
        <f t="shared" si="2"/>
        <v>-86904.260000000009</v>
      </c>
      <c r="H16" s="59">
        <f t="shared" si="3"/>
        <v>-0.54316259009478762</v>
      </c>
      <c r="I16" s="66">
        <v>1183925.43</v>
      </c>
      <c r="J16" s="56">
        <v>213647.04</v>
      </c>
      <c r="K16" s="69">
        <f t="shared" si="4"/>
        <v>970278.3899999999</v>
      </c>
    </row>
    <row r="17" spans="1:12" x14ac:dyDescent="0.25">
      <c r="A17" s="48" t="s">
        <v>219</v>
      </c>
      <c r="B17" s="50">
        <f t="shared" si="5"/>
        <v>4996000</v>
      </c>
      <c r="C17" s="87">
        <v>253147.36</v>
      </c>
      <c r="D17" s="58">
        <f t="shared" si="0"/>
        <v>5.0670008006405122E-2</v>
      </c>
      <c r="E17" s="56">
        <v>312757.53000000003</v>
      </c>
      <c r="F17" s="57">
        <f t="shared" si="1"/>
        <v>6.2601587269815864E-2</v>
      </c>
      <c r="G17" s="62">
        <f t="shared" si="2"/>
        <v>-59610.170000000042</v>
      </c>
      <c r="H17" s="59">
        <f t="shared" si="3"/>
        <v>-0.23547616692506707</v>
      </c>
      <c r="I17" s="66">
        <v>1125183.33</v>
      </c>
      <c r="J17" s="56">
        <v>243559.35</v>
      </c>
      <c r="K17" s="69">
        <f t="shared" si="4"/>
        <v>881623.9800000001</v>
      </c>
    </row>
    <row r="18" spans="1:12" x14ac:dyDescent="0.25">
      <c r="A18" s="48" t="s">
        <v>220</v>
      </c>
      <c r="B18" s="50">
        <f t="shared" si="5"/>
        <v>4996000</v>
      </c>
      <c r="C18" s="87">
        <v>167669.35</v>
      </c>
      <c r="D18" s="58">
        <f t="shared" si="0"/>
        <v>3.3560718574859892E-2</v>
      </c>
      <c r="E18" s="87">
        <v>295898.52</v>
      </c>
      <c r="F18" s="57">
        <f t="shared" si="1"/>
        <v>5.922708566853483E-2</v>
      </c>
      <c r="G18" s="62">
        <f t="shared" si="2"/>
        <v>-128229.17000000001</v>
      </c>
      <c r="H18" s="59">
        <f t="shared" si="3"/>
        <v>-0.76477406276102344</v>
      </c>
      <c r="I18" s="66">
        <v>998996.92</v>
      </c>
      <c r="J18" s="56">
        <v>254055.89</v>
      </c>
      <c r="K18" s="69">
        <f t="shared" si="4"/>
        <v>744941.03</v>
      </c>
    </row>
    <row r="19" spans="1:12" x14ac:dyDescent="0.25">
      <c r="A19" s="48" t="s">
        <v>221</v>
      </c>
      <c r="B19" s="50">
        <f t="shared" si="5"/>
        <v>4996000</v>
      </c>
      <c r="C19" s="87">
        <v>109194.53</v>
      </c>
      <c r="D19" s="58">
        <f t="shared" si="0"/>
        <v>2.1856391112890311E-2</v>
      </c>
      <c r="E19" s="87">
        <v>219920.69</v>
      </c>
      <c r="F19" s="57">
        <f t="shared" si="1"/>
        <v>4.4019353482786232E-2</v>
      </c>
      <c r="G19" s="62">
        <f t="shared" si="2"/>
        <v>-110726.16</v>
      </c>
      <c r="H19" s="60">
        <f t="shared" si="3"/>
        <v>-1.0140266183663229</v>
      </c>
      <c r="I19" s="66">
        <v>885754.78</v>
      </c>
      <c r="J19" s="56">
        <v>276643.14</v>
      </c>
      <c r="K19" s="69">
        <f t="shared" si="4"/>
        <v>609111.64</v>
      </c>
    </row>
    <row r="20" spans="1:12" x14ac:dyDescent="0.25">
      <c r="A20" s="48" t="s">
        <v>222</v>
      </c>
      <c r="B20" s="50">
        <f t="shared" si="5"/>
        <v>4996000</v>
      </c>
      <c r="C20" s="87">
        <v>142949.26999999999</v>
      </c>
      <c r="D20" s="58">
        <f t="shared" si="0"/>
        <v>2.8612744195356282E-2</v>
      </c>
      <c r="E20" s="87">
        <v>242033.7</v>
      </c>
      <c r="F20" s="57">
        <f t="shared" si="1"/>
        <v>4.8445496397117697E-2</v>
      </c>
      <c r="G20" s="62">
        <f t="shared" si="2"/>
        <v>-99084.430000000022</v>
      </c>
      <c r="H20" s="60">
        <f t="shared" si="3"/>
        <v>-0.69314400836044865</v>
      </c>
      <c r="I20" s="66">
        <v>789164.91</v>
      </c>
      <c r="J20" s="56">
        <v>274864.09000000003</v>
      </c>
      <c r="K20" s="69">
        <f t="shared" si="4"/>
        <v>514300.82</v>
      </c>
    </row>
    <row r="21" spans="1:12" x14ac:dyDescent="0.25">
      <c r="A21" s="48" t="s">
        <v>223</v>
      </c>
      <c r="B21" s="50">
        <f t="shared" si="5"/>
        <v>4996000</v>
      </c>
      <c r="C21" s="87">
        <v>144237.62</v>
      </c>
      <c r="D21" s="58">
        <f t="shared" si="0"/>
        <v>2.8870620496397117E-2</v>
      </c>
      <c r="E21" s="87">
        <v>335436.24</v>
      </c>
      <c r="F21" s="57">
        <f t="shared" si="1"/>
        <v>6.7140960768614893E-2</v>
      </c>
      <c r="G21" s="62">
        <f t="shared" si="2"/>
        <v>-191198.62</v>
      </c>
      <c r="H21" s="60">
        <f t="shared" si="3"/>
        <v>-1.3255808020126789</v>
      </c>
      <c r="I21" s="66">
        <f>656481.59+700</f>
        <v>657181.59</v>
      </c>
      <c r="J21" s="56">
        <v>294628.26</v>
      </c>
      <c r="K21" s="69">
        <f>I21-J21</f>
        <v>362553.32999999996</v>
      </c>
    </row>
    <row r="22" spans="1:12" ht="13.8" thickBot="1" x14ac:dyDescent="0.3">
      <c r="A22" s="49"/>
      <c r="B22" s="51"/>
      <c r="C22" s="88"/>
      <c r="D22" s="51"/>
      <c r="E22" s="88"/>
      <c r="F22" s="51"/>
      <c r="G22" s="49"/>
      <c r="H22" s="61"/>
      <c r="I22" s="67"/>
      <c r="J22" s="49"/>
      <c r="K22" s="61"/>
    </row>
    <row r="23" spans="1:12" ht="13.8" thickBot="1" x14ac:dyDescent="0.3">
      <c r="A23" s="72" t="s">
        <v>224</v>
      </c>
      <c r="B23" s="74">
        <v>4996000</v>
      </c>
      <c r="C23" s="74">
        <f>SUM(C10:C22)</f>
        <v>4118848.02</v>
      </c>
      <c r="D23" s="75">
        <f>C23/B23</f>
        <v>0.82442914731785433</v>
      </c>
      <c r="E23" s="74">
        <f>SUM(E10:E22)</f>
        <v>3801069</v>
      </c>
      <c r="F23" s="75">
        <f>E23/B23</f>
        <v>0.76082245796637304</v>
      </c>
      <c r="G23" s="74">
        <f>C23-E23</f>
        <v>317779.02</v>
      </c>
      <c r="H23" s="76">
        <f>E23/C23</f>
        <v>0.92284759756685564</v>
      </c>
      <c r="I23" s="77">
        <f>I21</f>
        <v>657181.59</v>
      </c>
      <c r="J23" s="77">
        <f>J21</f>
        <v>294628.26</v>
      </c>
      <c r="K23" s="74">
        <f>I23-J23</f>
        <v>362553.32999999996</v>
      </c>
      <c r="L23" s="13"/>
    </row>
    <row r="24" spans="1:12" ht="13.8" thickBot="1" x14ac:dyDescent="0.3">
      <c r="A24" s="28"/>
    </row>
    <row r="25" spans="1:12" ht="13.8" thickBot="1" x14ac:dyDescent="0.3">
      <c r="A25" s="658" t="s">
        <v>229</v>
      </c>
      <c r="B25" s="659"/>
      <c r="C25" s="656">
        <f>C23</f>
        <v>4118848.02</v>
      </c>
      <c r="D25" s="657"/>
      <c r="E25" s="656">
        <v>3798532.9</v>
      </c>
      <c r="F25" s="657"/>
      <c r="G25" s="103">
        <f>C25-E25</f>
        <v>320315.12000000011</v>
      </c>
      <c r="K25" s="246"/>
    </row>
    <row r="26" spans="1:12" x14ac:dyDescent="0.25">
      <c r="C26" s="99"/>
      <c r="I26" s="101"/>
    </row>
    <row r="27" spans="1:12" x14ac:dyDescent="0.25">
      <c r="C27" s="99"/>
      <c r="E27" s="99"/>
      <c r="I27" s="246"/>
    </row>
    <row r="28" spans="1:12" x14ac:dyDescent="0.25">
      <c r="C28" s="25"/>
      <c r="E28" s="25"/>
      <c r="G28" s="246"/>
    </row>
    <row r="29" spans="1:12" x14ac:dyDescent="0.25">
      <c r="C29" s="244"/>
      <c r="E29" s="245"/>
    </row>
    <row r="30" spans="1:12" x14ac:dyDescent="0.25">
      <c r="C30" s="42"/>
      <c r="E30" s="42"/>
    </row>
    <row r="31" spans="1:12" x14ac:dyDescent="0.25">
      <c r="C31" s="42"/>
      <c r="E31" s="42"/>
    </row>
    <row r="32" spans="1:12" x14ac:dyDescent="0.25">
      <c r="E32" s="42"/>
    </row>
    <row r="33" spans="3:5" x14ac:dyDescent="0.25">
      <c r="C33" s="42"/>
      <c r="E33" s="42"/>
    </row>
  </sheetData>
  <mergeCells count="7">
    <mergeCell ref="A1:K1"/>
    <mergeCell ref="A6:H6"/>
    <mergeCell ref="I6:K6"/>
    <mergeCell ref="A25:B25"/>
    <mergeCell ref="A4:K4"/>
    <mergeCell ref="C25:D25"/>
    <mergeCell ref="E25:F25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K32"/>
  <sheetViews>
    <sheetView showGridLines="0" topLeftCell="A4" workbookViewId="0">
      <selection activeCell="AC42" sqref="AC42"/>
    </sheetView>
  </sheetViews>
  <sheetFormatPr defaultRowHeight="13.2" x14ac:dyDescent="0.25"/>
  <cols>
    <col min="1" max="1" width="8.44140625" customWidth="1"/>
    <col min="2" max="2" width="14.44140625" customWidth="1"/>
    <col min="3" max="3" width="14.6640625" customWidth="1"/>
    <col min="4" max="4" width="13.6640625" customWidth="1"/>
    <col min="5" max="5" width="12.6640625" bestFit="1" customWidth="1"/>
    <col min="6" max="6" width="14.44140625" customWidth="1"/>
    <col min="7" max="9" width="16.33203125" bestFit="1" customWidth="1"/>
  </cols>
  <sheetData>
    <row r="1" spans="1:9" ht="20.399999999999999" x14ac:dyDescent="0.35">
      <c r="A1" s="611" t="s">
        <v>230</v>
      </c>
      <c r="B1" s="611"/>
      <c r="C1" s="611"/>
      <c r="D1" s="611"/>
      <c r="E1" s="611"/>
      <c r="F1" s="611"/>
      <c r="G1" s="611"/>
      <c r="H1" s="611"/>
      <c r="I1" s="611"/>
    </row>
    <row r="2" spans="1:9" ht="17.399999999999999" x14ac:dyDescent="0.3">
      <c r="A2" s="97"/>
      <c r="B2" s="97"/>
      <c r="C2" s="97"/>
      <c r="D2" s="97"/>
      <c r="E2" s="97"/>
      <c r="F2" s="97"/>
      <c r="G2" s="97"/>
      <c r="H2" s="97"/>
      <c r="I2" s="97"/>
    </row>
    <row r="3" spans="1:9" s="100" customFormat="1" ht="17.399999999999999" x14ac:dyDescent="0.3">
      <c r="A3" s="22" t="s">
        <v>231</v>
      </c>
      <c r="B3" s="22"/>
      <c r="C3" s="22"/>
      <c r="D3" s="22"/>
      <c r="E3" s="22"/>
      <c r="F3" s="22"/>
      <c r="G3" s="22"/>
      <c r="H3" s="22"/>
      <c r="I3" s="22"/>
    </row>
    <row r="4" spans="1:9" s="100" customFormat="1" ht="17.399999999999999" x14ac:dyDescent="0.3">
      <c r="A4" s="586" t="s">
        <v>299</v>
      </c>
      <c r="B4" s="586"/>
      <c r="C4" s="586"/>
      <c r="D4" s="586"/>
      <c r="E4" s="586"/>
      <c r="F4" s="586"/>
      <c r="G4" s="586"/>
      <c r="H4" s="586"/>
      <c r="I4" s="586"/>
    </row>
    <row r="5" spans="1:9" ht="13.8" thickBot="1" x14ac:dyDescent="0.3">
      <c r="A5" s="15"/>
      <c r="B5" s="15"/>
      <c r="C5" s="15"/>
      <c r="D5" s="15"/>
      <c r="E5" s="16"/>
      <c r="F5" s="13"/>
      <c r="G5" s="13"/>
      <c r="H5" s="13"/>
      <c r="I5" s="13"/>
    </row>
    <row r="6" spans="1:9" x14ac:dyDescent="0.25">
      <c r="A6" s="63"/>
      <c r="B6" s="612" t="s">
        <v>233</v>
      </c>
      <c r="C6" s="613"/>
      <c r="D6" s="613"/>
      <c r="E6" s="614"/>
      <c r="F6" s="612" t="s">
        <v>234</v>
      </c>
      <c r="G6" s="613"/>
      <c r="H6" s="613"/>
      <c r="I6" s="614"/>
    </row>
    <row r="7" spans="1:9" ht="13.8" thickBot="1" x14ac:dyDescent="0.3">
      <c r="A7" s="64"/>
      <c r="B7" s="615" t="s">
        <v>143</v>
      </c>
      <c r="C7" s="616"/>
      <c r="D7" s="617"/>
      <c r="E7" s="618"/>
      <c r="F7" s="619" t="s">
        <v>144</v>
      </c>
      <c r="G7" s="620"/>
      <c r="H7" s="621"/>
      <c r="I7" s="622"/>
    </row>
    <row r="8" spans="1:9" x14ac:dyDescent="0.25">
      <c r="A8" s="64" t="s">
        <v>235</v>
      </c>
      <c r="B8" s="63" t="s">
        <v>201</v>
      </c>
      <c r="C8" s="52" t="s">
        <v>201</v>
      </c>
      <c r="D8" s="119" t="s">
        <v>11</v>
      </c>
      <c r="E8" s="624" t="s">
        <v>12</v>
      </c>
      <c r="F8" s="52" t="s">
        <v>4</v>
      </c>
      <c r="G8" s="52" t="s">
        <v>4</v>
      </c>
      <c r="H8" s="119" t="s">
        <v>11</v>
      </c>
      <c r="I8" s="627" t="s">
        <v>12</v>
      </c>
    </row>
    <row r="9" spans="1:9" x14ac:dyDescent="0.25">
      <c r="A9" s="64"/>
      <c r="B9" s="64" t="s">
        <v>206</v>
      </c>
      <c r="C9" s="53" t="s">
        <v>206</v>
      </c>
      <c r="D9" s="119" t="s">
        <v>236</v>
      </c>
      <c r="E9" s="625"/>
      <c r="F9" s="53" t="s">
        <v>10</v>
      </c>
      <c r="G9" s="53" t="s">
        <v>10</v>
      </c>
      <c r="H9" s="119" t="s">
        <v>236</v>
      </c>
      <c r="I9" s="628"/>
    </row>
    <row r="10" spans="1:9" ht="13.8" thickBot="1" x14ac:dyDescent="0.3">
      <c r="A10" s="89"/>
      <c r="B10" s="89">
        <v>2015</v>
      </c>
      <c r="C10" s="54">
        <v>2016</v>
      </c>
      <c r="D10" s="120" t="s">
        <v>300</v>
      </c>
      <c r="E10" s="626"/>
      <c r="F10" s="54">
        <v>2015</v>
      </c>
      <c r="G10" s="54">
        <v>2016</v>
      </c>
      <c r="H10" s="120" t="s">
        <v>300</v>
      </c>
      <c r="I10" s="629"/>
    </row>
    <row r="11" spans="1:9" x14ac:dyDescent="0.25">
      <c r="A11" s="94" t="s">
        <v>237</v>
      </c>
      <c r="B11" s="36">
        <v>447105.3</v>
      </c>
      <c r="C11" s="36">
        <v>367940.06</v>
      </c>
      <c r="D11" s="79">
        <f t="shared" ref="D11:D16" si="0">C11-B11</f>
        <v>-79165.239999999991</v>
      </c>
      <c r="E11" s="90">
        <f t="shared" ref="E11:E16" si="1">D11/B11</f>
        <v>-0.17706173467413602</v>
      </c>
      <c r="F11" s="36">
        <v>341632.75</v>
      </c>
      <c r="G11" s="36">
        <v>386062.33</v>
      </c>
      <c r="H11" s="79">
        <f t="shared" ref="H11:H17" si="2">G11-F11</f>
        <v>44429.580000000016</v>
      </c>
      <c r="I11" s="108">
        <f t="shared" ref="I11:I17" si="3">H11/F11</f>
        <v>0.13005070503340213</v>
      </c>
    </row>
    <row r="12" spans="1:9" x14ac:dyDescent="0.25">
      <c r="A12" s="95" t="s">
        <v>238</v>
      </c>
      <c r="B12" s="55">
        <v>869251.39</v>
      </c>
      <c r="C12" s="55">
        <v>476706.94</v>
      </c>
      <c r="D12" s="79">
        <f t="shared" si="0"/>
        <v>-392544.45</v>
      </c>
      <c r="E12" s="90">
        <f t="shared" si="1"/>
        <v>-0.45158909668237635</v>
      </c>
      <c r="F12" s="55">
        <v>502352.19</v>
      </c>
      <c r="G12" s="55">
        <v>314175.40000000002</v>
      </c>
      <c r="H12" s="79">
        <f t="shared" si="2"/>
        <v>-188176.78999999998</v>
      </c>
      <c r="I12" s="108">
        <f t="shared" si="3"/>
        <v>-0.37459135989832149</v>
      </c>
    </row>
    <row r="13" spans="1:9" x14ac:dyDescent="0.25">
      <c r="A13" s="95" t="s">
        <v>239</v>
      </c>
      <c r="B13" s="55">
        <v>442182.75</v>
      </c>
      <c r="C13" s="55">
        <v>642073.46</v>
      </c>
      <c r="D13" s="79">
        <f t="shared" si="0"/>
        <v>199890.70999999996</v>
      </c>
      <c r="E13" s="90">
        <f t="shared" si="1"/>
        <v>0.45205451818281006</v>
      </c>
      <c r="F13" s="55">
        <v>397245.74</v>
      </c>
      <c r="G13" s="55">
        <v>388360.17</v>
      </c>
      <c r="H13" s="79">
        <f t="shared" si="2"/>
        <v>-8885.570000000007</v>
      </c>
      <c r="I13" s="108">
        <f t="shared" si="3"/>
        <v>-2.2367942825516535E-2</v>
      </c>
    </row>
    <row r="14" spans="1:9" x14ac:dyDescent="0.25">
      <c r="A14" s="95" t="s">
        <v>240</v>
      </c>
      <c r="B14" s="55">
        <v>562024.04</v>
      </c>
      <c r="C14" s="55">
        <v>953536.91</v>
      </c>
      <c r="D14" s="79">
        <f t="shared" si="0"/>
        <v>391512.87</v>
      </c>
      <c r="E14" s="90">
        <f t="shared" si="1"/>
        <v>0.69661231928797918</v>
      </c>
      <c r="F14" s="55">
        <v>418179.11</v>
      </c>
      <c r="G14" s="55">
        <v>454142.47</v>
      </c>
      <c r="H14" s="79">
        <f t="shared" si="2"/>
        <v>35963.359999999986</v>
      </c>
      <c r="I14" s="108">
        <f t="shared" si="3"/>
        <v>8.5999896073239976E-2</v>
      </c>
    </row>
    <row r="15" spans="1:9" x14ac:dyDescent="0.25">
      <c r="A15" s="95" t="s">
        <v>241</v>
      </c>
      <c r="B15" s="55">
        <v>294706.89</v>
      </c>
      <c r="C15" s="55">
        <v>383998.45</v>
      </c>
      <c r="D15" s="79">
        <f t="shared" si="0"/>
        <v>89291.56</v>
      </c>
      <c r="E15" s="90">
        <f t="shared" si="1"/>
        <v>0.30298429738103511</v>
      </c>
      <c r="F15" s="55">
        <v>353530.42</v>
      </c>
      <c r="G15" s="55">
        <v>300724.7</v>
      </c>
      <c r="H15" s="79">
        <f t="shared" si="2"/>
        <v>-52805.719999999972</v>
      </c>
      <c r="I15" s="108">
        <f t="shared" si="3"/>
        <v>-0.14936683524999059</v>
      </c>
    </row>
    <row r="16" spans="1:9" x14ac:dyDescent="0.25">
      <c r="A16" s="95" t="s">
        <v>242</v>
      </c>
      <c r="B16" s="56">
        <v>217384.7</v>
      </c>
      <c r="C16" s="56">
        <v>317397.3</v>
      </c>
      <c r="D16" s="79">
        <f t="shared" si="0"/>
        <v>100012.59999999998</v>
      </c>
      <c r="E16" s="90">
        <f t="shared" si="1"/>
        <v>0.46007193698544546</v>
      </c>
      <c r="F16" s="56">
        <v>338874.89</v>
      </c>
      <c r="G16" s="56">
        <v>304656.21999999997</v>
      </c>
      <c r="H16" s="79">
        <f t="shared" si="2"/>
        <v>-34218.670000000042</v>
      </c>
      <c r="I16" s="108">
        <f t="shared" si="3"/>
        <v>-0.10097729578016253</v>
      </c>
    </row>
    <row r="17" spans="1:11" x14ac:dyDescent="0.25">
      <c r="A17" s="95" t="s">
        <v>243</v>
      </c>
      <c r="B17" s="87">
        <v>239928.94</v>
      </c>
      <c r="C17" s="87">
        <v>159996.76999999999</v>
      </c>
      <c r="D17" s="79">
        <f t="shared" ref="D17:D22" si="4">C17-B17</f>
        <v>-79932.170000000013</v>
      </c>
      <c r="E17" s="90">
        <f t="shared" ref="E17:E22" si="5">D17/B17</f>
        <v>-0.33314934830287674</v>
      </c>
      <c r="F17" s="56">
        <v>286367.7</v>
      </c>
      <c r="G17" s="56">
        <v>246901.03</v>
      </c>
      <c r="H17" s="79">
        <f t="shared" si="2"/>
        <v>-39466.670000000013</v>
      </c>
      <c r="I17" s="108">
        <f t="shared" si="3"/>
        <v>-0.13781816175497449</v>
      </c>
    </row>
    <row r="18" spans="1:11" x14ac:dyDescent="0.25">
      <c r="A18" s="95" t="s">
        <v>244</v>
      </c>
      <c r="B18" s="87">
        <v>193985.14</v>
      </c>
      <c r="C18" s="87">
        <v>253147.36</v>
      </c>
      <c r="D18" s="79">
        <f t="shared" si="4"/>
        <v>59162.219999999972</v>
      </c>
      <c r="E18" s="90">
        <f t="shared" si="5"/>
        <v>0.30498325799594733</v>
      </c>
      <c r="F18" s="56">
        <v>295091.38</v>
      </c>
      <c r="G18" s="56">
        <v>312757.53000000003</v>
      </c>
      <c r="H18" s="79">
        <f>G18-F18</f>
        <v>17666.150000000023</v>
      </c>
      <c r="I18" s="108">
        <f>H18/F18</f>
        <v>5.9866709762921654E-2</v>
      </c>
    </row>
    <row r="19" spans="1:11" x14ac:dyDescent="0.25">
      <c r="A19" s="95" t="s">
        <v>245</v>
      </c>
      <c r="B19" s="87">
        <v>104458.02</v>
      </c>
      <c r="C19" s="87">
        <v>167669.35</v>
      </c>
      <c r="D19" s="79">
        <f t="shared" si="4"/>
        <v>63211.33</v>
      </c>
      <c r="E19" s="90">
        <f t="shared" si="5"/>
        <v>0.60513620687047298</v>
      </c>
      <c r="F19" s="87">
        <v>221424.38</v>
      </c>
      <c r="G19" s="87">
        <v>295898.52</v>
      </c>
      <c r="H19" s="79">
        <f>G19-F19</f>
        <v>74474.140000000014</v>
      </c>
      <c r="I19" s="108">
        <f>H19/F19</f>
        <v>0.3363411924197327</v>
      </c>
    </row>
    <row r="20" spans="1:11" x14ac:dyDescent="0.25">
      <c r="A20" s="95" t="s">
        <v>246</v>
      </c>
      <c r="B20" s="87">
        <v>127066.48</v>
      </c>
      <c r="C20" s="87">
        <v>109194.53</v>
      </c>
      <c r="D20" s="79">
        <f t="shared" si="4"/>
        <v>-17871.949999999997</v>
      </c>
      <c r="E20" s="90">
        <f t="shared" si="5"/>
        <v>-0.14065039025240958</v>
      </c>
      <c r="F20" s="87">
        <v>242999.49</v>
      </c>
      <c r="G20" s="87">
        <v>219920.69</v>
      </c>
      <c r="H20" s="79">
        <f>G20-F20</f>
        <v>-23078.799999999988</v>
      </c>
      <c r="I20" s="108">
        <f>H20/F20</f>
        <v>-9.4974684926293421E-2</v>
      </c>
    </row>
    <row r="21" spans="1:11" x14ac:dyDescent="0.25">
      <c r="A21" s="95" t="s">
        <v>247</v>
      </c>
      <c r="B21" s="87">
        <v>106531.36</v>
      </c>
      <c r="C21" s="87">
        <v>142949.26999999999</v>
      </c>
      <c r="D21" s="79">
        <f t="shared" si="4"/>
        <v>36417.909999999989</v>
      </c>
      <c r="E21" s="90">
        <f t="shared" si="5"/>
        <v>0.34185154493474962</v>
      </c>
      <c r="F21" s="87">
        <v>246629.15</v>
      </c>
      <c r="G21" s="87">
        <v>242033.7</v>
      </c>
      <c r="H21" s="79">
        <f>G21-F21</f>
        <v>-4595.4499999999825</v>
      </c>
      <c r="I21" s="108">
        <f>H21/F21</f>
        <v>-1.8633036686863585E-2</v>
      </c>
    </row>
    <row r="22" spans="1:11" x14ac:dyDescent="0.25">
      <c r="A22" s="95" t="s">
        <v>248</v>
      </c>
      <c r="B22" s="87">
        <v>550323.67000000004</v>
      </c>
      <c r="C22" s="87">
        <v>144237.62</v>
      </c>
      <c r="D22" s="79">
        <f t="shared" si="4"/>
        <v>-406086.05000000005</v>
      </c>
      <c r="E22" s="90">
        <f t="shared" si="5"/>
        <v>-0.73790402291800394</v>
      </c>
      <c r="F22" s="87">
        <v>407237.76</v>
      </c>
      <c r="G22" s="87">
        <v>335436.24</v>
      </c>
      <c r="H22" s="79">
        <f>G22-F22</f>
        <v>-71801.520000000019</v>
      </c>
      <c r="I22" s="108">
        <f>H22/F22</f>
        <v>-0.17631351277445395</v>
      </c>
    </row>
    <row r="23" spans="1:11" ht="13.8" thickBot="1" x14ac:dyDescent="0.3">
      <c r="A23" s="96"/>
      <c r="B23" s="110"/>
      <c r="C23" s="36"/>
      <c r="D23" s="111"/>
      <c r="E23" s="110"/>
      <c r="F23" s="110"/>
      <c r="G23" s="36"/>
      <c r="H23" s="111"/>
      <c r="I23" s="112"/>
    </row>
    <row r="24" spans="1:11" ht="13.8" thickBot="1" x14ac:dyDescent="0.3">
      <c r="A24" s="127" t="s">
        <v>224</v>
      </c>
      <c r="B24" s="113">
        <f>SUM(B11:B23)</f>
        <v>4154948.68</v>
      </c>
      <c r="C24" s="113">
        <f>SUM(C11:C23)</f>
        <v>4118848.02</v>
      </c>
      <c r="D24" s="125">
        <f>C24-B24</f>
        <v>-36100.660000000149</v>
      </c>
      <c r="E24" s="126">
        <f>D24/B24</f>
        <v>-8.6885934774049121E-3</v>
      </c>
      <c r="F24" s="113">
        <f>SUM(F11:F23)</f>
        <v>4051564.96</v>
      </c>
      <c r="G24" s="113">
        <f>SUM(G11:G23)</f>
        <v>3801069</v>
      </c>
      <c r="H24" s="121">
        <f>G24-F24</f>
        <v>-250495.95999999996</v>
      </c>
      <c r="I24" s="122">
        <f>H24/F24</f>
        <v>-6.1826963771549642E-2</v>
      </c>
    </row>
    <row r="25" spans="1:11" x14ac:dyDescent="0.25">
      <c r="A25" s="248"/>
      <c r="B25" s="248"/>
      <c r="C25" s="248"/>
      <c r="D25" s="248"/>
      <c r="E25" s="13"/>
      <c r="F25" s="13"/>
      <c r="G25" s="13"/>
      <c r="H25" s="13"/>
      <c r="I25" s="13"/>
      <c r="J25" s="13"/>
      <c r="K25" s="13"/>
    </row>
    <row r="26" spans="1:11" x14ac:dyDescent="0.25">
      <c r="A26" s="664" t="s">
        <v>301</v>
      </c>
      <c r="B26" s="664"/>
      <c r="C26" s="662">
        <v>3734948.68</v>
      </c>
      <c r="D26" s="662"/>
      <c r="E26" s="222"/>
      <c r="F26" s="222"/>
      <c r="G26" s="220"/>
      <c r="H26" s="223"/>
      <c r="I26" s="224"/>
      <c r="J26" s="13"/>
      <c r="K26" s="13"/>
    </row>
    <row r="27" spans="1:11" ht="13.8" thickBot="1" x14ac:dyDescent="0.3">
      <c r="A27" s="665" t="s">
        <v>302</v>
      </c>
      <c r="B27" s="665"/>
      <c r="C27" s="663">
        <v>4118848.02</v>
      </c>
      <c r="D27" s="663"/>
      <c r="E27" s="221"/>
      <c r="F27" s="221"/>
      <c r="G27" s="221"/>
      <c r="H27" s="15"/>
      <c r="I27" s="13"/>
      <c r="J27" s="13"/>
      <c r="K27" s="13"/>
    </row>
    <row r="28" spans="1:11" ht="13.8" thickBot="1" x14ac:dyDescent="0.3">
      <c r="A28" s="250" t="s">
        <v>303</v>
      </c>
      <c r="B28" s="251"/>
      <c r="C28" s="660">
        <f>C27-C26</f>
        <v>383899.33999999985</v>
      </c>
      <c r="D28" s="661"/>
      <c r="E28" s="13"/>
      <c r="F28" s="118"/>
      <c r="G28" s="13"/>
      <c r="H28" s="13"/>
      <c r="I28" s="13"/>
      <c r="J28" s="13"/>
      <c r="K28" s="13"/>
    </row>
    <row r="29" spans="1:11" x14ac:dyDescent="0.25">
      <c r="A29" s="248"/>
      <c r="B29" s="248"/>
      <c r="C29" s="248"/>
      <c r="D29" s="248"/>
      <c r="E29" s="13"/>
      <c r="F29" s="118"/>
      <c r="G29" s="13"/>
      <c r="H29" s="13"/>
      <c r="I29" s="13"/>
      <c r="J29" s="13"/>
      <c r="K29" s="13"/>
    </row>
    <row r="30" spans="1:11" x14ac:dyDescent="0.25">
      <c r="A30" s="248"/>
      <c r="B30" s="248"/>
      <c r="C30" s="248"/>
      <c r="D30" s="249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18"/>
      <c r="I31" s="13"/>
      <c r="J31" s="13"/>
      <c r="K31" s="13"/>
    </row>
    <row r="32" spans="1:11" x14ac:dyDescent="0.25">
      <c r="D32" s="101"/>
    </row>
  </sheetData>
  <mergeCells count="13">
    <mergeCell ref="C28:D28"/>
    <mergeCell ref="A1:I1"/>
    <mergeCell ref="C26:D26"/>
    <mergeCell ref="C27:D27"/>
    <mergeCell ref="F6:I6"/>
    <mergeCell ref="F7:I7"/>
    <mergeCell ref="A4:I4"/>
    <mergeCell ref="B6:E6"/>
    <mergeCell ref="B7:E7"/>
    <mergeCell ref="E8:E10"/>
    <mergeCell ref="I8:I10"/>
    <mergeCell ref="A26:B26"/>
    <mergeCell ref="A27:B27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000"/>
  </sheetPr>
  <dimension ref="A1:L33"/>
  <sheetViews>
    <sheetView zoomScale="110" zoomScaleNormal="110" workbookViewId="0">
      <selection activeCell="AC42" sqref="AC42"/>
    </sheetView>
  </sheetViews>
  <sheetFormatPr defaultColWidth="11.44140625" defaultRowHeight="13.2" x14ac:dyDescent="0.25"/>
  <cols>
    <col min="1" max="1" width="8.44140625" bestFit="1" customWidth="1"/>
    <col min="2" max="2" width="12.5546875" bestFit="1" customWidth="1"/>
    <col min="3" max="3" width="11.6640625" bestFit="1" customWidth="1"/>
    <col min="4" max="4" width="8" bestFit="1" customWidth="1"/>
    <col min="5" max="5" width="11.6640625" bestFit="1" customWidth="1"/>
    <col min="6" max="6" width="7.44140625" customWidth="1"/>
    <col min="7" max="7" width="13.33203125" customWidth="1"/>
    <col min="8" max="8" width="9" bestFit="1" customWidth="1"/>
    <col min="9" max="10" width="13.33203125" bestFit="1" customWidth="1"/>
    <col min="11" max="11" width="12.44140625" bestFit="1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s="98" customFormat="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6" t="s">
        <v>304</v>
      </c>
      <c r="B4" s="5"/>
      <c r="C4" s="6"/>
      <c r="D4" s="6"/>
      <c r="E4" s="6"/>
      <c r="F4" s="6"/>
      <c r="G4" s="6"/>
      <c r="H4" s="6"/>
      <c r="I4" s="6"/>
      <c r="J4" s="6"/>
      <c r="K4" s="7"/>
    </row>
    <row r="5" spans="1:11" ht="13.8" thickBot="1" x14ac:dyDescent="0.3"/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x14ac:dyDescent="0.25">
      <c r="A7" s="46"/>
      <c r="B7" s="63" t="s">
        <v>200</v>
      </c>
      <c r="C7" s="63" t="s">
        <v>201</v>
      </c>
      <c r="D7" s="52"/>
      <c r="E7" s="45" t="s">
        <v>4</v>
      </c>
      <c r="F7" s="52"/>
      <c r="G7" s="45" t="s">
        <v>202</v>
      </c>
      <c r="H7" s="52"/>
      <c r="I7" s="63" t="s">
        <v>6</v>
      </c>
      <c r="J7" s="52" t="s">
        <v>203</v>
      </c>
      <c r="K7" s="52" t="s">
        <v>202</v>
      </c>
    </row>
    <row r="8" spans="1:11" x14ac:dyDescent="0.25">
      <c r="A8" s="44" t="s">
        <v>204</v>
      </c>
      <c r="B8" s="64" t="s">
        <v>205</v>
      </c>
      <c r="C8" s="64" t="s">
        <v>206</v>
      </c>
      <c r="D8" s="53" t="s">
        <v>12</v>
      </c>
      <c r="E8" s="15" t="s">
        <v>10</v>
      </c>
      <c r="F8" s="53" t="s">
        <v>12</v>
      </c>
      <c r="G8" s="15" t="s">
        <v>207</v>
      </c>
      <c r="H8" s="53" t="s">
        <v>12</v>
      </c>
      <c r="I8" s="64" t="s">
        <v>208</v>
      </c>
      <c r="J8" s="53" t="s">
        <v>209</v>
      </c>
      <c r="K8" s="53" t="s">
        <v>210</v>
      </c>
    </row>
    <row r="9" spans="1:11" ht="13.8" thickBot="1" x14ac:dyDescent="0.3">
      <c r="A9" s="47"/>
      <c r="B9" s="89">
        <v>2015</v>
      </c>
      <c r="C9" s="89">
        <v>2015</v>
      </c>
      <c r="D9" s="54" t="s">
        <v>211</v>
      </c>
      <c r="E9" s="89">
        <v>2015</v>
      </c>
      <c r="F9" s="54" t="s">
        <v>211</v>
      </c>
      <c r="G9" s="89">
        <v>2015</v>
      </c>
      <c r="H9" s="54"/>
      <c r="I9" s="89">
        <v>2015</v>
      </c>
      <c r="J9" s="89">
        <v>2015</v>
      </c>
      <c r="K9" s="54">
        <v>2015</v>
      </c>
    </row>
    <row r="10" spans="1:11" x14ac:dyDescent="0.25">
      <c r="A10" s="48" t="s">
        <v>212</v>
      </c>
      <c r="B10" s="50">
        <v>4997346</v>
      </c>
      <c r="C10" s="86">
        <v>447105.3</v>
      </c>
      <c r="D10" s="57">
        <f t="shared" ref="D10:D16" si="0">C10/B10</f>
        <v>8.9468549906290259E-2</v>
      </c>
      <c r="E10" s="86">
        <v>341632.75</v>
      </c>
      <c r="F10" s="57">
        <f t="shared" ref="F10:F16" si="1">E10/B10</f>
        <v>6.8362836993876352E-2</v>
      </c>
      <c r="G10" s="55">
        <f t="shared" ref="G10:G16" si="2">C10-E10</f>
        <v>105472.54999999999</v>
      </c>
      <c r="H10" s="59">
        <f t="shared" ref="H10:H16" si="3">G10/C10</f>
        <v>0.23590091640604571</v>
      </c>
      <c r="I10" s="50">
        <v>190926.54</v>
      </c>
      <c r="J10" s="55">
        <v>456701.52</v>
      </c>
      <c r="K10" s="68">
        <f t="shared" ref="K10:K16" si="4">I10-J10</f>
        <v>-265774.98</v>
      </c>
    </row>
    <row r="11" spans="1:11" x14ac:dyDescent="0.25">
      <c r="A11" s="48" t="s">
        <v>213</v>
      </c>
      <c r="B11" s="50">
        <v>4997346</v>
      </c>
      <c r="C11" s="55">
        <v>869251.39</v>
      </c>
      <c r="D11" s="57">
        <f t="shared" si="0"/>
        <v>0.17394260673565529</v>
      </c>
      <c r="E11" s="55">
        <v>502352.19</v>
      </c>
      <c r="F11" s="57">
        <f t="shared" si="1"/>
        <v>0.10052379603093321</v>
      </c>
      <c r="G11" s="55">
        <f t="shared" si="2"/>
        <v>366899.20000000001</v>
      </c>
      <c r="H11" s="59">
        <f t="shared" si="3"/>
        <v>0.42208641161908295</v>
      </c>
      <c r="I11" s="65">
        <v>573744.76</v>
      </c>
      <c r="J11" s="55">
        <v>434620.54</v>
      </c>
      <c r="K11" s="68">
        <f t="shared" si="4"/>
        <v>139124.22000000003</v>
      </c>
    </row>
    <row r="12" spans="1:11" x14ac:dyDescent="0.25">
      <c r="A12" s="48" t="s">
        <v>214</v>
      </c>
      <c r="B12" s="50">
        <v>4997346</v>
      </c>
      <c r="C12" s="55">
        <v>442182.75</v>
      </c>
      <c r="D12" s="57">
        <f t="shared" si="0"/>
        <v>8.8483517050850585E-2</v>
      </c>
      <c r="E12" s="55">
        <v>397245.74</v>
      </c>
      <c r="F12" s="57">
        <f t="shared" si="1"/>
        <v>7.9491342004335899E-2</v>
      </c>
      <c r="G12" s="55">
        <f t="shared" si="2"/>
        <v>44937.010000000009</v>
      </c>
      <c r="H12" s="59">
        <f t="shared" si="3"/>
        <v>0.10162542523424989</v>
      </c>
      <c r="I12" s="65">
        <v>637061.04</v>
      </c>
      <c r="J12" s="55">
        <v>429531.92</v>
      </c>
      <c r="K12" s="68">
        <f t="shared" si="4"/>
        <v>207529.12000000005</v>
      </c>
    </row>
    <row r="13" spans="1:11" x14ac:dyDescent="0.25">
      <c r="A13" s="48" t="s">
        <v>215</v>
      </c>
      <c r="B13" s="50">
        <v>4997346</v>
      </c>
      <c r="C13" s="55">
        <v>562024.04</v>
      </c>
      <c r="D13" s="57">
        <f t="shared" si="0"/>
        <v>0.1124645041588075</v>
      </c>
      <c r="E13" s="55">
        <v>418179.11</v>
      </c>
      <c r="F13" s="57">
        <f t="shared" si="1"/>
        <v>8.3680239471111265E-2</v>
      </c>
      <c r="G13" s="55">
        <f t="shared" si="2"/>
        <v>143844.93000000005</v>
      </c>
      <c r="H13" s="59">
        <f t="shared" si="3"/>
        <v>0.25594088466393722</v>
      </c>
      <c r="I13" s="65">
        <v>789293.48</v>
      </c>
      <c r="J13" s="55">
        <v>389187.83</v>
      </c>
      <c r="K13" s="68">
        <f t="shared" si="4"/>
        <v>400105.64999999997</v>
      </c>
    </row>
    <row r="14" spans="1:11" x14ac:dyDescent="0.25">
      <c r="A14" s="48" t="s">
        <v>216</v>
      </c>
      <c r="B14" s="50">
        <v>4997346</v>
      </c>
      <c r="C14" s="55">
        <v>294706.89</v>
      </c>
      <c r="D14" s="58">
        <f t="shared" si="0"/>
        <v>5.8972680698914988E-2</v>
      </c>
      <c r="E14" s="55">
        <v>353530.42</v>
      </c>
      <c r="F14" s="57">
        <f t="shared" si="1"/>
        <v>7.0743634721310067E-2</v>
      </c>
      <c r="G14" s="62">
        <f t="shared" si="2"/>
        <v>-58823.52999999997</v>
      </c>
      <c r="H14" s="59">
        <f t="shared" si="3"/>
        <v>-0.1996001179341276</v>
      </c>
      <c r="I14" s="65">
        <v>751306.79</v>
      </c>
      <c r="J14" s="55">
        <v>397635.68</v>
      </c>
      <c r="K14" s="69">
        <f t="shared" si="4"/>
        <v>353671.11000000004</v>
      </c>
    </row>
    <row r="15" spans="1:11" x14ac:dyDescent="0.25">
      <c r="A15" s="48" t="s">
        <v>217</v>
      </c>
      <c r="B15" s="50">
        <v>4997346</v>
      </c>
      <c r="C15" s="56">
        <v>217384.7</v>
      </c>
      <c r="D15" s="58">
        <f t="shared" si="0"/>
        <v>4.3500029815826242E-2</v>
      </c>
      <c r="E15" s="56">
        <v>338874.89</v>
      </c>
      <c r="F15" s="57">
        <f t="shared" si="1"/>
        <v>6.7810972063971561E-2</v>
      </c>
      <c r="G15" s="62">
        <f t="shared" si="2"/>
        <v>-121490.19</v>
      </c>
      <c r="H15" s="59">
        <f t="shared" si="3"/>
        <v>-0.55887185252687976</v>
      </c>
      <c r="I15" s="66">
        <v>621110</v>
      </c>
      <c r="J15" s="56">
        <v>652762.68000000005</v>
      </c>
      <c r="K15" s="69">
        <f t="shared" si="4"/>
        <v>-31652.680000000051</v>
      </c>
    </row>
    <row r="16" spans="1:11" x14ac:dyDescent="0.25">
      <c r="A16" s="48" t="s">
        <v>218</v>
      </c>
      <c r="B16" s="50">
        <v>4997346</v>
      </c>
      <c r="C16" s="87">
        <v>239928.94</v>
      </c>
      <c r="D16" s="58">
        <f t="shared" si="0"/>
        <v>4.8011272383381098E-2</v>
      </c>
      <c r="E16" s="56">
        <f>'Comparativo 15 16'!F17</f>
        <v>286367.7</v>
      </c>
      <c r="F16" s="57">
        <f t="shared" si="1"/>
        <v>5.7303956940343938E-2</v>
      </c>
      <c r="G16" s="62">
        <f t="shared" si="2"/>
        <v>-46438.760000000009</v>
      </c>
      <c r="H16" s="59">
        <f t="shared" si="3"/>
        <v>-0.19355214089638378</v>
      </c>
      <c r="I16" s="66">
        <v>584667.48</v>
      </c>
      <c r="J16" s="56">
        <v>361263.98</v>
      </c>
      <c r="K16" s="69">
        <f t="shared" si="4"/>
        <v>223403.5</v>
      </c>
    </row>
    <row r="17" spans="1:12" x14ac:dyDescent="0.25">
      <c r="A17" s="48" t="s">
        <v>219</v>
      </c>
      <c r="B17" s="50">
        <v>4997346</v>
      </c>
      <c r="C17" s="87">
        <v>193985.14</v>
      </c>
      <c r="D17" s="58">
        <f>C17/B17</f>
        <v>3.8817632399277539E-2</v>
      </c>
      <c r="E17" s="56">
        <v>295091.38</v>
      </c>
      <c r="F17" s="57">
        <f>E17/B17</f>
        <v>5.9049619538050796E-2</v>
      </c>
      <c r="G17" s="62">
        <f>C17-E17</f>
        <v>-101106.23999999999</v>
      </c>
      <c r="H17" s="59">
        <f>G17/C17</f>
        <v>-0.52120610888029872</v>
      </c>
      <c r="I17" s="66">
        <v>463318.7</v>
      </c>
      <c r="J17" s="56">
        <v>347107.5</v>
      </c>
      <c r="K17" s="69">
        <f>I17-J17</f>
        <v>116211.20000000001</v>
      </c>
    </row>
    <row r="18" spans="1:12" x14ac:dyDescent="0.25">
      <c r="A18" s="48" t="s">
        <v>220</v>
      </c>
      <c r="B18" s="50">
        <v>4997346</v>
      </c>
      <c r="C18" s="87">
        <v>104458.02</v>
      </c>
      <c r="D18" s="58">
        <f>C18/B18</f>
        <v>2.0902699152710258E-2</v>
      </c>
      <c r="E18" s="87">
        <v>221424.38</v>
      </c>
      <c r="F18" s="57">
        <f>E18/B18</f>
        <v>4.4308394896010801E-2</v>
      </c>
      <c r="G18" s="62">
        <f>C18-E18</f>
        <v>-116966.36</v>
      </c>
      <c r="H18" s="59">
        <f>G18/C18</f>
        <v>-1.1197451378075134</v>
      </c>
      <c r="I18" s="66">
        <v>361273.73</v>
      </c>
      <c r="J18" s="56">
        <v>354218.65</v>
      </c>
      <c r="K18" s="69">
        <f>I18-J18</f>
        <v>7055.0799999999581</v>
      </c>
    </row>
    <row r="19" spans="1:12" x14ac:dyDescent="0.25">
      <c r="A19" s="48" t="s">
        <v>221</v>
      </c>
      <c r="B19" s="50">
        <v>4997346</v>
      </c>
      <c r="C19" s="87">
        <v>127066.48</v>
      </c>
      <c r="D19" s="58">
        <f>C19/B19</f>
        <v>2.5426792541481016E-2</v>
      </c>
      <c r="E19" s="87">
        <v>242999.49</v>
      </c>
      <c r="F19" s="57">
        <f>E19/B19</f>
        <v>4.8625708526085644E-2</v>
      </c>
      <c r="G19" s="62">
        <f>C19-E19</f>
        <v>-115933.01</v>
      </c>
      <c r="H19" s="60">
        <f>G19/C19</f>
        <v>-0.91238074746384723</v>
      </c>
      <c r="I19" s="66">
        <v>246645.93</v>
      </c>
      <c r="J19" s="56">
        <v>213726.61</v>
      </c>
      <c r="K19" s="69">
        <f>I19-J19</f>
        <v>32919.320000000007</v>
      </c>
    </row>
    <row r="20" spans="1:12" x14ac:dyDescent="0.25">
      <c r="A20" s="48" t="s">
        <v>222</v>
      </c>
      <c r="B20" s="50">
        <v>5417346</v>
      </c>
      <c r="C20" s="87">
        <v>106531.36</v>
      </c>
      <c r="D20" s="58">
        <f>C20/B20</f>
        <v>1.9664861723803502E-2</v>
      </c>
      <c r="E20" s="87">
        <v>246629.15</v>
      </c>
      <c r="F20" s="57">
        <f>E20/B20</f>
        <v>4.552582574566956E-2</v>
      </c>
      <c r="G20" s="62">
        <f>C20-E20</f>
        <v>-140097.78999999998</v>
      </c>
      <c r="H20" s="60">
        <f>G20/C20</f>
        <v>-1.3150849665300433</v>
      </c>
      <c r="I20" s="66">
        <v>128813.37</v>
      </c>
      <c r="J20" s="56">
        <v>231633.34</v>
      </c>
      <c r="K20" s="69">
        <f>I20-J20</f>
        <v>-102819.97</v>
      </c>
    </row>
    <row r="21" spans="1:12" x14ac:dyDescent="0.25">
      <c r="A21" s="48" t="s">
        <v>223</v>
      </c>
      <c r="B21" s="50">
        <v>5417346</v>
      </c>
      <c r="C21" s="87">
        <v>550323.67000000004</v>
      </c>
      <c r="D21" s="58">
        <f>C21/B21</f>
        <v>0.10158547561850398</v>
      </c>
      <c r="E21" s="87">
        <v>407237.76</v>
      </c>
      <c r="F21" s="57">
        <f>E21/B21</f>
        <v>7.5172927850648635E-2</v>
      </c>
      <c r="G21" s="62">
        <f>C21-E21</f>
        <v>143085.91000000003</v>
      </c>
      <c r="H21" s="60">
        <f>G21/C21</f>
        <v>0.26000319048606435</v>
      </c>
      <c r="I21" s="66">
        <v>315912.58</v>
      </c>
      <c r="J21" s="56">
        <v>245518.81</v>
      </c>
      <c r="K21" s="69">
        <f>I21-J21</f>
        <v>70393.770000000019</v>
      </c>
    </row>
    <row r="22" spans="1:12" ht="13.8" thickBot="1" x14ac:dyDescent="0.3">
      <c r="A22" s="49"/>
      <c r="B22" s="51"/>
      <c r="C22" s="88"/>
      <c r="D22" s="51"/>
      <c r="E22" s="88"/>
      <c r="F22" s="51"/>
      <c r="G22" s="49"/>
      <c r="H22" s="61"/>
      <c r="I22" s="67"/>
      <c r="J22" s="49"/>
      <c r="K22" s="61"/>
    </row>
    <row r="23" spans="1:12" ht="13.8" thickBot="1" x14ac:dyDescent="0.3">
      <c r="A23" s="72" t="s">
        <v>224</v>
      </c>
      <c r="B23" s="73">
        <v>5417346</v>
      </c>
      <c r="C23" s="74">
        <f>SUM(C10:C22)</f>
        <v>4154948.68</v>
      </c>
      <c r="D23" s="75">
        <f>C23/B23</f>
        <v>0.76697125861999582</v>
      </c>
      <c r="E23" s="74">
        <f>SUM(E10:E22)</f>
        <v>4051564.96</v>
      </c>
      <c r="F23" s="75">
        <f>E23/B23</f>
        <v>0.74788742679533482</v>
      </c>
      <c r="G23" s="74">
        <f>SUM(G10:G22)</f>
        <v>103383.72000000022</v>
      </c>
      <c r="H23" s="76">
        <f>E23/C23</f>
        <v>0.97511793093916144</v>
      </c>
      <c r="I23" s="77">
        <f>I21</f>
        <v>315912.58</v>
      </c>
      <c r="J23" s="77">
        <f>J21</f>
        <v>245518.81</v>
      </c>
      <c r="K23" s="74">
        <f>I23-J23</f>
        <v>70393.770000000019</v>
      </c>
      <c r="L23" s="13"/>
    </row>
    <row r="24" spans="1:12" ht="13.8" thickBot="1" x14ac:dyDescent="0.3">
      <c r="A24" s="28"/>
    </row>
    <row r="25" spans="1:12" ht="13.8" thickBot="1" x14ac:dyDescent="0.3">
      <c r="A25" s="658" t="s">
        <v>229</v>
      </c>
      <c r="B25" s="659"/>
      <c r="C25" s="74">
        <v>3734948.68</v>
      </c>
      <c r="D25" s="75"/>
      <c r="E25" s="74">
        <v>3858414.96</v>
      </c>
      <c r="F25" s="75"/>
      <c r="G25" s="103">
        <f>C25-E25</f>
        <v>-123466.2799999998</v>
      </c>
    </row>
    <row r="26" spans="1:12" x14ac:dyDescent="0.25">
      <c r="C26" s="99"/>
    </row>
    <row r="27" spans="1:12" x14ac:dyDescent="0.25">
      <c r="C27" s="99"/>
      <c r="E27" s="99"/>
    </row>
    <row r="28" spans="1:12" x14ac:dyDescent="0.25">
      <c r="C28" s="25"/>
      <c r="E28" s="25"/>
    </row>
    <row r="29" spans="1:12" x14ac:dyDescent="0.25">
      <c r="C29" s="42"/>
      <c r="E29" s="25"/>
    </row>
    <row r="30" spans="1:12" x14ac:dyDescent="0.25">
      <c r="C30" s="42"/>
      <c r="E30" s="42"/>
    </row>
    <row r="31" spans="1:12" x14ac:dyDescent="0.25">
      <c r="C31" s="42"/>
      <c r="E31" s="42"/>
    </row>
    <row r="32" spans="1:12" x14ac:dyDescent="0.25">
      <c r="E32" s="42"/>
    </row>
    <row r="33" spans="3:5" x14ac:dyDescent="0.25">
      <c r="C33" s="42"/>
      <c r="E33" s="42"/>
    </row>
  </sheetData>
  <mergeCells count="4">
    <mergeCell ref="A1:K1"/>
    <mergeCell ref="A6:H6"/>
    <mergeCell ref="I6:K6"/>
    <mergeCell ref="A25:B25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C000"/>
  </sheetPr>
  <dimension ref="A1:M34"/>
  <sheetViews>
    <sheetView topLeftCell="E1" zoomScale="60" zoomScaleNormal="90" workbookViewId="0">
      <selection activeCell="AC42" sqref="AC42"/>
    </sheetView>
  </sheetViews>
  <sheetFormatPr defaultRowHeight="13.2" x14ac:dyDescent="0.25"/>
  <cols>
    <col min="1" max="1" width="8.44140625" customWidth="1"/>
    <col min="2" max="2" width="14.44140625" customWidth="1"/>
    <col min="3" max="3" width="14.6640625" customWidth="1"/>
    <col min="4" max="4" width="13.6640625" customWidth="1"/>
    <col min="5" max="5" width="12.6640625" bestFit="1" customWidth="1"/>
    <col min="6" max="6" width="8.6640625" bestFit="1" customWidth="1"/>
    <col min="7" max="9" width="16.33203125" bestFit="1" customWidth="1"/>
    <col min="10" max="10" width="14.33203125" bestFit="1" customWidth="1"/>
    <col min="11" max="11" width="9.33203125" bestFit="1" customWidth="1"/>
  </cols>
  <sheetData>
    <row r="1" spans="1:11" ht="20.399999999999999" x14ac:dyDescent="0.35">
      <c r="A1" s="611" t="s">
        <v>230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</row>
    <row r="2" spans="1:11" ht="17.399999999999999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</row>
    <row r="3" spans="1:11" s="100" customFormat="1" ht="17.399999999999999" x14ac:dyDescent="0.3">
      <c r="A3" s="22" t="s">
        <v>231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s="100" customFormat="1" ht="17.399999999999999" x14ac:dyDescent="0.3">
      <c r="A4" s="22" t="s">
        <v>305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3.8" thickBot="1" x14ac:dyDescent="0.3">
      <c r="A5" s="15"/>
      <c r="B5" s="15"/>
      <c r="C5" s="15"/>
      <c r="D5" s="15"/>
      <c r="E5" s="16"/>
      <c r="F5" s="13"/>
      <c r="G5" s="13"/>
      <c r="H5" s="13"/>
      <c r="I5" s="13"/>
      <c r="J5" s="13"/>
      <c r="K5" s="13"/>
    </row>
    <row r="6" spans="1:11" ht="15" x14ac:dyDescent="0.25">
      <c r="A6" s="91"/>
      <c r="B6" s="668" t="s">
        <v>233</v>
      </c>
      <c r="C6" s="669"/>
      <c r="D6" s="669"/>
      <c r="E6" s="669"/>
      <c r="F6" s="670"/>
      <c r="G6" s="671" t="s">
        <v>234</v>
      </c>
      <c r="H6" s="672"/>
      <c r="I6" s="672"/>
      <c r="J6" s="672"/>
      <c r="K6" s="673"/>
    </row>
    <row r="7" spans="1:11" ht="16.2" thickBot="1" x14ac:dyDescent="0.35">
      <c r="A7" s="92"/>
      <c r="B7" s="83" t="s">
        <v>143</v>
      </c>
      <c r="C7" s="81"/>
      <c r="D7" s="83"/>
      <c r="E7" s="82"/>
      <c r="F7" s="85"/>
      <c r="G7" s="80" t="s">
        <v>144</v>
      </c>
      <c r="H7" s="80"/>
      <c r="I7" s="80"/>
      <c r="J7" s="80"/>
      <c r="K7" s="105"/>
    </row>
    <row r="8" spans="1:11" x14ac:dyDescent="0.25">
      <c r="A8" s="92" t="s">
        <v>235</v>
      </c>
      <c r="B8" s="8" t="s">
        <v>201</v>
      </c>
      <c r="C8" s="8" t="s">
        <v>201</v>
      </c>
      <c r="D8" s="8" t="s">
        <v>201</v>
      </c>
      <c r="E8" s="119" t="s">
        <v>11</v>
      </c>
      <c r="F8" s="8"/>
      <c r="G8" s="8" t="s">
        <v>4</v>
      </c>
      <c r="H8" s="8" t="s">
        <v>4</v>
      </c>
      <c r="I8" s="8" t="s">
        <v>4</v>
      </c>
      <c r="J8" s="119" t="s">
        <v>11</v>
      </c>
      <c r="K8" s="35"/>
    </row>
    <row r="9" spans="1:11" ht="13.8" thickBot="1" x14ac:dyDescent="0.3">
      <c r="A9" s="92"/>
      <c r="B9" s="106" t="s">
        <v>206</v>
      </c>
      <c r="C9" s="106" t="s">
        <v>206</v>
      </c>
      <c r="D9" s="106" t="s">
        <v>206</v>
      </c>
      <c r="E9" s="119" t="s">
        <v>236</v>
      </c>
      <c r="F9" s="8" t="s">
        <v>12</v>
      </c>
      <c r="G9" s="106" t="s">
        <v>10</v>
      </c>
      <c r="H9" s="106" t="s">
        <v>10</v>
      </c>
      <c r="I9" s="106" t="s">
        <v>10</v>
      </c>
      <c r="J9" s="119" t="s">
        <v>236</v>
      </c>
      <c r="K9" s="35" t="s">
        <v>12</v>
      </c>
    </row>
    <row r="10" spans="1:11" ht="13.8" thickBot="1" x14ac:dyDescent="0.3">
      <c r="A10" s="93"/>
      <c r="B10" s="107">
        <v>2013</v>
      </c>
      <c r="C10" s="107">
        <v>2014</v>
      </c>
      <c r="D10" s="107">
        <v>2015</v>
      </c>
      <c r="E10" s="120" t="s">
        <v>306</v>
      </c>
      <c r="F10" s="106"/>
      <c r="G10" s="107">
        <v>2013</v>
      </c>
      <c r="H10" s="107">
        <v>2014</v>
      </c>
      <c r="I10" s="107">
        <v>2015</v>
      </c>
      <c r="J10" s="120" t="s">
        <v>306</v>
      </c>
      <c r="K10" s="104"/>
    </row>
    <row r="11" spans="1:11" x14ac:dyDescent="0.25">
      <c r="A11" s="94" t="s">
        <v>237</v>
      </c>
      <c r="B11" s="36">
        <v>187360.02</v>
      </c>
      <c r="C11" s="36">
        <v>417692.04</v>
      </c>
      <c r="D11" s="36">
        <v>447105.3</v>
      </c>
      <c r="E11" s="79">
        <f t="shared" ref="E11:E18" si="0">D11-C11</f>
        <v>29413.260000000009</v>
      </c>
      <c r="F11" s="90">
        <f t="shared" ref="F11:F18" si="1">E11/C11</f>
        <v>7.0418531317953795E-2</v>
      </c>
      <c r="G11" s="36">
        <v>195649.42</v>
      </c>
      <c r="H11" s="36">
        <v>284072.34000000003</v>
      </c>
      <c r="I11" s="36">
        <v>341632.75</v>
      </c>
      <c r="J11" s="79">
        <f t="shared" ref="J11:J18" si="2">I11-H11</f>
        <v>57560.409999999974</v>
      </c>
      <c r="K11" s="108">
        <f t="shared" ref="K11:K18" si="3">J11/H11</f>
        <v>0.2026258874764082</v>
      </c>
    </row>
    <row r="12" spans="1:11" x14ac:dyDescent="0.25">
      <c r="A12" s="95" t="s">
        <v>238</v>
      </c>
      <c r="B12" s="9">
        <v>605637.63</v>
      </c>
      <c r="C12" s="9">
        <v>467928.97</v>
      </c>
      <c r="D12" s="9">
        <v>869251.39</v>
      </c>
      <c r="E12" s="71">
        <f t="shared" si="0"/>
        <v>401322.42000000004</v>
      </c>
      <c r="F12" s="10">
        <f t="shared" si="1"/>
        <v>0.85765670802557936</v>
      </c>
      <c r="G12" s="9">
        <v>324288.74</v>
      </c>
      <c r="H12" s="9">
        <v>345239.42</v>
      </c>
      <c r="I12" s="9">
        <v>502352.19</v>
      </c>
      <c r="J12" s="71">
        <f t="shared" si="2"/>
        <v>157112.77000000002</v>
      </c>
      <c r="K12" s="108">
        <f t="shared" si="3"/>
        <v>0.4550835185622778</v>
      </c>
    </row>
    <row r="13" spans="1:11" x14ac:dyDescent="0.25">
      <c r="A13" s="95" t="s">
        <v>239</v>
      </c>
      <c r="B13" s="9">
        <v>455259.73</v>
      </c>
      <c r="C13" s="9">
        <v>368051.58</v>
      </c>
      <c r="D13" s="9">
        <v>442182.75</v>
      </c>
      <c r="E13" s="71">
        <f t="shared" si="0"/>
        <v>74131.169999999984</v>
      </c>
      <c r="F13" s="10">
        <f t="shared" si="1"/>
        <v>0.20141516577649246</v>
      </c>
      <c r="G13" s="9">
        <v>355544.48</v>
      </c>
      <c r="H13" s="9">
        <v>304685.81</v>
      </c>
      <c r="I13" s="9">
        <v>397245.74</v>
      </c>
      <c r="J13" s="71">
        <f t="shared" si="2"/>
        <v>92559.93</v>
      </c>
      <c r="K13" s="108">
        <f t="shared" si="3"/>
        <v>0.30378812193452659</v>
      </c>
    </row>
    <row r="14" spans="1:11" x14ac:dyDescent="0.25">
      <c r="A14" s="95" t="s">
        <v>240</v>
      </c>
      <c r="B14" s="9">
        <v>722968.96</v>
      </c>
      <c r="C14" s="9">
        <v>678911.19</v>
      </c>
      <c r="D14" s="9">
        <v>562024.04</v>
      </c>
      <c r="E14" s="71">
        <f t="shared" si="0"/>
        <v>-116887.14999999991</v>
      </c>
      <c r="F14" s="10">
        <f t="shared" si="1"/>
        <v>-0.17216854239801219</v>
      </c>
      <c r="G14" s="9">
        <v>444990.71999999997</v>
      </c>
      <c r="H14" s="9">
        <v>419464.57</v>
      </c>
      <c r="I14" s="9">
        <v>418179.11</v>
      </c>
      <c r="J14" s="71">
        <f t="shared" si="2"/>
        <v>-1285.460000000021</v>
      </c>
      <c r="K14" s="108">
        <f t="shared" si="3"/>
        <v>-3.0645258072690643E-3</v>
      </c>
    </row>
    <row r="15" spans="1:11" x14ac:dyDescent="0.25">
      <c r="A15" s="95" t="s">
        <v>241</v>
      </c>
      <c r="B15" s="9">
        <v>258613.05</v>
      </c>
      <c r="C15" s="9">
        <v>262949.24</v>
      </c>
      <c r="D15" s="9">
        <v>294706.89</v>
      </c>
      <c r="E15" s="71">
        <f t="shared" si="0"/>
        <v>31757.650000000023</v>
      </c>
      <c r="F15" s="10">
        <f t="shared" si="1"/>
        <v>0.12077483091413393</v>
      </c>
      <c r="G15" s="9">
        <v>346375.63</v>
      </c>
      <c r="H15" s="9">
        <v>305413.82</v>
      </c>
      <c r="I15" s="9">
        <v>353530.42</v>
      </c>
      <c r="J15" s="71">
        <f t="shared" si="2"/>
        <v>48116.599999999977</v>
      </c>
      <c r="K15" s="108">
        <f t="shared" si="3"/>
        <v>0.15754558847402508</v>
      </c>
    </row>
    <row r="16" spans="1:11" x14ac:dyDescent="0.25">
      <c r="A16" s="95" t="s">
        <v>242</v>
      </c>
      <c r="B16" s="70">
        <v>165645.66</v>
      </c>
      <c r="C16" s="70">
        <v>227753.14</v>
      </c>
      <c r="D16" s="70">
        <v>217384.7</v>
      </c>
      <c r="E16" s="71">
        <f t="shared" si="0"/>
        <v>-10368.440000000002</v>
      </c>
      <c r="F16" s="10">
        <f t="shared" si="1"/>
        <v>-4.5524904727987509E-2</v>
      </c>
      <c r="G16" s="9">
        <v>349118.42</v>
      </c>
      <c r="H16" s="70">
        <v>289528.33</v>
      </c>
      <c r="I16" s="70">
        <v>338874.89</v>
      </c>
      <c r="J16" s="71">
        <f t="shared" si="2"/>
        <v>49346.559999999998</v>
      </c>
      <c r="K16" s="108">
        <f t="shared" si="3"/>
        <v>0.17043775992490959</v>
      </c>
    </row>
    <row r="17" spans="1:13" x14ac:dyDescent="0.25">
      <c r="A17" s="95" t="s">
        <v>243</v>
      </c>
      <c r="B17" s="70">
        <v>148718.24</v>
      </c>
      <c r="C17" s="70">
        <v>139705.39000000001</v>
      </c>
      <c r="D17" s="70">
        <v>239928.94</v>
      </c>
      <c r="E17" s="71">
        <f t="shared" si="0"/>
        <v>100223.54999999999</v>
      </c>
      <c r="F17" s="10">
        <f t="shared" si="1"/>
        <v>0.71739214929359552</v>
      </c>
      <c r="G17" s="9">
        <v>302237.13</v>
      </c>
      <c r="H17" s="70">
        <v>262245.45</v>
      </c>
      <c r="I17" s="56">
        <v>286367.7</v>
      </c>
      <c r="J17" s="71">
        <f t="shared" si="2"/>
        <v>24122.25</v>
      </c>
      <c r="K17" s="109">
        <f t="shared" si="3"/>
        <v>9.1983483412200279E-2</v>
      </c>
    </row>
    <row r="18" spans="1:13" x14ac:dyDescent="0.25">
      <c r="A18" s="95" t="s">
        <v>244</v>
      </c>
      <c r="B18" s="70">
        <v>177526.92</v>
      </c>
      <c r="C18" s="70">
        <v>88532.04</v>
      </c>
      <c r="D18" s="70">
        <v>193985.14</v>
      </c>
      <c r="E18" s="71">
        <f t="shared" si="0"/>
        <v>105453.10000000002</v>
      </c>
      <c r="F18" s="10">
        <f t="shared" si="1"/>
        <v>1.1911292228214783</v>
      </c>
      <c r="G18" s="9">
        <v>313866.05</v>
      </c>
      <c r="H18" s="70">
        <v>330242.8</v>
      </c>
      <c r="I18" s="56">
        <v>295091.38</v>
      </c>
      <c r="J18" s="71">
        <f t="shared" si="2"/>
        <v>-35151.419999999984</v>
      </c>
      <c r="K18" s="109">
        <f t="shared" si="3"/>
        <v>-0.1064411396705696</v>
      </c>
    </row>
    <row r="19" spans="1:13" x14ac:dyDescent="0.25">
      <c r="A19" s="95" t="s">
        <v>245</v>
      </c>
      <c r="B19" s="9">
        <v>143955.20000000001</v>
      </c>
      <c r="C19" s="9">
        <v>112302.76</v>
      </c>
      <c r="D19" s="70">
        <v>104458.02</v>
      </c>
      <c r="E19" s="71">
        <f>D19-C19</f>
        <v>-7844.7399999999907</v>
      </c>
      <c r="F19" s="10">
        <f>E19/C19</f>
        <v>-6.9853492469819894E-2</v>
      </c>
      <c r="G19" s="9">
        <v>263370.58</v>
      </c>
      <c r="H19" s="9">
        <v>265653.75</v>
      </c>
      <c r="I19" s="87">
        <v>221424.38</v>
      </c>
      <c r="J19" s="71">
        <f>I19-H19</f>
        <v>-44229.369999999995</v>
      </c>
      <c r="K19" s="109">
        <f>J19/H19</f>
        <v>-0.16649254904175076</v>
      </c>
    </row>
    <row r="20" spans="1:13" x14ac:dyDescent="0.25">
      <c r="A20" s="95" t="s">
        <v>246</v>
      </c>
      <c r="B20" s="9">
        <v>73421.81</v>
      </c>
      <c r="C20" s="9">
        <v>74279.06</v>
      </c>
      <c r="D20" s="70">
        <v>127066.48</v>
      </c>
      <c r="E20" s="71">
        <f>D20-C20</f>
        <v>52787.42</v>
      </c>
      <c r="F20" s="10">
        <f>E20/C20</f>
        <v>0.71066354366896944</v>
      </c>
      <c r="G20" s="9">
        <v>281941.64</v>
      </c>
      <c r="H20" s="9">
        <v>239715.32</v>
      </c>
      <c r="I20" s="87">
        <v>242999.49</v>
      </c>
      <c r="J20" s="71">
        <f>I20-H20</f>
        <v>3284.1699999999837</v>
      </c>
      <c r="K20" s="109">
        <f>J20/H20</f>
        <v>1.3700292496950064E-2</v>
      </c>
    </row>
    <row r="21" spans="1:13" x14ac:dyDescent="0.25">
      <c r="A21" s="95" t="s">
        <v>247</v>
      </c>
      <c r="B21" s="9">
        <v>60105.09</v>
      </c>
      <c r="C21" s="9">
        <v>55948.25</v>
      </c>
      <c r="D21" s="70">
        <v>106531.36</v>
      </c>
      <c r="E21" s="71">
        <f>D21-C21</f>
        <v>50583.11</v>
      </c>
      <c r="F21" s="10">
        <f>E21/C21</f>
        <v>0.90410531160492058</v>
      </c>
      <c r="G21" s="9">
        <v>206376.22</v>
      </c>
      <c r="H21" s="9">
        <v>249723.17</v>
      </c>
      <c r="I21" s="87">
        <v>246629.15</v>
      </c>
      <c r="J21" s="71">
        <f>I21-H21</f>
        <v>-3094.0200000000186</v>
      </c>
      <c r="K21" s="109">
        <f>J21/H21</f>
        <v>-1.2389799472752242E-2</v>
      </c>
    </row>
    <row r="22" spans="1:13" x14ac:dyDescent="0.25">
      <c r="A22" s="95" t="s">
        <v>248</v>
      </c>
      <c r="B22" s="9">
        <v>74289.490000000005</v>
      </c>
      <c r="C22" s="70">
        <v>347560.4</v>
      </c>
      <c r="D22" s="70">
        <v>550323.67000000004</v>
      </c>
      <c r="E22" s="71">
        <f>D22-C22</f>
        <v>202763.27000000002</v>
      </c>
      <c r="F22" s="10">
        <f>E22/C22</f>
        <v>0.58339002371961823</v>
      </c>
      <c r="G22" s="70">
        <v>246633.85</v>
      </c>
      <c r="H22" s="70">
        <v>246593.73</v>
      </c>
      <c r="I22" s="70">
        <v>407237.76</v>
      </c>
      <c r="J22" s="71">
        <f>I22-H22</f>
        <v>160644.03</v>
      </c>
      <c r="K22" s="109">
        <f>J22/H22</f>
        <v>0.65145220845639507</v>
      </c>
    </row>
    <row r="23" spans="1:13" ht="13.8" thickBot="1" x14ac:dyDescent="0.3">
      <c r="A23" s="96"/>
      <c r="B23" s="110"/>
      <c r="C23" s="110"/>
      <c r="D23" s="36"/>
      <c r="E23" s="111"/>
      <c r="F23" s="110"/>
      <c r="G23" s="110"/>
      <c r="H23" s="110"/>
      <c r="I23" s="36"/>
      <c r="J23" s="111"/>
      <c r="K23" s="112"/>
      <c r="L23" s="13"/>
      <c r="M23" s="13"/>
    </row>
    <row r="24" spans="1:13" ht="13.8" thickBot="1" x14ac:dyDescent="0.3">
      <c r="A24" s="127" t="s">
        <v>224</v>
      </c>
      <c r="B24" s="113">
        <f>SUM(B11:B23)</f>
        <v>3073501.8000000003</v>
      </c>
      <c r="C24" s="113">
        <f>SUM(C11:C23)</f>
        <v>3241614.06</v>
      </c>
      <c r="D24" s="113">
        <f>SUM(D11:D23)</f>
        <v>4154948.68</v>
      </c>
      <c r="E24" s="125">
        <f>D24-C24</f>
        <v>913334.62000000011</v>
      </c>
      <c r="F24" s="126">
        <f>E24/C24</f>
        <v>0.28175304126117967</v>
      </c>
      <c r="G24" s="113">
        <f>SUM(G11:G23)</f>
        <v>3630392.88</v>
      </c>
      <c r="H24" s="113">
        <f>SUM(H11:H23)</f>
        <v>3542578.51</v>
      </c>
      <c r="I24" s="113">
        <f>SUM(I11:I23)</f>
        <v>4051564.96</v>
      </c>
      <c r="J24" s="121">
        <f>I24-H24</f>
        <v>508986.45000000019</v>
      </c>
      <c r="K24" s="122">
        <f>J24/H24</f>
        <v>0.14367682990319958</v>
      </c>
      <c r="L24" s="13"/>
      <c r="M24" s="13"/>
    </row>
    <row r="25" spans="1:13" ht="13.8" thickBo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3.8" thickBot="1" x14ac:dyDescent="0.3">
      <c r="A26" s="13"/>
      <c r="B26" s="13"/>
      <c r="C26" s="13"/>
      <c r="D26" s="13"/>
      <c r="E26" s="666" t="s">
        <v>226</v>
      </c>
      <c r="F26" s="667"/>
      <c r="G26" s="114">
        <v>3471691.88</v>
      </c>
      <c r="H26" s="115">
        <v>3351704.55</v>
      </c>
      <c r="I26" s="103">
        <v>3858414.96</v>
      </c>
      <c r="J26" s="123">
        <f>I26-H26</f>
        <v>506710.41000000015</v>
      </c>
      <c r="K26" s="124">
        <f>J26/H26</f>
        <v>0.15117991530607916</v>
      </c>
      <c r="L26" s="13"/>
      <c r="M26" s="13"/>
    </row>
    <row r="27" spans="1:13" ht="13.8" thickBot="1" x14ac:dyDescent="0.3">
      <c r="A27" s="13"/>
      <c r="B27" s="13"/>
      <c r="C27" s="13"/>
      <c r="D27" s="13"/>
      <c r="E27" s="666" t="s">
        <v>307</v>
      </c>
      <c r="F27" s="667"/>
      <c r="G27" s="72">
        <v>2013</v>
      </c>
      <c r="H27" s="116">
        <v>2014</v>
      </c>
      <c r="I27" s="72">
        <v>2015</v>
      </c>
      <c r="J27" s="15"/>
      <c r="K27" s="13"/>
      <c r="L27" s="13"/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13"/>
      <c r="B32" s="13"/>
      <c r="C32" s="13"/>
      <c r="D32" s="118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A33" s="13"/>
      <c r="B33" s="13"/>
      <c r="C33" s="13"/>
      <c r="D33" s="13"/>
      <c r="E33" s="13"/>
      <c r="F33" s="13"/>
      <c r="G33" s="13"/>
      <c r="H33" s="118"/>
      <c r="I33" s="13"/>
      <c r="J33" s="13"/>
      <c r="K33" s="13"/>
      <c r="L33" s="13"/>
      <c r="M33" s="13"/>
    </row>
    <row r="34" spans="1:13" x14ac:dyDescent="0.25">
      <c r="D34" s="101"/>
    </row>
  </sheetData>
  <mergeCells count="5">
    <mergeCell ref="A1:K1"/>
    <mergeCell ref="E26:F26"/>
    <mergeCell ref="E27:F27"/>
    <mergeCell ref="B6:F6"/>
    <mergeCell ref="G6:K6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26"/>
  <sheetViews>
    <sheetView zoomScale="90" zoomScaleNormal="90" workbookViewId="0">
      <selection activeCell="J8" sqref="J8:J10"/>
    </sheetView>
  </sheetViews>
  <sheetFormatPr defaultRowHeight="13.2" x14ac:dyDescent="0.25"/>
  <cols>
    <col min="2" max="2" width="13.44140625" customWidth="1"/>
    <col min="3" max="4" width="13.6640625" customWidth="1"/>
    <col min="5" max="5" width="12.6640625" bestFit="1" customWidth="1"/>
    <col min="6" max="6" width="8.6640625" customWidth="1"/>
    <col min="7" max="9" width="13.6640625" bestFit="1" customWidth="1"/>
    <col min="10" max="10" width="12.6640625" bestFit="1" customWidth="1"/>
  </cols>
  <sheetData>
    <row r="1" spans="1:12" ht="15" x14ac:dyDescent="0.25">
      <c r="A1" s="535" t="s">
        <v>230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</row>
    <row r="2" spans="1:12" ht="20.399999999999999" x14ac:dyDescent="0.35">
      <c r="A2" s="22" t="s">
        <v>231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2" ht="22.8" x14ac:dyDescent="0.4">
      <c r="A4" s="12" t="s">
        <v>308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2" x14ac:dyDescent="0.25">
      <c r="A5" s="15"/>
      <c r="B5" s="15"/>
      <c r="C5" s="15"/>
      <c r="D5" s="15"/>
      <c r="E5" s="16"/>
      <c r="F5" s="13"/>
      <c r="G5" s="13"/>
      <c r="H5" s="13"/>
      <c r="I5" s="13"/>
      <c r="J5" s="13"/>
      <c r="K5" s="13"/>
    </row>
    <row r="6" spans="1:12" ht="17.399999999999999" x14ac:dyDescent="0.3">
      <c r="A6" s="17"/>
      <c r="B6" s="18" t="s">
        <v>233</v>
      </c>
      <c r="C6" s="18"/>
      <c r="D6" s="18"/>
      <c r="E6" s="19"/>
      <c r="F6" s="19"/>
      <c r="G6" s="18" t="s">
        <v>234</v>
      </c>
      <c r="H6" s="18"/>
      <c r="I6" s="20"/>
      <c r="J6" s="18"/>
      <c r="K6" s="19"/>
    </row>
    <row r="7" spans="1:12" ht="16.2" thickBot="1" x14ac:dyDescent="0.35">
      <c r="A7" s="21"/>
      <c r="B7" s="83" t="s">
        <v>143</v>
      </c>
      <c r="C7" s="81"/>
      <c r="D7" s="81"/>
      <c r="E7" s="82"/>
      <c r="F7" s="85"/>
      <c r="G7" s="80" t="s">
        <v>144</v>
      </c>
      <c r="H7" s="80"/>
      <c r="I7" s="80"/>
      <c r="J7" s="80"/>
      <c r="K7" s="84"/>
    </row>
    <row r="8" spans="1:12" x14ac:dyDescent="0.25">
      <c r="A8" s="21" t="s">
        <v>235</v>
      </c>
      <c r="B8" s="8" t="s">
        <v>201</v>
      </c>
      <c r="C8" s="8" t="s">
        <v>201</v>
      </c>
      <c r="D8" s="8" t="s">
        <v>201</v>
      </c>
      <c r="E8" s="119" t="s">
        <v>11</v>
      </c>
      <c r="F8" s="8"/>
      <c r="G8" s="8" t="s">
        <v>4</v>
      </c>
      <c r="H8" s="8" t="s">
        <v>4</v>
      </c>
      <c r="I8" s="8" t="s">
        <v>4</v>
      </c>
      <c r="J8" s="119" t="s">
        <v>11</v>
      </c>
      <c r="K8" s="8"/>
      <c r="L8" s="13"/>
    </row>
    <row r="9" spans="1:12" ht="13.8" thickBot="1" x14ac:dyDescent="0.3">
      <c r="A9" s="21"/>
      <c r="B9" s="106" t="s">
        <v>206</v>
      </c>
      <c r="C9" s="106" t="s">
        <v>206</v>
      </c>
      <c r="D9" s="106" t="s">
        <v>206</v>
      </c>
      <c r="E9" s="119" t="s">
        <v>236</v>
      </c>
      <c r="F9" s="8" t="s">
        <v>12</v>
      </c>
      <c r="G9" s="106" t="s">
        <v>10</v>
      </c>
      <c r="H9" s="106" t="s">
        <v>10</v>
      </c>
      <c r="I9" s="106" t="s">
        <v>10</v>
      </c>
      <c r="J9" s="119" t="s">
        <v>236</v>
      </c>
      <c r="K9" s="8" t="s">
        <v>12</v>
      </c>
      <c r="L9" s="13"/>
    </row>
    <row r="10" spans="1:12" x14ac:dyDescent="0.25">
      <c r="A10" s="21"/>
      <c r="B10" s="117">
        <v>2012</v>
      </c>
      <c r="C10" s="117">
        <v>2013</v>
      </c>
      <c r="D10" s="117">
        <v>2014</v>
      </c>
      <c r="E10" s="134" t="s">
        <v>309</v>
      </c>
      <c r="F10" s="8"/>
      <c r="G10" s="117">
        <v>2012</v>
      </c>
      <c r="H10" s="117">
        <v>2013</v>
      </c>
      <c r="I10" s="117">
        <v>2014</v>
      </c>
      <c r="J10" s="134" t="s">
        <v>309</v>
      </c>
      <c r="K10" s="8"/>
      <c r="L10" s="13"/>
    </row>
    <row r="11" spans="1:12" x14ac:dyDescent="0.25">
      <c r="A11" s="11" t="s">
        <v>237</v>
      </c>
      <c r="B11" s="9">
        <v>253919.75</v>
      </c>
      <c r="C11" s="9">
        <f>'Comparativo 13 14 15'!B11</f>
        <v>187360.02</v>
      </c>
      <c r="D11" s="9">
        <f>'Comparativo 13 14 15'!C11</f>
        <v>417692.04</v>
      </c>
      <c r="E11" s="71">
        <f t="shared" ref="E11:E22" si="0">D11-C11</f>
        <v>230332.02</v>
      </c>
      <c r="F11" s="10">
        <f t="shared" ref="F11:F22" si="1">E11/C11</f>
        <v>1.2293552274385966</v>
      </c>
      <c r="G11" s="9">
        <v>149966.54999999999</v>
      </c>
      <c r="H11" s="9">
        <f>'Comparativo 13 14 15'!G11</f>
        <v>195649.42</v>
      </c>
      <c r="I11" s="9">
        <f>'Comparativo 13 14 15'!H11</f>
        <v>284072.34000000003</v>
      </c>
      <c r="J11" s="71">
        <f t="shared" ref="J11:J22" si="2">I11-H11</f>
        <v>88422.920000000013</v>
      </c>
      <c r="K11" s="10">
        <f t="shared" ref="K11:K22" si="3">J11/H11</f>
        <v>0.4519457302761235</v>
      </c>
      <c r="L11" s="13"/>
    </row>
    <row r="12" spans="1:12" x14ac:dyDescent="0.25">
      <c r="A12" s="11" t="s">
        <v>238</v>
      </c>
      <c r="B12" s="9">
        <v>347879.6</v>
      </c>
      <c r="C12" s="9">
        <f>'Comparativo 13 14 15'!B12</f>
        <v>605637.63</v>
      </c>
      <c r="D12" s="9">
        <f>'Comparativo 13 14 15'!C12</f>
        <v>467928.97</v>
      </c>
      <c r="E12" s="71">
        <f t="shared" si="0"/>
        <v>-137708.66000000003</v>
      </c>
      <c r="F12" s="10">
        <f t="shared" si="1"/>
        <v>-0.22737797847864907</v>
      </c>
      <c r="G12" s="9">
        <v>189315.92</v>
      </c>
      <c r="H12" s="9">
        <f>'Comparativo 13 14 15'!G12</f>
        <v>324288.74</v>
      </c>
      <c r="I12" s="9">
        <f>'Comparativo 13 14 15'!H12</f>
        <v>345239.42</v>
      </c>
      <c r="J12" s="71">
        <f t="shared" si="2"/>
        <v>20950.679999999993</v>
      </c>
      <c r="K12" s="10">
        <f t="shared" si="3"/>
        <v>6.4605018354938856E-2</v>
      </c>
      <c r="L12" s="13"/>
    </row>
    <row r="13" spans="1:12" x14ac:dyDescent="0.25">
      <c r="A13" s="11" t="s">
        <v>239</v>
      </c>
      <c r="B13" s="9">
        <v>282036.46999999997</v>
      </c>
      <c r="C13" s="9">
        <f>'Comparativo 13 14 15'!B13</f>
        <v>455259.73</v>
      </c>
      <c r="D13" s="9">
        <f>'Comparativo 13 14 15'!C13</f>
        <v>368051.58</v>
      </c>
      <c r="E13" s="71">
        <f t="shared" si="0"/>
        <v>-87208.149999999965</v>
      </c>
      <c r="F13" s="10">
        <f t="shared" si="1"/>
        <v>-0.19155691631236518</v>
      </c>
      <c r="G13" s="9">
        <v>194367.12</v>
      </c>
      <c r="H13" s="9">
        <v>355544.48</v>
      </c>
      <c r="I13" s="9">
        <f>'Comparativo 13 14 15'!H13</f>
        <v>304685.81</v>
      </c>
      <c r="J13" s="71">
        <f t="shared" si="2"/>
        <v>-50858.669999999984</v>
      </c>
      <c r="K13" s="10">
        <f t="shared" si="3"/>
        <v>-0.14304446521009126</v>
      </c>
      <c r="L13" s="13"/>
    </row>
    <row r="14" spans="1:12" x14ac:dyDescent="0.25">
      <c r="A14" s="11" t="s">
        <v>240</v>
      </c>
      <c r="B14" s="9">
        <v>372044.63</v>
      </c>
      <c r="C14" s="9">
        <f>'Comparativo 13 14 15'!B14</f>
        <v>722968.96</v>
      </c>
      <c r="D14" s="9">
        <f>'Comparativo 13 14 15'!C14</f>
        <v>678911.19</v>
      </c>
      <c r="E14" s="71">
        <f t="shared" si="0"/>
        <v>-44057.770000000019</v>
      </c>
      <c r="F14" s="10">
        <f t="shared" si="1"/>
        <v>-6.0940057509522985E-2</v>
      </c>
      <c r="G14" s="9">
        <v>171064.89</v>
      </c>
      <c r="H14" s="9">
        <v>444990.71999999997</v>
      </c>
      <c r="I14" s="9">
        <f>'Comparativo 13 14 15'!H14</f>
        <v>419464.57</v>
      </c>
      <c r="J14" s="71">
        <f t="shared" si="2"/>
        <v>-25526.149999999965</v>
      </c>
      <c r="K14" s="10">
        <f t="shared" si="3"/>
        <v>-5.7363331082499802E-2</v>
      </c>
      <c r="L14" s="13"/>
    </row>
    <row r="15" spans="1:12" x14ac:dyDescent="0.25">
      <c r="A15" s="11" t="s">
        <v>241</v>
      </c>
      <c r="B15" s="9">
        <v>193049.51</v>
      </c>
      <c r="C15" s="9">
        <f>'Comparativo 13 14 15'!B15</f>
        <v>258613.05</v>
      </c>
      <c r="D15" s="9">
        <f>'Comparativo 13 14 15'!C15</f>
        <v>262949.24</v>
      </c>
      <c r="E15" s="71">
        <f t="shared" si="0"/>
        <v>4336.1900000000023</v>
      </c>
      <c r="F15" s="10">
        <f t="shared" si="1"/>
        <v>1.6767096633367892E-2</v>
      </c>
      <c r="G15" s="9">
        <v>208511.35999999999</v>
      </c>
      <c r="H15" s="9">
        <v>346375.63</v>
      </c>
      <c r="I15" s="9">
        <f>'Comparativo 13 14 15'!H15</f>
        <v>305413.82</v>
      </c>
      <c r="J15" s="71">
        <f t="shared" si="2"/>
        <v>-40961.81</v>
      </c>
      <c r="K15" s="10">
        <f t="shared" si="3"/>
        <v>-0.11825834860264274</v>
      </c>
      <c r="L15" s="13"/>
    </row>
    <row r="16" spans="1:12" x14ac:dyDescent="0.25">
      <c r="A16" s="11" t="s">
        <v>242</v>
      </c>
      <c r="B16" s="70">
        <v>114761.67</v>
      </c>
      <c r="C16" s="9">
        <f>'Comparativo 13 14 15'!B16</f>
        <v>165645.66</v>
      </c>
      <c r="D16" s="9">
        <f>'Comparativo 13 14 15'!C16</f>
        <v>227753.14</v>
      </c>
      <c r="E16" s="71">
        <f t="shared" si="0"/>
        <v>62107.48000000001</v>
      </c>
      <c r="F16" s="10">
        <f t="shared" si="1"/>
        <v>0.37494178839336939</v>
      </c>
      <c r="G16" s="70">
        <v>158567.48000000001</v>
      </c>
      <c r="H16" s="9">
        <v>349118.42</v>
      </c>
      <c r="I16" s="9">
        <f>'Comparativo 13 14 15'!H16</f>
        <v>289528.33</v>
      </c>
      <c r="J16" s="71">
        <f t="shared" si="2"/>
        <v>-59590.089999999967</v>
      </c>
      <c r="K16" s="10">
        <f t="shared" si="3"/>
        <v>-0.17068732723985167</v>
      </c>
      <c r="L16" s="13"/>
    </row>
    <row r="17" spans="1:12" x14ac:dyDescent="0.25">
      <c r="A17" s="11" t="s">
        <v>243</v>
      </c>
      <c r="B17" s="70">
        <v>102142.82</v>
      </c>
      <c r="C17" s="9">
        <f>'Comparativo 13 14 15'!B17</f>
        <v>148718.24</v>
      </c>
      <c r="D17" s="9">
        <f>'Comparativo 13 14 15'!C17</f>
        <v>139705.39000000001</v>
      </c>
      <c r="E17" s="71">
        <f t="shared" si="0"/>
        <v>-9012.8499999999767</v>
      </c>
      <c r="F17" s="10">
        <f t="shared" si="1"/>
        <v>-6.0603527852400467E-2</v>
      </c>
      <c r="G17" s="70">
        <v>282029.48</v>
      </c>
      <c r="H17" s="9">
        <v>302237.13</v>
      </c>
      <c r="I17" s="9">
        <f>'Comparativo 13 14 15'!H17</f>
        <v>262245.45</v>
      </c>
      <c r="J17" s="71">
        <f t="shared" si="2"/>
        <v>-39991.679999999993</v>
      </c>
      <c r="K17" s="10">
        <f t="shared" si="3"/>
        <v>-0.13231888484383103</v>
      </c>
      <c r="L17" s="13"/>
    </row>
    <row r="18" spans="1:12" x14ac:dyDescent="0.25">
      <c r="A18" s="11" t="s">
        <v>244</v>
      </c>
      <c r="B18" s="70">
        <v>125465.46</v>
      </c>
      <c r="C18" s="9">
        <f>'Comparativo 13 14 15'!B18</f>
        <v>177526.92</v>
      </c>
      <c r="D18" s="9">
        <f>'Comparativo 13 14 15'!C18</f>
        <v>88532.04</v>
      </c>
      <c r="E18" s="71">
        <f t="shared" si="0"/>
        <v>-88994.880000000019</v>
      </c>
      <c r="F18" s="10">
        <f t="shared" si="1"/>
        <v>-0.50130357694483751</v>
      </c>
      <c r="G18" s="70">
        <v>267125.77</v>
      </c>
      <c r="H18" s="9">
        <v>313866.05</v>
      </c>
      <c r="I18" s="9">
        <f>'Comparativo 13 14 15'!H18</f>
        <v>330242.8</v>
      </c>
      <c r="J18" s="71">
        <f t="shared" si="2"/>
        <v>16376.75</v>
      </c>
      <c r="K18" s="10">
        <f t="shared" si="3"/>
        <v>5.217751330543715E-2</v>
      </c>
      <c r="L18" s="13"/>
    </row>
    <row r="19" spans="1:12" x14ac:dyDescent="0.25">
      <c r="A19" s="11" t="s">
        <v>245</v>
      </c>
      <c r="B19" s="70">
        <v>75328</v>
      </c>
      <c r="C19" s="9">
        <v>143955.20000000001</v>
      </c>
      <c r="D19" s="9">
        <v>112302.76</v>
      </c>
      <c r="E19" s="71">
        <f t="shared" si="0"/>
        <v>-31652.440000000017</v>
      </c>
      <c r="F19" s="10">
        <f t="shared" si="1"/>
        <v>-0.21987701729426942</v>
      </c>
      <c r="G19" s="70">
        <v>244724.1</v>
      </c>
      <c r="H19" s="9">
        <v>263370.58</v>
      </c>
      <c r="I19" s="9">
        <v>265653.75</v>
      </c>
      <c r="J19" s="71">
        <f t="shared" si="2"/>
        <v>2283.1699999999837</v>
      </c>
      <c r="K19" s="10">
        <f t="shared" si="3"/>
        <v>8.6690396474806853E-3</v>
      </c>
      <c r="L19" s="13"/>
    </row>
    <row r="20" spans="1:12" x14ac:dyDescent="0.25">
      <c r="A20" s="11" t="s">
        <v>246</v>
      </c>
      <c r="B20" s="70">
        <v>68423.600000000006</v>
      </c>
      <c r="C20" s="9">
        <v>73421.81</v>
      </c>
      <c r="D20" s="9">
        <v>74279.06</v>
      </c>
      <c r="E20" s="71">
        <f t="shared" si="0"/>
        <v>857.25</v>
      </c>
      <c r="F20" s="10">
        <f t="shared" si="1"/>
        <v>1.167568601209913E-2</v>
      </c>
      <c r="G20" s="70">
        <v>171529</v>
      </c>
      <c r="H20" s="9">
        <v>281941.64</v>
      </c>
      <c r="I20" s="9">
        <v>239715.32</v>
      </c>
      <c r="J20" s="71">
        <f t="shared" si="2"/>
        <v>-42226.320000000007</v>
      </c>
      <c r="K20" s="10">
        <f t="shared" si="3"/>
        <v>-0.14976971830056746</v>
      </c>
      <c r="L20" s="13"/>
    </row>
    <row r="21" spans="1:12" x14ac:dyDescent="0.25">
      <c r="A21" s="11" t="s">
        <v>247</v>
      </c>
      <c r="B21" s="70">
        <v>94198</v>
      </c>
      <c r="C21" s="9">
        <v>60105.09</v>
      </c>
      <c r="D21" s="9">
        <v>55948.25</v>
      </c>
      <c r="E21" s="71">
        <f t="shared" si="0"/>
        <v>-4156.8399999999965</v>
      </c>
      <c r="F21" s="10">
        <f t="shared" si="1"/>
        <v>-6.9159533743315196E-2</v>
      </c>
      <c r="G21" s="70">
        <v>197427.41</v>
      </c>
      <c r="H21" s="9">
        <v>206276.22</v>
      </c>
      <c r="I21" s="9">
        <v>249723.17</v>
      </c>
      <c r="J21" s="71">
        <f t="shared" si="2"/>
        <v>43446.950000000012</v>
      </c>
      <c r="K21" s="10">
        <f t="shared" si="3"/>
        <v>0.21062510259301828</v>
      </c>
      <c r="L21" s="13"/>
    </row>
    <row r="22" spans="1:12" x14ac:dyDescent="0.25">
      <c r="A22" s="11" t="s">
        <v>248</v>
      </c>
      <c r="B22" s="70">
        <v>695215.83</v>
      </c>
      <c r="C22" s="9">
        <v>74289.490000000005</v>
      </c>
      <c r="D22" s="9">
        <v>347560.4</v>
      </c>
      <c r="E22" s="71">
        <f t="shared" si="0"/>
        <v>273270.91000000003</v>
      </c>
      <c r="F22" s="10">
        <f t="shared" si="1"/>
        <v>3.6784599005862071</v>
      </c>
      <c r="G22" s="70">
        <v>1185864.07</v>
      </c>
      <c r="H22" s="9">
        <v>246633.85</v>
      </c>
      <c r="I22" s="9">
        <v>246593.73</v>
      </c>
      <c r="J22" s="71">
        <f t="shared" si="2"/>
        <v>-40.119999999995343</v>
      </c>
      <c r="K22" s="10">
        <f t="shared" si="3"/>
        <v>-1.626702903919934E-4</v>
      </c>
      <c r="L22" s="13"/>
    </row>
    <row r="23" spans="1:12" ht="18" customHeight="1" x14ac:dyDescent="0.25">
      <c r="A23" s="128" t="s">
        <v>224</v>
      </c>
      <c r="B23" s="129">
        <f>SUM(B11:B22)</f>
        <v>2724465.34</v>
      </c>
      <c r="C23" s="129">
        <f>SUM(C11:C22)</f>
        <v>3073501.8000000003</v>
      </c>
      <c r="D23" s="129">
        <f>SUM(D11:D22)</f>
        <v>3241614.06</v>
      </c>
      <c r="E23" s="130">
        <f>D23-C23</f>
        <v>168112.25999999978</v>
      </c>
      <c r="F23" s="131">
        <f>E23/C23</f>
        <v>5.4697303251945308E-2</v>
      </c>
      <c r="G23" s="129">
        <f>SUM(G11:G22)</f>
        <v>3420493.1500000004</v>
      </c>
      <c r="H23" s="129">
        <f>SUM(H11:H22)</f>
        <v>3630292.88</v>
      </c>
      <c r="I23" s="129">
        <f>SUM(I11:I22)</f>
        <v>3542578.51</v>
      </c>
      <c r="J23" s="132">
        <f>I23-H23</f>
        <v>-87714.370000000112</v>
      </c>
      <c r="K23" s="133">
        <f>J23/H23</f>
        <v>-2.416178884167608E-2</v>
      </c>
      <c r="L23" s="13"/>
    </row>
    <row r="24" spans="1:12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6" spans="1:12" x14ac:dyDescent="0.25">
      <c r="I26" s="78"/>
    </row>
  </sheetData>
  <mergeCells count="1">
    <mergeCell ref="A1:K1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IV61"/>
  <sheetViews>
    <sheetView showGridLines="0" topLeftCell="A16" zoomScale="70" zoomScaleNormal="70" workbookViewId="0">
      <pane xSplit="1" topLeftCell="B1" activePane="topRight" state="frozen"/>
      <selection pane="topRight" activeCell="C54" sqref="C54"/>
    </sheetView>
  </sheetViews>
  <sheetFormatPr defaultColWidth="11.44140625" defaultRowHeight="13.2" x14ac:dyDescent="0.25"/>
  <cols>
    <col min="1" max="1" width="52.33203125" customWidth="1"/>
    <col min="2" max="2" width="19.44140625" customWidth="1"/>
    <col min="3" max="3" width="24.5546875" customWidth="1"/>
    <col min="4" max="4" width="19.6640625" bestFit="1" customWidth="1"/>
    <col min="5" max="5" width="18.33203125" customWidth="1"/>
    <col min="6" max="7" width="17.44140625" customWidth="1"/>
    <col min="8" max="8" width="16" customWidth="1"/>
    <col min="9" max="9" width="17.6640625" customWidth="1"/>
    <col min="10" max="10" width="18.33203125" bestFit="1" customWidth="1"/>
    <col min="11" max="12" width="15.5546875" customWidth="1"/>
    <col min="13" max="13" width="16" customWidth="1"/>
    <col min="14" max="14" width="17" customWidth="1"/>
    <col min="15" max="15" width="21.44140625" customWidth="1"/>
    <col min="16" max="16" width="15" bestFit="1" customWidth="1"/>
    <col min="17" max="17" width="18.33203125" bestFit="1" customWidth="1"/>
  </cols>
  <sheetData>
    <row r="1" spans="1:256" ht="14.4" x14ac:dyDescent="0.3">
      <c r="A1" s="575" t="s">
        <v>22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102"/>
      <c r="Q1" s="102"/>
    </row>
    <row r="2" spans="1:256" s="98" customFormat="1" ht="15.75" customHeight="1" thickBot="1" x14ac:dyDescent="0.35">
      <c r="A2" s="576" t="s">
        <v>146</v>
      </c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576"/>
      <c r="N2" s="576"/>
      <c r="O2" s="576"/>
    </row>
    <row r="3" spans="1:256" s="98" customFormat="1" ht="12.75" customHeight="1" x14ac:dyDescent="0.25">
      <c r="A3" s="577" t="s">
        <v>23</v>
      </c>
      <c r="B3" s="579" t="s">
        <v>24</v>
      </c>
      <c r="C3" s="573" t="s">
        <v>29</v>
      </c>
      <c r="D3" s="573" t="s">
        <v>30</v>
      </c>
      <c r="E3" s="573" t="s">
        <v>31</v>
      </c>
      <c r="F3" s="573" t="s">
        <v>32</v>
      </c>
      <c r="G3" s="573" t="s">
        <v>33</v>
      </c>
      <c r="H3" s="573" t="s">
        <v>34</v>
      </c>
      <c r="I3" s="573" t="s">
        <v>35</v>
      </c>
      <c r="J3" s="573" t="s">
        <v>36</v>
      </c>
      <c r="K3" s="573" t="s">
        <v>37</v>
      </c>
      <c r="L3" s="573" t="s">
        <v>38</v>
      </c>
      <c r="M3" s="573" t="s">
        <v>39</v>
      </c>
      <c r="N3" s="573" t="s">
        <v>40</v>
      </c>
      <c r="O3" s="581" t="s">
        <v>28</v>
      </c>
    </row>
    <row r="4" spans="1:256" s="98" customFormat="1" ht="15.6" thickBot="1" x14ac:dyDescent="0.3">
      <c r="A4" s="578"/>
      <c r="B4" s="580"/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  <c r="N4" s="574"/>
      <c r="O4" s="582"/>
    </row>
    <row r="5" spans="1:256" s="98" customFormat="1" ht="16.2" thickBot="1" x14ac:dyDescent="0.35">
      <c r="A5" s="232" t="s">
        <v>147</v>
      </c>
      <c r="B5" s="233">
        <f>SUM(B6:B10)</f>
        <v>5425000</v>
      </c>
      <c r="C5" s="234">
        <f>SUM(C6:C10)</f>
        <v>1146662.04</v>
      </c>
      <c r="D5" s="234">
        <f t="shared" ref="D5:I5" si="0">D6+D7+D8+D9+D10</f>
        <v>1258004.28</v>
      </c>
      <c r="E5" s="234">
        <f t="shared" si="0"/>
        <v>548930.25</v>
      </c>
      <c r="F5" s="234">
        <f t="shared" si="0"/>
        <v>513785.25</v>
      </c>
      <c r="G5" s="234">
        <f t="shared" si="0"/>
        <v>0</v>
      </c>
      <c r="H5" s="234">
        <f t="shared" si="0"/>
        <v>0</v>
      </c>
      <c r="I5" s="234">
        <f t="shared" si="0"/>
        <v>0</v>
      </c>
      <c r="J5" s="234">
        <f t="shared" ref="J5:O5" si="1">J6+J7+J8+J9+J10</f>
        <v>0</v>
      </c>
      <c r="K5" s="234">
        <f t="shared" si="1"/>
        <v>0</v>
      </c>
      <c r="L5" s="234">
        <f t="shared" si="1"/>
        <v>0</v>
      </c>
      <c r="M5" s="234">
        <f t="shared" si="1"/>
        <v>0</v>
      </c>
      <c r="N5" s="234">
        <f t="shared" si="1"/>
        <v>0</v>
      </c>
      <c r="O5" s="235">
        <f t="shared" si="1"/>
        <v>3467381.8200000003</v>
      </c>
    </row>
    <row r="6" spans="1:256" s="98" customFormat="1" ht="18" customHeight="1" thickBot="1" x14ac:dyDescent="0.3">
      <c r="A6" s="189" t="s">
        <v>148</v>
      </c>
      <c r="B6" s="190">
        <v>4544970</v>
      </c>
      <c r="C6" s="191">
        <v>988586.32</v>
      </c>
      <c r="D6" s="192">
        <v>1062037.03</v>
      </c>
      <c r="E6" s="192">
        <v>470174.86</v>
      </c>
      <c r="F6" s="241">
        <v>447195.39</v>
      </c>
      <c r="G6" s="192"/>
      <c r="H6" s="192"/>
      <c r="I6" s="192"/>
      <c r="J6" s="192"/>
      <c r="K6" s="192"/>
      <c r="L6" s="192"/>
      <c r="M6" s="192"/>
      <c r="N6" s="192"/>
      <c r="O6" s="193">
        <f>N6+M6+L6+K6+J6+I6+H6+G6+F6+E6+D6+C6</f>
        <v>2967993.6</v>
      </c>
      <c r="Q6" s="240"/>
    </row>
    <row r="7" spans="1:256" s="98" customFormat="1" ht="18" customHeight="1" thickBot="1" x14ac:dyDescent="0.3">
      <c r="A7" s="194" t="s">
        <v>149</v>
      </c>
      <c r="B7" s="195">
        <v>384000</v>
      </c>
      <c r="C7" s="196">
        <v>58281.74</v>
      </c>
      <c r="D7" s="196">
        <v>49050.879999999997</v>
      </c>
      <c r="E7" s="196">
        <v>36003.39</v>
      </c>
      <c r="F7" s="242">
        <v>33221.879999999997</v>
      </c>
      <c r="G7" s="196"/>
      <c r="H7" s="196"/>
      <c r="I7" s="196"/>
      <c r="J7" s="196"/>
      <c r="K7" s="196"/>
      <c r="L7" s="196"/>
      <c r="M7" s="196"/>
      <c r="N7" s="196"/>
      <c r="O7" s="193">
        <f t="shared" ref="O7:O16" si="2">N7+M7+L7+K7+J7+I7+H7+G7+F7+E7+D7+C7</f>
        <v>176557.88999999998</v>
      </c>
    </row>
    <row r="8" spans="1:256" s="98" customFormat="1" ht="18" customHeight="1" thickBot="1" x14ac:dyDescent="0.3">
      <c r="A8" s="194" t="s">
        <v>150</v>
      </c>
      <c r="B8" s="195">
        <v>409614</v>
      </c>
      <c r="C8" s="196">
        <v>73250.2</v>
      </c>
      <c r="D8" s="196">
        <v>120268.02</v>
      </c>
      <c r="E8" s="196">
        <v>36298.769999999997</v>
      </c>
      <c r="F8" s="242">
        <v>28772.11</v>
      </c>
      <c r="G8" s="196"/>
      <c r="H8" s="196"/>
      <c r="I8" s="196"/>
      <c r="J8" s="196"/>
      <c r="K8" s="196"/>
      <c r="L8" s="196"/>
      <c r="M8" s="196"/>
      <c r="N8" s="196"/>
      <c r="O8" s="193">
        <f t="shared" si="2"/>
        <v>258589.09999999998</v>
      </c>
      <c r="Q8" s="240"/>
    </row>
    <row r="9" spans="1:256" s="98" customFormat="1" ht="18" customHeight="1" thickBot="1" x14ac:dyDescent="0.3">
      <c r="A9" s="194" t="s">
        <v>151</v>
      </c>
      <c r="B9" s="197">
        <v>30000</v>
      </c>
      <c r="C9" s="198">
        <v>6339.46</v>
      </c>
      <c r="D9" s="198">
        <v>5133.58</v>
      </c>
      <c r="E9" s="198">
        <v>3982.34</v>
      </c>
      <c r="F9" s="243">
        <v>1732.26</v>
      </c>
      <c r="G9" s="198"/>
      <c r="H9" s="198"/>
      <c r="I9" s="198"/>
      <c r="J9" s="198"/>
      <c r="K9" s="198"/>
      <c r="L9" s="198"/>
      <c r="M9" s="198"/>
      <c r="N9" s="198"/>
      <c r="O9" s="193">
        <f t="shared" si="2"/>
        <v>17187.64</v>
      </c>
    </row>
    <row r="10" spans="1:256" s="98" customFormat="1" ht="18" customHeight="1" thickBot="1" x14ac:dyDescent="0.3">
      <c r="A10" s="194" t="s">
        <v>152</v>
      </c>
      <c r="B10" s="197">
        <v>56416</v>
      </c>
      <c r="C10" s="198">
        <v>20204.32</v>
      </c>
      <c r="D10" s="198">
        <v>21514.77</v>
      </c>
      <c r="E10" s="198">
        <v>2470.89</v>
      </c>
      <c r="F10" s="243">
        <v>2863.61</v>
      </c>
      <c r="G10" s="198"/>
      <c r="H10" s="198"/>
      <c r="I10" s="198"/>
      <c r="J10" s="198"/>
      <c r="K10" s="198"/>
      <c r="L10" s="198"/>
      <c r="M10" s="198"/>
      <c r="N10" s="198"/>
      <c r="O10" s="193">
        <f t="shared" si="2"/>
        <v>47053.59</v>
      </c>
    </row>
    <row r="11" spans="1:256" s="98" customFormat="1" ht="18" customHeight="1" thickBot="1" x14ac:dyDescent="0.35">
      <c r="A11" s="232" t="s">
        <v>153</v>
      </c>
      <c r="B11" s="233">
        <f>B12+B13</f>
        <v>42000</v>
      </c>
      <c r="C11" s="233">
        <f>C12+C13+C14+C15</f>
        <v>15488.59</v>
      </c>
      <c r="D11" s="233">
        <f>D12+D13+D14+D15</f>
        <v>15282.11</v>
      </c>
      <c r="E11" s="234">
        <f>E12+E13+E14+E15</f>
        <v>17827.39</v>
      </c>
      <c r="F11" s="234">
        <f>F12+F13+F14+F15</f>
        <v>15711.009999999998</v>
      </c>
      <c r="G11" s="234">
        <f t="shared" ref="G11:N11" si="3">G12+G13</f>
        <v>0</v>
      </c>
      <c r="H11" s="234">
        <f t="shared" si="3"/>
        <v>0</v>
      </c>
      <c r="I11" s="234">
        <f t="shared" si="3"/>
        <v>0</v>
      </c>
      <c r="J11" s="234">
        <f>J12+J13</f>
        <v>0</v>
      </c>
      <c r="K11" s="234">
        <f t="shared" si="3"/>
        <v>0</v>
      </c>
      <c r="L11" s="234">
        <f>L12+L13</f>
        <v>0</v>
      </c>
      <c r="M11" s="234">
        <f t="shared" si="3"/>
        <v>0</v>
      </c>
      <c r="N11" s="234">
        <f t="shared" si="3"/>
        <v>0</v>
      </c>
      <c r="O11" s="235">
        <f t="shared" si="2"/>
        <v>64309.099999999991</v>
      </c>
      <c r="P11" s="236"/>
      <c r="Q11" s="237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9"/>
      <c r="AE11" s="236"/>
      <c r="AF11" s="237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9"/>
      <c r="AT11" s="236"/>
      <c r="AU11" s="237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9"/>
      <c r="BI11" s="236"/>
      <c r="BJ11" s="237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38"/>
      <c r="BW11" s="239"/>
      <c r="BX11" s="236"/>
      <c r="BY11" s="237"/>
      <c r="BZ11" s="238"/>
      <c r="CA11" s="238"/>
      <c r="CB11" s="238"/>
      <c r="CC11" s="238"/>
      <c r="CD11" s="238"/>
      <c r="CE11" s="238"/>
      <c r="CF11" s="238"/>
      <c r="CG11" s="238"/>
      <c r="CH11" s="238"/>
      <c r="CI11" s="238"/>
      <c r="CJ11" s="238"/>
      <c r="CK11" s="238"/>
      <c r="CL11" s="239"/>
      <c r="CM11" s="236"/>
      <c r="CN11" s="237"/>
      <c r="CO11" s="238"/>
      <c r="CP11" s="238"/>
      <c r="CQ11" s="238"/>
      <c r="CR11" s="238"/>
      <c r="CS11" s="238"/>
      <c r="CT11" s="238"/>
      <c r="CU11" s="238"/>
      <c r="CV11" s="238"/>
      <c r="CW11" s="238"/>
      <c r="CX11" s="238"/>
      <c r="CY11" s="238"/>
      <c r="CZ11" s="238"/>
      <c r="DA11" s="239"/>
      <c r="DB11" s="236"/>
      <c r="DC11" s="237"/>
      <c r="DD11" s="238"/>
      <c r="DE11" s="238"/>
      <c r="DF11" s="238"/>
      <c r="DG11" s="238"/>
      <c r="DH11" s="238"/>
      <c r="DI11" s="238"/>
      <c r="DJ11" s="238"/>
      <c r="DK11" s="238"/>
      <c r="DL11" s="238"/>
      <c r="DM11" s="238"/>
      <c r="DN11" s="238"/>
      <c r="DO11" s="238"/>
      <c r="DP11" s="239"/>
      <c r="DQ11" s="236"/>
      <c r="DR11" s="237"/>
      <c r="DS11" s="238"/>
      <c r="DT11" s="238"/>
      <c r="DU11" s="238"/>
      <c r="DV11" s="238"/>
      <c r="DW11" s="238"/>
      <c r="DX11" s="238"/>
      <c r="DY11" s="238"/>
      <c r="DZ11" s="238"/>
      <c r="EA11" s="238"/>
      <c r="EB11" s="238"/>
      <c r="EC11" s="238"/>
      <c r="ED11" s="238"/>
      <c r="EE11" s="239"/>
      <c r="EF11" s="236"/>
      <c r="EG11" s="237"/>
      <c r="EH11" s="238"/>
      <c r="EI11" s="238"/>
      <c r="EJ11" s="238"/>
      <c r="EK11" s="238"/>
      <c r="EL11" s="238"/>
      <c r="EM11" s="238"/>
      <c r="EN11" s="238"/>
      <c r="EO11" s="238"/>
      <c r="EP11" s="238"/>
      <c r="EQ11" s="238"/>
      <c r="ER11" s="238"/>
      <c r="ES11" s="238"/>
      <c r="ET11" s="239"/>
      <c r="EU11" s="236"/>
      <c r="EV11" s="237"/>
      <c r="EW11" s="238"/>
      <c r="EX11" s="238"/>
      <c r="EY11" s="238"/>
      <c r="EZ11" s="238"/>
      <c r="FA11" s="238"/>
      <c r="FB11" s="238"/>
      <c r="FC11" s="238"/>
      <c r="FD11" s="238"/>
      <c r="FE11" s="238"/>
      <c r="FF11" s="238"/>
      <c r="FG11" s="238"/>
      <c r="FH11" s="238"/>
      <c r="FI11" s="239"/>
      <c r="FJ11" s="236"/>
      <c r="FK11" s="237"/>
      <c r="FL11" s="238"/>
      <c r="FM11" s="238"/>
      <c r="FN11" s="238"/>
      <c r="FO11" s="238"/>
      <c r="FP11" s="238"/>
      <c r="FQ11" s="238"/>
      <c r="FR11" s="238"/>
      <c r="FS11" s="238"/>
      <c r="FT11" s="238"/>
      <c r="FU11" s="238"/>
      <c r="FV11" s="238"/>
      <c r="FW11" s="238"/>
      <c r="FX11" s="239"/>
      <c r="FY11" s="236"/>
      <c r="FZ11" s="237"/>
      <c r="GA11" s="238"/>
      <c r="GB11" s="238"/>
      <c r="GC11" s="238"/>
      <c r="GD11" s="238"/>
      <c r="GE11" s="238"/>
      <c r="GF11" s="238"/>
      <c r="GG11" s="238"/>
      <c r="GH11" s="238"/>
      <c r="GI11" s="238"/>
      <c r="GJ11" s="238"/>
      <c r="GK11" s="238"/>
      <c r="GL11" s="238"/>
      <c r="GM11" s="239"/>
      <c r="GN11" s="236"/>
      <c r="GO11" s="237"/>
      <c r="GP11" s="238"/>
      <c r="GQ11" s="238"/>
      <c r="GR11" s="238"/>
      <c r="GS11" s="238"/>
      <c r="GT11" s="238"/>
      <c r="GU11" s="238"/>
      <c r="GV11" s="238"/>
      <c r="GW11" s="238"/>
      <c r="GX11" s="238"/>
      <c r="GY11" s="238"/>
      <c r="GZ11" s="238"/>
      <c r="HA11" s="238"/>
      <c r="HB11" s="239"/>
      <c r="HC11" s="236"/>
      <c r="HD11" s="237"/>
      <c r="HE11" s="238"/>
      <c r="HF11" s="238"/>
      <c r="HG11" s="238"/>
      <c r="HH11" s="238"/>
      <c r="HI11" s="238"/>
      <c r="HJ11" s="238"/>
      <c r="HK11" s="238"/>
      <c r="HL11" s="238"/>
      <c r="HM11" s="238"/>
      <c r="HN11" s="238"/>
      <c r="HO11" s="238"/>
      <c r="HP11" s="238"/>
      <c r="HQ11" s="239"/>
      <c r="HR11" s="236"/>
      <c r="HS11" s="237"/>
      <c r="HT11" s="238"/>
      <c r="HU11" s="238"/>
      <c r="HV11" s="238"/>
      <c r="HW11" s="238"/>
      <c r="HX11" s="238"/>
      <c r="HY11" s="238"/>
      <c r="HZ11" s="238"/>
      <c r="IA11" s="238"/>
      <c r="IB11" s="238"/>
      <c r="IC11" s="238"/>
      <c r="ID11" s="238"/>
      <c r="IE11" s="238"/>
      <c r="IF11" s="239"/>
      <c r="IG11" s="236"/>
      <c r="IH11" s="237"/>
      <c r="II11" s="238"/>
      <c r="IJ11" s="238"/>
      <c r="IK11" s="238"/>
      <c r="IL11" s="238"/>
      <c r="IM11" s="238"/>
      <c r="IN11" s="238"/>
      <c r="IO11" s="238"/>
      <c r="IP11" s="238"/>
      <c r="IQ11" s="238"/>
      <c r="IR11" s="238"/>
      <c r="IS11" s="238"/>
      <c r="IT11" s="238"/>
      <c r="IU11" s="239"/>
      <c r="IV11" s="236"/>
    </row>
    <row r="12" spans="1:256" s="98" customFormat="1" ht="18" customHeight="1" thickBot="1" x14ac:dyDescent="0.3">
      <c r="A12" s="189" t="s">
        <v>154</v>
      </c>
      <c r="B12" s="190">
        <v>42000</v>
      </c>
      <c r="C12" s="192">
        <v>3500</v>
      </c>
      <c r="D12" s="192">
        <v>3500</v>
      </c>
      <c r="E12" s="192">
        <v>3774.16</v>
      </c>
      <c r="F12" s="192">
        <v>3774.16</v>
      </c>
      <c r="G12" s="192"/>
      <c r="H12" s="192"/>
      <c r="I12" s="192"/>
      <c r="J12" s="192"/>
      <c r="K12" s="192"/>
      <c r="L12" s="192"/>
      <c r="M12" s="192"/>
      <c r="N12" s="192"/>
      <c r="O12" s="193">
        <f t="shared" si="2"/>
        <v>14548.32</v>
      </c>
    </row>
    <row r="13" spans="1:256" s="98" customFormat="1" ht="18" customHeight="1" thickBot="1" x14ac:dyDescent="0.3">
      <c r="A13" s="207" t="s">
        <v>155</v>
      </c>
      <c r="B13" s="197">
        <v>0</v>
      </c>
      <c r="C13" s="198">
        <v>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3">
        <f t="shared" si="2"/>
        <v>0</v>
      </c>
    </row>
    <row r="14" spans="1:256" s="98" customFormat="1" ht="18" customHeight="1" thickBot="1" x14ac:dyDescent="0.3">
      <c r="A14" s="202" t="s">
        <v>156</v>
      </c>
      <c r="B14" s="203">
        <v>172800</v>
      </c>
      <c r="C14" s="204">
        <v>11954.27</v>
      </c>
      <c r="D14" s="204">
        <v>11751.09</v>
      </c>
      <c r="E14" s="204">
        <v>14022.13</v>
      </c>
      <c r="F14" s="204">
        <v>11907.38</v>
      </c>
      <c r="G14" s="204"/>
      <c r="H14" s="204"/>
      <c r="I14" s="204"/>
      <c r="J14" s="204"/>
      <c r="K14" s="204"/>
      <c r="L14" s="204"/>
      <c r="M14" s="204"/>
      <c r="N14" s="204"/>
      <c r="O14" s="193">
        <f>N14+M14+L14+K14+J14+I14+H14+G14+F14+E14+D14+C14</f>
        <v>49634.869999999995</v>
      </c>
    </row>
    <row r="15" spans="1:256" s="98" customFormat="1" ht="18" customHeight="1" thickBot="1" x14ac:dyDescent="0.3">
      <c r="A15" s="209" t="s">
        <v>157</v>
      </c>
      <c r="B15" s="210">
        <v>400</v>
      </c>
      <c r="C15" s="211">
        <v>34.32</v>
      </c>
      <c r="D15" s="211">
        <v>31.02</v>
      </c>
      <c r="E15" s="211">
        <v>31.1</v>
      </c>
      <c r="F15" s="211">
        <v>29.47</v>
      </c>
      <c r="G15" s="211"/>
      <c r="H15" s="211"/>
      <c r="I15" s="211"/>
      <c r="J15" s="211"/>
      <c r="K15" s="211"/>
      <c r="L15" s="211"/>
      <c r="M15" s="211"/>
      <c r="N15" s="211"/>
      <c r="O15" s="193">
        <f>N15+M15+L15+K15+J15+I15+H15+G15+F15+E15+D15+C15</f>
        <v>125.91</v>
      </c>
    </row>
    <row r="16" spans="1:256" s="98" customFormat="1" ht="18" customHeight="1" thickBot="1" x14ac:dyDescent="0.35">
      <c r="A16" s="232" t="s">
        <v>158</v>
      </c>
      <c r="B16" s="233">
        <f>B17+B18+B19+B20+B21</f>
        <v>323000</v>
      </c>
      <c r="C16" s="234">
        <f>C17+C18+C19+C20+C21</f>
        <v>44683.739999999991</v>
      </c>
      <c r="D16" s="234">
        <f>D17+D18+D19+D20+D21</f>
        <v>57934.53</v>
      </c>
      <c r="E16" s="234">
        <f>E17+E18+E19+E21</f>
        <v>26159.91</v>
      </c>
      <c r="F16" s="234">
        <f t="shared" ref="F16:N16" si="4">F17+F18+F19+F20+F21</f>
        <v>9588.9800000000014</v>
      </c>
      <c r="G16" s="234">
        <f t="shared" si="4"/>
        <v>0</v>
      </c>
      <c r="H16" s="234">
        <f t="shared" si="4"/>
        <v>0</v>
      </c>
      <c r="I16" s="234">
        <f t="shared" si="4"/>
        <v>0</v>
      </c>
      <c r="J16" s="234">
        <f t="shared" si="4"/>
        <v>0</v>
      </c>
      <c r="K16" s="234">
        <f t="shared" si="4"/>
        <v>0</v>
      </c>
      <c r="L16" s="234">
        <f t="shared" si="4"/>
        <v>0</v>
      </c>
      <c r="M16" s="234">
        <f t="shared" si="4"/>
        <v>0</v>
      </c>
      <c r="N16" s="234">
        <f t="shared" si="4"/>
        <v>0</v>
      </c>
      <c r="O16" s="235">
        <f t="shared" si="2"/>
        <v>138367.15999999997</v>
      </c>
      <c r="P16" s="236"/>
      <c r="Q16" s="237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9"/>
      <c r="AE16" s="236"/>
      <c r="AF16" s="237"/>
      <c r="AG16" s="238"/>
      <c r="AH16" s="238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239"/>
      <c r="AT16" s="236"/>
      <c r="AU16" s="237"/>
      <c r="AV16" s="238"/>
      <c r="AW16" s="238"/>
      <c r="AX16" s="238"/>
      <c r="AY16" s="238"/>
      <c r="AZ16" s="238"/>
      <c r="BA16" s="238"/>
      <c r="BB16" s="238"/>
      <c r="BC16" s="238"/>
      <c r="BD16" s="238"/>
      <c r="BE16" s="238"/>
      <c r="BF16" s="238"/>
      <c r="BG16" s="238"/>
      <c r="BH16" s="239"/>
      <c r="BI16" s="236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9"/>
      <c r="BX16" s="236"/>
      <c r="BY16" s="237"/>
      <c r="BZ16" s="238"/>
      <c r="CA16" s="238"/>
      <c r="CB16" s="238"/>
      <c r="CC16" s="238"/>
      <c r="CD16" s="238"/>
      <c r="CE16" s="238"/>
      <c r="CF16" s="238"/>
      <c r="CG16" s="238"/>
      <c r="CH16" s="238"/>
      <c r="CI16" s="238"/>
      <c r="CJ16" s="238"/>
      <c r="CK16" s="238"/>
      <c r="CL16" s="239"/>
      <c r="CM16" s="236"/>
      <c r="CN16" s="237"/>
      <c r="CO16" s="238"/>
      <c r="CP16" s="238"/>
      <c r="CQ16" s="238"/>
      <c r="CR16" s="238"/>
      <c r="CS16" s="238"/>
      <c r="CT16" s="238"/>
      <c r="CU16" s="238"/>
      <c r="CV16" s="238"/>
      <c r="CW16" s="238"/>
      <c r="CX16" s="238"/>
      <c r="CY16" s="238"/>
      <c r="CZ16" s="238"/>
      <c r="DA16" s="239"/>
      <c r="DB16" s="236"/>
      <c r="DC16" s="237"/>
      <c r="DD16" s="238"/>
      <c r="DE16" s="238"/>
      <c r="DF16" s="238"/>
      <c r="DG16" s="238"/>
      <c r="DH16" s="238"/>
      <c r="DI16" s="238"/>
      <c r="DJ16" s="238"/>
      <c r="DK16" s="238"/>
      <c r="DL16" s="238"/>
      <c r="DM16" s="238"/>
      <c r="DN16" s="238"/>
      <c r="DO16" s="238"/>
      <c r="DP16" s="239"/>
      <c r="DQ16" s="236"/>
      <c r="DR16" s="237"/>
      <c r="DS16" s="238"/>
      <c r="DT16" s="238"/>
      <c r="DU16" s="238"/>
      <c r="DV16" s="238"/>
      <c r="DW16" s="238"/>
      <c r="DX16" s="238"/>
      <c r="DY16" s="238"/>
      <c r="DZ16" s="238"/>
      <c r="EA16" s="238"/>
      <c r="EB16" s="238"/>
      <c r="EC16" s="238"/>
      <c r="ED16" s="238"/>
      <c r="EE16" s="239"/>
      <c r="EF16" s="236"/>
      <c r="EG16" s="237"/>
      <c r="EH16" s="238"/>
      <c r="EI16" s="238"/>
      <c r="EJ16" s="238"/>
      <c r="EK16" s="238"/>
      <c r="EL16" s="238"/>
      <c r="EM16" s="238"/>
      <c r="EN16" s="238"/>
      <c r="EO16" s="238"/>
      <c r="EP16" s="238"/>
      <c r="EQ16" s="238"/>
      <c r="ER16" s="238"/>
      <c r="ES16" s="238"/>
      <c r="ET16" s="239"/>
      <c r="EU16" s="236"/>
      <c r="EV16" s="237"/>
      <c r="EW16" s="238"/>
      <c r="EX16" s="238"/>
      <c r="EY16" s="238"/>
      <c r="EZ16" s="238"/>
      <c r="FA16" s="238"/>
      <c r="FB16" s="238"/>
      <c r="FC16" s="238"/>
      <c r="FD16" s="238"/>
      <c r="FE16" s="238"/>
      <c r="FF16" s="238"/>
      <c r="FG16" s="238"/>
      <c r="FH16" s="238"/>
      <c r="FI16" s="239"/>
      <c r="FJ16" s="236"/>
      <c r="FK16" s="237"/>
      <c r="FL16" s="238"/>
      <c r="FM16" s="238"/>
      <c r="FN16" s="238"/>
      <c r="FO16" s="238"/>
      <c r="FP16" s="238"/>
      <c r="FQ16" s="238"/>
      <c r="FR16" s="238"/>
      <c r="FS16" s="238"/>
      <c r="FT16" s="238"/>
      <c r="FU16" s="238"/>
      <c r="FV16" s="238"/>
      <c r="FW16" s="238"/>
      <c r="FX16" s="239"/>
      <c r="FY16" s="236"/>
      <c r="FZ16" s="237"/>
      <c r="GA16" s="238"/>
      <c r="GB16" s="238"/>
      <c r="GC16" s="238"/>
      <c r="GD16" s="238"/>
      <c r="GE16" s="238"/>
      <c r="GF16" s="238"/>
      <c r="GG16" s="238"/>
      <c r="GH16" s="238"/>
      <c r="GI16" s="238"/>
      <c r="GJ16" s="238"/>
      <c r="GK16" s="238"/>
      <c r="GL16" s="238"/>
      <c r="GM16" s="239"/>
      <c r="GN16" s="236"/>
      <c r="GO16" s="237"/>
      <c r="GP16" s="238"/>
      <c r="GQ16" s="238"/>
      <c r="GR16" s="238"/>
      <c r="GS16" s="238"/>
      <c r="GT16" s="238"/>
      <c r="GU16" s="238"/>
      <c r="GV16" s="238"/>
      <c r="GW16" s="238"/>
      <c r="GX16" s="238"/>
      <c r="GY16" s="238"/>
      <c r="GZ16" s="238"/>
      <c r="HA16" s="238"/>
      <c r="HB16" s="239"/>
      <c r="HC16" s="236"/>
      <c r="HD16" s="237"/>
      <c r="HE16" s="238"/>
      <c r="HF16" s="238"/>
      <c r="HG16" s="238"/>
      <c r="HH16" s="238"/>
      <c r="HI16" s="238"/>
      <c r="HJ16" s="238"/>
      <c r="HK16" s="238"/>
      <c r="HL16" s="238"/>
      <c r="HM16" s="238"/>
      <c r="HN16" s="238"/>
      <c r="HO16" s="238"/>
      <c r="HP16" s="238"/>
      <c r="HQ16" s="239"/>
      <c r="HR16" s="236"/>
      <c r="HS16" s="237"/>
      <c r="HT16" s="238"/>
      <c r="HU16" s="238"/>
      <c r="HV16" s="238"/>
      <c r="HW16" s="238"/>
      <c r="HX16" s="238"/>
      <c r="HY16" s="238"/>
      <c r="HZ16" s="238"/>
      <c r="IA16" s="238"/>
      <c r="IB16" s="238"/>
      <c r="IC16" s="238"/>
      <c r="ID16" s="238"/>
      <c r="IE16" s="238"/>
      <c r="IF16" s="239"/>
      <c r="IG16" s="236"/>
      <c r="IH16" s="237"/>
      <c r="II16" s="238"/>
      <c r="IJ16" s="238"/>
      <c r="IK16" s="238"/>
      <c r="IL16" s="238"/>
      <c r="IM16" s="238"/>
      <c r="IN16" s="238"/>
      <c r="IO16" s="238"/>
      <c r="IP16" s="238"/>
      <c r="IQ16" s="238"/>
      <c r="IR16" s="238"/>
      <c r="IS16" s="238"/>
      <c r="IT16" s="238"/>
      <c r="IU16" s="239"/>
      <c r="IV16" s="236"/>
    </row>
    <row r="17" spans="1:256" s="98" customFormat="1" ht="18" customHeight="1" thickBot="1" x14ac:dyDescent="0.3">
      <c r="A17" s="199" t="s">
        <v>159</v>
      </c>
      <c r="B17" s="200">
        <v>165600</v>
      </c>
      <c r="C17" s="201">
        <v>27824.42</v>
      </c>
      <c r="D17" s="201">
        <v>36652.35</v>
      </c>
      <c r="E17" s="201">
        <v>17055.87</v>
      </c>
      <c r="F17" s="201">
        <v>4822.7700000000004</v>
      </c>
      <c r="G17" s="201"/>
      <c r="H17" s="201"/>
      <c r="I17" s="201"/>
      <c r="J17" s="201"/>
      <c r="K17" s="201"/>
      <c r="L17" s="201"/>
      <c r="M17" s="201"/>
      <c r="N17" s="201"/>
      <c r="O17" s="193">
        <f t="shared" ref="O17:O53" si="5">N17+M17+L17+K17+J17+I17+H17+G17+F17+E17+D17+C17</f>
        <v>86355.41</v>
      </c>
    </row>
    <row r="18" spans="1:256" s="98" customFormat="1" ht="18" customHeight="1" thickBot="1" x14ac:dyDescent="0.3">
      <c r="A18" s="202" t="s">
        <v>160</v>
      </c>
      <c r="B18" s="203">
        <v>36000</v>
      </c>
      <c r="C18" s="204">
        <v>732.62</v>
      </c>
      <c r="D18" s="204">
        <v>1116.44</v>
      </c>
      <c r="E18" s="204">
        <v>719.86</v>
      </c>
      <c r="F18" s="204">
        <v>1535.28</v>
      </c>
      <c r="G18" s="204"/>
      <c r="H18" s="204"/>
      <c r="I18" s="204"/>
      <c r="J18" s="204"/>
      <c r="K18" s="204"/>
      <c r="L18" s="204"/>
      <c r="M18" s="204"/>
      <c r="N18" s="204"/>
      <c r="O18" s="193">
        <f t="shared" si="5"/>
        <v>4104.2</v>
      </c>
    </row>
    <row r="19" spans="1:256" s="98" customFormat="1" ht="18" customHeight="1" thickBot="1" x14ac:dyDescent="0.3">
      <c r="A19" s="202" t="s">
        <v>161</v>
      </c>
      <c r="B19" s="203">
        <v>102000</v>
      </c>
      <c r="C19" s="204">
        <v>15337</v>
      </c>
      <c r="D19" s="204">
        <v>19154.53</v>
      </c>
      <c r="E19" s="204">
        <v>7921.2</v>
      </c>
      <c r="F19" s="204">
        <v>2456.0100000000002</v>
      </c>
      <c r="G19" s="204"/>
      <c r="H19" s="204"/>
      <c r="I19" s="204"/>
      <c r="J19" s="204"/>
      <c r="K19" s="204"/>
      <c r="L19" s="204"/>
      <c r="M19" s="204"/>
      <c r="N19" s="204"/>
      <c r="O19" s="193">
        <f t="shared" si="5"/>
        <v>44868.74</v>
      </c>
      <c r="P19" s="240"/>
    </row>
    <row r="20" spans="1:256" s="98" customFormat="1" ht="18" customHeight="1" thickBot="1" x14ac:dyDescent="0.3">
      <c r="A20" s="202" t="s">
        <v>162</v>
      </c>
      <c r="B20" s="203">
        <v>0</v>
      </c>
      <c r="C20" s="204">
        <v>0</v>
      </c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193">
        <f t="shared" si="5"/>
        <v>0</v>
      </c>
    </row>
    <row r="21" spans="1:256" s="98" customFormat="1" ht="18" customHeight="1" thickBot="1" x14ac:dyDescent="0.3">
      <c r="A21" s="202" t="s">
        <v>163</v>
      </c>
      <c r="B21" s="205">
        <v>19400</v>
      </c>
      <c r="C21" s="400">
        <v>789.7</v>
      </c>
      <c r="D21" s="206">
        <v>1011.21</v>
      </c>
      <c r="E21" s="206">
        <v>462.98</v>
      </c>
      <c r="F21" s="206">
        <v>774.92</v>
      </c>
      <c r="G21" s="206"/>
      <c r="H21" s="206"/>
      <c r="I21" s="206"/>
      <c r="J21" s="206"/>
      <c r="K21" s="206"/>
      <c r="L21" s="206"/>
      <c r="M21" s="206"/>
      <c r="N21" s="206"/>
      <c r="O21" s="193">
        <f t="shared" si="5"/>
        <v>3038.8100000000004</v>
      </c>
    </row>
    <row r="22" spans="1:256" s="98" customFormat="1" ht="18" customHeight="1" thickBot="1" x14ac:dyDescent="0.35">
      <c r="A22" s="232" t="s">
        <v>164</v>
      </c>
      <c r="B22" s="233">
        <f>B23+B24+B25+B26+B27</f>
        <v>29800</v>
      </c>
      <c r="C22" s="234">
        <f>C23+C24+C25+C26+C27</f>
        <v>1510.06</v>
      </c>
      <c r="D22" s="234">
        <f>D23+D24+D25+D26+D27</f>
        <v>1937.3</v>
      </c>
      <c r="E22" s="234">
        <f>E23+E24+E25+E26+E27</f>
        <v>1162.3800000000001</v>
      </c>
      <c r="F22" s="234">
        <f>F23+F24+F25+F26+F27</f>
        <v>0</v>
      </c>
      <c r="G22" s="234">
        <f t="shared" ref="G22:M22" si="6">G23+G24+G25+G26+G27</f>
        <v>0</v>
      </c>
      <c r="H22" s="234">
        <f t="shared" si="6"/>
        <v>0</v>
      </c>
      <c r="I22" s="234">
        <f t="shared" si="6"/>
        <v>0</v>
      </c>
      <c r="J22" s="234">
        <f t="shared" si="6"/>
        <v>0</v>
      </c>
      <c r="K22" s="234">
        <f t="shared" si="6"/>
        <v>0</v>
      </c>
      <c r="L22" s="234">
        <f t="shared" si="6"/>
        <v>0</v>
      </c>
      <c r="M22" s="234">
        <f t="shared" si="6"/>
        <v>0</v>
      </c>
      <c r="N22" s="234">
        <f>N23+N24+N25+N26+N27</f>
        <v>0</v>
      </c>
      <c r="O22" s="235">
        <f t="shared" ref="O22:O27" si="7">N22+M22+L22+K22+J22+I22+H22+G22+F22+E22+D22+C22</f>
        <v>4609.74</v>
      </c>
      <c r="P22" s="236"/>
      <c r="Q22" s="237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9"/>
      <c r="AE22" s="236"/>
      <c r="AF22" s="237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9"/>
      <c r="AT22" s="236"/>
      <c r="AU22" s="237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9"/>
      <c r="BI22" s="236"/>
      <c r="BJ22" s="237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38"/>
      <c r="BW22" s="239"/>
      <c r="BX22" s="236"/>
      <c r="BY22" s="237"/>
      <c r="BZ22" s="238"/>
      <c r="CA22" s="238"/>
      <c r="CB22" s="238"/>
      <c r="CC22" s="238"/>
      <c r="CD22" s="238"/>
      <c r="CE22" s="238"/>
      <c r="CF22" s="238"/>
      <c r="CG22" s="238"/>
      <c r="CH22" s="238"/>
      <c r="CI22" s="238"/>
      <c r="CJ22" s="238"/>
      <c r="CK22" s="238"/>
      <c r="CL22" s="239"/>
      <c r="CM22" s="236"/>
      <c r="CN22" s="237"/>
      <c r="CO22" s="238"/>
      <c r="CP22" s="238"/>
      <c r="CQ22" s="238"/>
      <c r="CR22" s="238"/>
      <c r="CS22" s="238"/>
      <c r="CT22" s="238"/>
      <c r="CU22" s="238"/>
      <c r="CV22" s="238"/>
      <c r="CW22" s="238"/>
      <c r="CX22" s="238"/>
      <c r="CY22" s="238"/>
      <c r="CZ22" s="238"/>
      <c r="DA22" s="239"/>
      <c r="DB22" s="236"/>
      <c r="DC22" s="237"/>
      <c r="DD22" s="238"/>
      <c r="DE22" s="238"/>
      <c r="DF22" s="238"/>
      <c r="DG22" s="238"/>
      <c r="DH22" s="238"/>
      <c r="DI22" s="238"/>
      <c r="DJ22" s="238"/>
      <c r="DK22" s="238"/>
      <c r="DL22" s="238"/>
      <c r="DM22" s="238"/>
      <c r="DN22" s="238"/>
      <c r="DO22" s="238"/>
      <c r="DP22" s="239"/>
      <c r="DQ22" s="236"/>
      <c r="DR22" s="237"/>
      <c r="DS22" s="238"/>
      <c r="DT22" s="238"/>
      <c r="DU22" s="238"/>
      <c r="DV22" s="238"/>
      <c r="DW22" s="238"/>
      <c r="DX22" s="238"/>
      <c r="DY22" s="238"/>
      <c r="DZ22" s="238"/>
      <c r="EA22" s="238"/>
      <c r="EB22" s="238"/>
      <c r="EC22" s="238"/>
      <c r="ED22" s="238"/>
      <c r="EE22" s="239"/>
      <c r="EF22" s="236"/>
      <c r="EG22" s="237"/>
      <c r="EH22" s="238"/>
      <c r="EI22" s="238"/>
      <c r="EJ22" s="238"/>
      <c r="EK22" s="238"/>
      <c r="EL22" s="238"/>
      <c r="EM22" s="238"/>
      <c r="EN22" s="238"/>
      <c r="EO22" s="238"/>
      <c r="EP22" s="238"/>
      <c r="EQ22" s="238"/>
      <c r="ER22" s="238"/>
      <c r="ES22" s="238"/>
      <c r="ET22" s="239"/>
      <c r="EU22" s="236"/>
      <c r="EV22" s="237"/>
      <c r="EW22" s="238"/>
      <c r="EX22" s="238"/>
      <c r="EY22" s="238"/>
      <c r="EZ22" s="238"/>
      <c r="FA22" s="238"/>
      <c r="FB22" s="238"/>
      <c r="FC22" s="238"/>
      <c r="FD22" s="238"/>
      <c r="FE22" s="238"/>
      <c r="FF22" s="238"/>
      <c r="FG22" s="238"/>
      <c r="FH22" s="238"/>
      <c r="FI22" s="239"/>
      <c r="FJ22" s="236"/>
      <c r="FK22" s="237"/>
      <c r="FL22" s="238"/>
      <c r="FM22" s="238"/>
      <c r="FN22" s="238"/>
      <c r="FO22" s="238"/>
      <c r="FP22" s="238"/>
      <c r="FQ22" s="238"/>
      <c r="FR22" s="238"/>
      <c r="FS22" s="238"/>
      <c r="FT22" s="238"/>
      <c r="FU22" s="238"/>
      <c r="FV22" s="238"/>
      <c r="FW22" s="238"/>
      <c r="FX22" s="239"/>
      <c r="FY22" s="236"/>
      <c r="FZ22" s="237"/>
      <c r="GA22" s="238"/>
      <c r="GB22" s="238"/>
      <c r="GC22" s="238"/>
      <c r="GD22" s="238"/>
      <c r="GE22" s="238"/>
      <c r="GF22" s="238"/>
      <c r="GG22" s="238"/>
      <c r="GH22" s="238"/>
      <c r="GI22" s="238"/>
      <c r="GJ22" s="238"/>
      <c r="GK22" s="238"/>
      <c r="GL22" s="238"/>
      <c r="GM22" s="239"/>
      <c r="GN22" s="236"/>
      <c r="GO22" s="237"/>
      <c r="GP22" s="238"/>
      <c r="GQ22" s="238"/>
      <c r="GR22" s="238"/>
      <c r="GS22" s="238"/>
      <c r="GT22" s="238"/>
      <c r="GU22" s="238"/>
      <c r="GV22" s="238"/>
      <c r="GW22" s="238"/>
      <c r="GX22" s="238"/>
      <c r="GY22" s="238"/>
      <c r="GZ22" s="238"/>
      <c r="HA22" s="238"/>
      <c r="HB22" s="239"/>
      <c r="HC22" s="236"/>
      <c r="HD22" s="237"/>
      <c r="HE22" s="238"/>
      <c r="HF22" s="238"/>
      <c r="HG22" s="238"/>
      <c r="HH22" s="238"/>
      <c r="HI22" s="238"/>
      <c r="HJ22" s="238"/>
      <c r="HK22" s="238"/>
      <c r="HL22" s="238"/>
      <c r="HM22" s="238"/>
      <c r="HN22" s="238"/>
      <c r="HO22" s="238"/>
      <c r="HP22" s="238"/>
      <c r="HQ22" s="239"/>
      <c r="HR22" s="236"/>
      <c r="HS22" s="237"/>
      <c r="HT22" s="238"/>
      <c r="HU22" s="238"/>
      <c r="HV22" s="238"/>
      <c r="HW22" s="238"/>
      <c r="HX22" s="238"/>
      <c r="HY22" s="238"/>
      <c r="HZ22" s="238"/>
      <c r="IA22" s="238"/>
      <c r="IB22" s="238"/>
      <c r="IC22" s="238"/>
      <c r="ID22" s="238"/>
      <c r="IE22" s="238"/>
      <c r="IF22" s="239"/>
      <c r="IG22" s="236"/>
      <c r="IH22" s="237"/>
      <c r="II22" s="238"/>
      <c r="IJ22" s="238"/>
      <c r="IK22" s="238"/>
      <c r="IL22" s="238"/>
      <c r="IM22" s="238"/>
      <c r="IN22" s="238"/>
      <c r="IO22" s="238"/>
      <c r="IP22" s="238"/>
      <c r="IQ22" s="238"/>
      <c r="IR22" s="238"/>
      <c r="IS22" s="238"/>
      <c r="IT22" s="238"/>
      <c r="IU22" s="239"/>
      <c r="IV22" s="236"/>
    </row>
    <row r="23" spans="1:256" s="98" customFormat="1" ht="18" customHeight="1" thickBot="1" x14ac:dyDescent="0.3">
      <c r="A23" s="207" t="s">
        <v>165</v>
      </c>
      <c r="B23" s="197">
        <v>10000</v>
      </c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3">
        <f t="shared" si="7"/>
        <v>0</v>
      </c>
    </row>
    <row r="24" spans="1:256" s="98" customFormat="1" ht="18" customHeight="1" thickBot="1" x14ac:dyDescent="0.3">
      <c r="A24" s="208" t="s">
        <v>166</v>
      </c>
      <c r="B24" s="203">
        <v>0</v>
      </c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19"/>
      <c r="N24" s="219"/>
      <c r="O24" s="193">
        <f t="shared" si="7"/>
        <v>0</v>
      </c>
    </row>
    <row r="25" spans="1:256" s="98" customFormat="1" ht="18" customHeight="1" thickBot="1" x14ac:dyDescent="0.3">
      <c r="A25" s="208" t="s">
        <v>167</v>
      </c>
      <c r="B25" s="203">
        <v>19800</v>
      </c>
      <c r="C25" s="204">
        <v>1510.06</v>
      </c>
      <c r="D25" s="204">
        <v>1937.3</v>
      </c>
      <c r="E25" s="204">
        <v>1162.3800000000001</v>
      </c>
      <c r="F25" s="204"/>
      <c r="G25" s="204"/>
      <c r="H25" s="204"/>
      <c r="I25" s="204"/>
      <c r="J25" s="204"/>
      <c r="K25" s="204"/>
      <c r="L25" s="204"/>
      <c r="M25" s="219"/>
      <c r="N25" s="219"/>
      <c r="O25" s="193">
        <f t="shared" si="7"/>
        <v>4609.74</v>
      </c>
    </row>
    <row r="26" spans="1:256" s="98" customFormat="1" ht="18" customHeight="1" thickBot="1" x14ac:dyDescent="0.3">
      <c r="A26" s="208" t="s">
        <v>168</v>
      </c>
      <c r="B26" s="203">
        <v>0</v>
      </c>
      <c r="C26" s="204">
        <v>0</v>
      </c>
      <c r="D26" s="204"/>
      <c r="E26" s="204"/>
      <c r="F26" s="204"/>
      <c r="G26" s="204"/>
      <c r="H26" s="204"/>
      <c r="I26" s="204"/>
      <c r="J26" s="204"/>
      <c r="K26" s="204"/>
      <c r="L26" s="204"/>
      <c r="M26" s="219"/>
      <c r="N26" s="219"/>
      <c r="O26" s="193">
        <f t="shared" si="7"/>
        <v>0</v>
      </c>
    </row>
    <row r="27" spans="1:256" s="98" customFormat="1" ht="18" customHeight="1" thickBot="1" x14ac:dyDescent="0.3">
      <c r="A27" s="208" t="s">
        <v>169</v>
      </c>
      <c r="B27" s="203">
        <v>0</v>
      </c>
      <c r="C27" s="204">
        <v>0</v>
      </c>
      <c r="D27" s="204"/>
      <c r="E27" s="204"/>
      <c r="F27" s="204"/>
      <c r="G27" s="204"/>
      <c r="H27" s="204"/>
      <c r="I27" s="204"/>
      <c r="J27" s="204"/>
      <c r="K27" s="204"/>
      <c r="L27" s="204"/>
      <c r="M27" s="219"/>
      <c r="N27" s="219"/>
      <c r="O27" s="193">
        <f t="shared" si="7"/>
        <v>0</v>
      </c>
    </row>
    <row r="28" spans="1:256" s="98" customFormat="1" ht="18" customHeight="1" thickBot="1" x14ac:dyDescent="0.35">
      <c r="A28" s="271" t="s">
        <v>170</v>
      </c>
      <c r="B28" s="272">
        <f t="shared" ref="B28:H28" si="8">B16+B22</f>
        <v>352800</v>
      </c>
      <c r="C28" s="272">
        <f t="shared" si="8"/>
        <v>46193.799999999988</v>
      </c>
      <c r="D28" s="272">
        <f t="shared" si="8"/>
        <v>59871.83</v>
      </c>
      <c r="E28" s="272">
        <f>E16+E22</f>
        <v>27322.29</v>
      </c>
      <c r="F28" s="272">
        <f>F16+F22</f>
        <v>9588.9800000000014</v>
      </c>
      <c r="G28" s="272">
        <f t="shared" si="8"/>
        <v>0</v>
      </c>
      <c r="H28" s="272">
        <f t="shared" si="8"/>
        <v>0</v>
      </c>
      <c r="I28" s="272">
        <f t="shared" ref="I28:O28" si="9">I16+I22</f>
        <v>0</v>
      </c>
      <c r="J28" s="272">
        <f t="shared" si="9"/>
        <v>0</v>
      </c>
      <c r="K28" s="272">
        <f t="shared" si="9"/>
        <v>0</v>
      </c>
      <c r="L28" s="272">
        <f t="shared" si="9"/>
        <v>0</v>
      </c>
      <c r="M28" s="272">
        <f t="shared" si="9"/>
        <v>0</v>
      </c>
      <c r="N28" s="272">
        <f t="shared" si="9"/>
        <v>0</v>
      </c>
      <c r="O28" s="273">
        <f t="shared" si="9"/>
        <v>142976.89999999997</v>
      </c>
    </row>
    <row r="29" spans="1:256" s="98" customFormat="1" ht="18" customHeight="1" x14ac:dyDescent="0.3">
      <c r="A29" s="267" t="s">
        <v>171</v>
      </c>
      <c r="B29" s="268">
        <f t="shared" ref="B29:G29" si="10">B30+B31</f>
        <v>150300</v>
      </c>
      <c r="C29" s="269">
        <f t="shared" si="10"/>
        <v>8016.9599999999991</v>
      </c>
      <c r="D29" s="269">
        <f t="shared" si="10"/>
        <v>6748.6299999999992</v>
      </c>
      <c r="E29" s="269">
        <f t="shared" si="10"/>
        <v>6007.6200000000008</v>
      </c>
      <c r="F29" s="269">
        <f t="shared" si="10"/>
        <v>1546.14</v>
      </c>
      <c r="G29" s="269">
        <f t="shared" si="10"/>
        <v>0</v>
      </c>
      <c r="H29" s="269">
        <f t="shared" ref="H29:N29" si="11">H30+H31</f>
        <v>0</v>
      </c>
      <c r="I29" s="269">
        <f t="shared" si="11"/>
        <v>0</v>
      </c>
      <c r="J29" s="269">
        <f t="shared" si="11"/>
        <v>0</v>
      </c>
      <c r="K29" s="269">
        <f t="shared" si="11"/>
        <v>0</v>
      </c>
      <c r="L29" s="269">
        <f t="shared" si="11"/>
        <v>0</v>
      </c>
      <c r="M29" s="269">
        <f t="shared" si="11"/>
        <v>0</v>
      </c>
      <c r="N29" s="269">
        <f t="shared" si="11"/>
        <v>0</v>
      </c>
      <c r="O29" s="270">
        <f t="shared" si="5"/>
        <v>22319.35</v>
      </c>
      <c r="P29" s="236"/>
      <c r="Q29" s="237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9"/>
      <c r="AE29" s="236"/>
      <c r="AF29" s="237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9"/>
      <c r="AT29" s="236"/>
      <c r="AU29" s="237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9"/>
      <c r="BI29" s="236"/>
      <c r="BJ29" s="237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38"/>
      <c r="BW29" s="239"/>
      <c r="BX29" s="236"/>
      <c r="BY29" s="237"/>
      <c r="BZ29" s="238"/>
      <c r="CA29" s="238"/>
      <c r="CB29" s="238"/>
      <c r="CC29" s="238"/>
      <c r="CD29" s="238"/>
      <c r="CE29" s="238"/>
      <c r="CF29" s="238"/>
      <c r="CG29" s="238"/>
      <c r="CH29" s="238"/>
      <c r="CI29" s="238"/>
      <c r="CJ29" s="238"/>
      <c r="CK29" s="238"/>
      <c r="CL29" s="239"/>
      <c r="CM29" s="236"/>
      <c r="CN29" s="237"/>
      <c r="CO29" s="238"/>
      <c r="CP29" s="238"/>
      <c r="CQ29" s="238"/>
      <c r="CR29" s="238"/>
      <c r="CS29" s="238"/>
      <c r="CT29" s="238"/>
      <c r="CU29" s="238"/>
      <c r="CV29" s="238"/>
      <c r="CW29" s="238"/>
      <c r="CX29" s="238"/>
      <c r="CY29" s="238"/>
      <c r="CZ29" s="238"/>
      <c r="DA29" s="239"/>
      <c r="DB29" s="236"/>
      <c r="DC29" s="237"/>
      <c r="DD29" s="238"/>
      <c r="DE29" s="238"/>
      <c r="DF29" s="238"/>
      <c r="DG29" s="238"/>
      <c r="DH29" s="238"/>
      <c r="DI29" s="238"/>
      <c r="DJ29" s="238"/>
      <c r="DK29" s="238"/>
      <c r="DL29" s="238"/>
      <c r="DM29" s="238"/>
      <c r="DN29" s="238"/>
      <c r="DO29" s="238"/>
      <c r="DP29" s="239"/>
      <c r="DQ29" s="236"/>
      <c r="DR29" s="237"/>
      <c r="DS29" s="238"/>
      <c r="DT29" s="238"/>
      <c r="DU29" s="238"/>
      <c r="DV29" s="238"/>
      <c r="DW29" s="238"/>
      <c r="DX29" s="238"/>
      <c r="DY29" s="238"/>
      <c r="DZ29" s="238"/>
      <c r="EA29" s="238"/>
      <c r="EB29" s="238"/>
      <c r="EC29" s="238"/>
      <c r="ED29" s="238"/>
      <c r="EE29" s="239"/>
      <c r="EF29" s="236"/>
      <c r="EG29" s="237"/>
      <c r="EH29" s="238"/>
      <c r="EI29" s="238"/>
      <c r="EJ29" s="238"/>
      <c r="EK29" s="238"/>
      <c r="EL29" s="238"/>
      <c r="EM29" s="238"/>
      <c r="EN29" s="238"/>
      <c r="EO29" s="238"/>
      <c r="EP29" s="238"/>
      <c r="EQ29" s="238"/>
      <c r="ER29" s="238"/>
      <c r="ES29" s="238"/>
      <c r="ET29" s="239"/>
      <c r="EU29" s="236"/>
      <c r="EV29" s="237"/>
      <c r="EW29" s="238"/>
      <c r="EX29" s="238"/>
      <c r="EY29" s="238"/>
      <c r="EZ29" s="238"/>
      <c r="FA29" s="238"/>
      <c r="FB29" s="238"/>
      <c r="FC29" s="238"/>
      <c r="FD29" s="238"/>
      <c r="FE29" s="238"/>
      <c r="FF29" s="238"/>
      <c r="FG29" s="238"/>
      <c r="FH29" s="238"/>
      <c r="FI29" s="239"/>
      <c r="FJ29" s="236"/>
      <c r="FK29" s="237"/>
      <c r="FL29" s="238"/>
      <c r="FM29" s="238"/>
      <c r="FN29" s="238"/>
      <c r="FO29" s="238"/>
      <c r="FP29" s="238"/>
      <c r="FQ29" s="238"/>
      <c r="FR29" s="238"/>
      <c r="FS29" s="238"/>
      <c r="FT29" s="238"/>
      <c r="FU29" s="238"/>
      <c r="FV29" s="238"/>
      <c r="FW29" s="238"/>
      <c r="FX29" s="239"/>
      <c r="FY29" s="236"/>
      <c r="FZ29" s="237"/>
      <c r="GA29" s="238"/>
      <c r="GB29" s="238"/>
      <c r="GC29" s="238"/>
      <c r="GD29" s="238"/>
      <c r="GE29" s="238"/>
      <c r="GF29" s="238"/>
      <c r="GG29" s="238"/>
      <c r="GH29" s="238"/>
      <c r="GI29" s="238"/>
      <c r="GJ29" s="238"/>
      <c r="GK29" s="238"/>
      <c r="GL29" s="238"/>
      <c r="GM29" s="239"/>
      <c r="GN29" s="236"/>
      <c r="GO29" s="237"/>
      <c r="GP29" s="238"/>
      <c r="GQ29" s="238"/>
      <c r="GR29" s="238"/>
      <c r="GS29" s="238"/>
      <c r="GT29" s="238"/>
      <c r="GU29" s="238"/>
      <c r="GV29" s="238"/>
      <c r="GW29" s="238"/>
      <c r="GX29" s="238"/>
      <c r="GY29" s="238"/>
      <c r="GZ29" s="238"/>
      <c r="HA29" s="238"/>
      <c r="HB29" s="239"/>
      <c r="HC29" s="236"/>
      <c r="HD29" s="237"/>
      <c r="HE29" s="238"/>
      <c r="HF29" s="238"/>
      <c r="HG29" s="238"/>
      <c r="HH29" s="238"/>
      <c r="HI29" s="238"/>
      <c r="HJ29" s="238"/>
      <c r="HK29" s="238"/>
      <c r="HL29" s="238"/>
      <c r="HM29" s="238"/>
      <c r="HN29" s="238"/>
      <c r="HO29" s="238"/>
      <c r="HP29" s="238"/>
      <c r="HQ29" s="239"/>
      <c r="HR29" s="236"/>
      <c r="HS29" s="237"/>
      <c r="HT29" s="238"/>
      <c r="HU29" s="238"/>
      <c r="HV29" s="238"/>
      <c r="HW29" s="238"/>
      <c r="HX29" s="238"/>
      <c r="HY29" s="238"/>
      <c r="HZ29" s="238"/>
      <c r="IA29" s="238"/>
      <c r="IB29" s="238"/>
      <c r="IC29" s="238"/>
      <c r="ID29" s="238"/>
      <c r="IE29" s="238"/>
      <c r="IF29" s="239"/>
      <c r="IG29" s="236"/>
      <c r="IH29" s="237"/>
      <c r="II29" s="238"/>
      <c r="IJ29" s="238"/>
      <c r="IK29" s="238"/>
      <c r="IL29" s="238"/>
      <c r="IM29" s="238"/>
      <c r="IN29" s="238"/>
      <c r="IO29" s="238"/>
      <c r="IP29" s="238"/>
      <c r="IQ29" s="238"/>
      <c r="IR29" s="238"/>
      <c r="IS29" s="238"/>
      <c r="IT29" s="238"/>
      <c r="IU29" s="239"/>
      <c r="IV29" s="236"/>
    </row>
    <row r="30" spans="1:256" s="256" customFormat="1" ht="18" customHeight="1" x14ac:dyDescent="0.25">
      <c r="A30" s="202" t="s">
        <v>172</v>
      </c>
      <c r="B30" s="203">
        <v>28800</v>
      </c>
      <c r="C30" s="204">
        <v>2094.64</v>
      </c>
      <c r="D30" s="204">
        <v>476.23</v>
      </c>
      <c r="E30" s="204">
        <v>476.23</v>
      </c>
      <c r="F30" s="204">
        <v>476.23</v>
      </c>
      <c r="G30" s="204"/>
      <c r="H30" s="204"/>
      <c r="I30" s="204"/>
      <c r="J30" s="204"/>
      <c r="K30" s="204"/>
      <c r="L30" s="204"/>
      <c r="M30" s="204"/>
      <c r="N30" s="204"/>
      <c r="O30" s="255">
        <f t="shared" si="5"/>
        <v>3523.33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274"/>
    </row>
    <row r="31" spans="1:256" s="256" customFormat="1" ht="18" customHeight="1" thickBot="1" x14ac:dyDescent="0.3">
      <c r="A31" s="202" t="s">
        <v>173</v>
      </c>
      <c r="B31" s="203">
        <v>121500</v>
      </c>
      <c r="C31" s="204">
        <v>5922.32</v>
      </c>
      <c r="D31" s="204">
        <v>6272.4</v>
      </c>
      <c r="E31" s="204">
        <v>5531.39</v>
      </c>
      <c r="F31" s="204">
        <v>1069.9100000000001</v>
      </c>
      <c r="G31" s="204"/>
      <c r="H31" s="204"/>
      <c r="I31" s="204"/>
      <c r="J31" s="204"/>
      <c r="K31" s="204"/>
      <c r="L31" s="204"/>
      <c r="M31" s="204"/>
      <c r="N31" s="204"/>
      <c r="O31" s="255">
        <f t="shared" si="5"/>
        <v>18796.02</v>
      </c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274"/>
    </row>
    <row r="32" spans="1:256" s="256" customFormat="1" ht="18" customHeight="1" x14ac:dyDescent="0.25">
      <c r="A32" s="263" t="s">
        <v>174</v>
      </c>
      <c r="B32" s="264">
        <f>B33</f>
        <v>0</v>
      </c>
      <c r="C32" s="265">
        <f>C33</f>
        <v>0</v>
      </c>
      <c r="D32" s="265">
        <f>D33</f>
        <v>0</v>
      </c>
      <c r="E32" s="265">
        <f>E33</f>
        <v>0</v>
      </c>
      <c r="F32" s="265">
        <f>F33</f>
        <v>0</v>
      </c>
      <c r="G32" s="269">
        <f t="shared" ref="G32:M32" si="12">G33+G34</f>
        <v>0</v>
      </c>
      <c r="H32" s="269">
        <f t="shared" si="12"/>
        <v>0</v>
      </c>
      <c r="I32" s="269">
        <f t="shared" si="12"/>
        <v>0</v>
      </c>
      <c r="J32" s="269">
        <f t="shared" si="12"/>
        <v>0</v>
      </c>
      <c r="K32" s="269">
        <f t="shared" si="12"/>
        <v>0</v>
      </c>
      <c r="L32" s="269">
        <f t="shared" si="12"/>
        <v>0</v>
      </c>
      <c r="M32" s="269">
        <f t="shared" si="12"/>
        <v>0</v>
      </c>
      <c r="N32" s="269">
        <f>N33+N34</f>
        <v>0</v>
      </c>
      <c r="O32" s="270">
        <f t="shared" si="5"/>
        <v>0</v>
      </c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274"/>
    </row>
    <row r="33" spans="1:256" s="256" customFormat="1" ht="18" customHeight="1" x14ac:dyDescent="0.25">
      <c r="A33" s="202" t="s">
        <v>175</v>
      </c>
      <c r="B33" s="203">
        <v>0</v>
      </c>
      <c r="C33" s="204">
        <v>0</v>
      </c>
      <c r="D33" s="204"/>
      <c r="E33" s="204"/>
      <c r="F33" s="204">
        <v>0</v>
      </c>
      <c r="G33" s="204"/>
      <c r="H33" s="204"/>
      <c r="I33" s="204">
        <v>0</v>
      </c>
      <c r="J33" s="204">
        <v>0</v>
      </c>
      <c r="K33" s="204">
        <v>0</v>
      </c>
      <c r="L33" s="204">
        <v>0</v>
      </c>
      <c r="M33" s="204">
        <v>0</v>
      </c>
      <c r="N33" s="204">
        <v>0</v>
      </c>
      <c r="O33" s="255">
        <f t="shared" si="5"/>
        <v>0</v>
      </c>
      <c r="P33" s="98" t="s">
        <v>176</v>
      </c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274"/>
    </row>
    <row r="34" spans="1:256" s="98" customFormat="1" ht="18" customHeight="1" thickBot="1" x14ac:dyDescent="0.35">
      <c r="A34" s="260" t="s">
        <v>177</v>
      </c>
      <c r="B34" s="261">
        <f>B35</f>
        <v>0</v>
      </c>
      <c r="C34" s="262">
        <f>C35</f>
        <v>0</v>
      </c>
      <c r="D34" s="262">
        <f t="shared" ref="D34:L34" si="13">D35</f>
        <v>0</v>
      </c>
      <c r="E34" s="262">
        <f t="shared" si="13"/>
        <v>0</v>
      </c>
      <c r="F34" s="262">
        <f t="shared" si="13"/>
        <v>0</v>
      </c>
      <c r="G34" s="262">
        <f t="shared" si="13"/>
        <v>0</v>
      </c>
      <c r="H34" s="262">
        <f t="shared" si="13"/>
        <v>0</v>
      </c>
      <c r="I34" s="262">
        <f t="shared" si="13"/>
        <v>0</v>
      </c>
      <c r="J34" s="262">
        <f t="shared" si="13"/>
        <v>0</v>
      </c>
      <c r="K34" s="262">
        <f t="shared" si="13"/>
        <v>0</v>
      </c>
      <c r="L34" s="262">
        <f t="shared" si="13"/>
        <v>0</v>
      </c>
      <c r="M34" s="262">
        <v>0</v>
      </c>
      <c r="N34" s="262">
        <v>0</v>
      </c>
      <c r="O34" s="266">
        <f t="shared" si="5"/>
        <v>0</v>
      </c>
      <c r="P34" s="236"/>
      <c r="Q34" s="237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9"/>
      <c r="AE34" s="236"/>
      <c r="AF34" s="237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9"/>
      <c r="AT34" s="236"/>
      <c r="AU34" s="237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9"/>
      <c r="BI34" s="236"/>
      <c r="BJ34" s="237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9"/>
      <c r="BX34" s="236"/>
      <c r="BY34" s="237"/>
      <c r="BZ34" s="238"/>
      <c r="CA34" s="238"/>
      <c r="CB34" s="238"/>
      <c r="CC34" s="238"/>
      <c r="CD34" s="238"/>
      <c r="CE34" s="238"/>
      <c r="CF34" s="238"/>
      <c r="CG34" s="238"/>
      <c r="CH34" s="238"/>
      <c r="CI34" s="238"/>
      <c r="CJ34" s="238"/>
      <c r="CK34" s="238"/>
      <c r="CL34" s="239"/>
      <c r="CM34" s="236"/>
      <c r="CN34" s="237"/>
      <c r="CO34" s="238"/>
      <c r="CP34" s="238"/>
      <c r="CQ34" s="238"/>
      <c r="CR34" s="238"/>
      <c r="CS34" s="238"/>
      <c r="CT34" s="238"/>
      <c r="CU34" s="238"/>
      <c r="CV34" s="238"/>
      <c r="CW34" s="238"/>
      <c r="CX34" s="238"/>
      <c r="CY34" s="238"/>
      <c r="CZ34" s="238"/>
      <c r="DA34" s="239"/>
      <c r="DB34" s="236"/>
      <c r="DC34" s="237"/>
      <c r="DD34" s="238"/>
      <c r="DE34" s="238"/>
      <c r="DF34" s="238"/>
      <c r="DG34" s="238"/>
      <c r="DH34" s="238"/>
      <c r="DI34" s="238"/>
      <c r="DJ34" s="238"/>
      <c r="DK34" s="238"/>
      <c r="DL34" s="238"/>
      <c r="DM34" s="238"/>
      <c r="DN34" s="238"/>
      <c r="DO34" s="238"/>
      <c r="DP34" s="239"/>
      <c r="DQ34" s="236"/>
      <c r="DR34" s="237"/>
      <c r="DS34" s="238"/>
      <c r="DT34" s="238"/>
      <c r="DU34" s="238"/>
      <c r="DV34" s="238"/>
      <c r="DW34" s="238"/>
      <c r="DX34" s="238"/>
      <c r="DY34" s="238"/>
      <c r="DZ34" s="238"/>
      <c r="EA34" s="238"/>
      <c r="EB34" s="238"/>
      <c r="EC34" s="238"/>
      <c r="ED34" s="238"/>
      <c r="EE34" s="239"/>
      <c r="EF34" s="236"/>
      <c r="EG34" s="237"/>
      <c r="EH34" s="238"/>
      <c r="EI34" s="238"/>
      <c r="EJ34" s="238"/>
      <c r="EK34" s="238"/>
      <c r="EL34" s="238"/>
      <c r="EM34" s="238"/>
      <c r="EN34" s="238"/>
      <c r="EO34" s="238"/>
      <c r="EP34" s="238"/>
      <c r="EQ34" s="238"/>
      <c r="ER34" s="238"/>
      <c r="ES34" s="238"/>
      <c r="ET34" s="239"/>
      <c r="EU34" s="236"/>
      <c r="EV34" s="237"/>
      <c r="EW34" s="238"/>
      <c r="EX34" s="238"/>
      <c r="EY34" s="238"/>
      <c r="EZ34" s="238"/>
      <c r="FA34" s="238"/>
      <c r="FB34" s="238"/>
      <c r="FC34" s="238"/>
      <c r="FD34" s="238"/>
      <c r="FE34" s="238"/>
      <c r="FF34" s="238"/>
      <c r="FG34" s="238"/>
      <c r="FH34" s="238"/>
      <c r="FI34" s="239"/>
      <c r="FJ34" s="236"/>
      <c r="FK34" s="237"/>
      <c r="FL34" s="238"/>
      <c r="FM34" s="238"/>
      <c r="FN34" s="238"/>
      <c r="FO34" s="238"/>
      <c r="FP34" s="238"/>
      <c r="FQ34" s="238"/>
      <c r="FR34" s="238"/>
      <c r="FS34" s="238"/>
      <c r="FT34" s="238"/>
      <c r="FU34" s="238"/>
      <c r="FV34" s="238"/>
      <c r="FW34" s="238"/>
      <c r="FX34" s="239"/>
      <c r="FY34" s="236"/>
      <c r="FZ34" s="237"/>
      <c r="GA34" s="238"/>
      <c r="GB34" s="238"/>
      <c r="GC34" s="238"/>
      <c r="GD34" s="238"/>
      <c r="GE34" s="238"/>
      <c r="GF34" s="238"/>
      <c r="GG34" s="238"/>
      <c r="GH34" s="238"/>
      <c r="GI34" s="238"/>
      <c r="GJ34" s="238"/>
      <c r="GK34" s="238"/>
      <c r="GL34" s="238"/>
      <c r="GM34" s="239"/>
      <c r="GN34" s="236"/>
      <c r="GO34" s="237"/>
      <c r="GP34" s="238"/>
      <c r="GQ34" s="238"/>
      <c r="GR34" s="238"/>
      <c r="GS34" s="238"/>
      <c r="GT34" s="238"/>
      <c r="GU34" s="238"/>
      <c r="GV34" s="238"/>
      <c r="GW34" s="238"/>
      <c r="GX34" s="238"/>
      <c r="GY34" s="238"/>
      <c r="GZ34" s="238"/>
      <c r="HA34" s="238"/>
      <c r="HB34" s="239"/>
      <c r="HC34" s="236"/>
      <c r="HD34" s="237"/>
      <c r="HE34" s="238"/>
      <c r="HF34" s="238"/>
      <c r="HG34" s="238"/>
      <c r="HH34" s="238"/>
      <c r="HI34" s="238"/>
      <c r="HJ34" s="238"/>
      <c r="HK34" s="238"/>
      <c r="HL34" s="238"/>
      <c r="HM34" s="238"/>
      <c r="HN34" s="238"/>
      <c r="HO34" s="238"/>
      <c r="HP34" s="238"/>
      <c r="HQ34" s="239"/>
      <c r="HR34" s="236"/>
      <c r="HS34" s="237"/>
      <c r="HT34" s="238"/>
      <c r="HU34" s="238"/>
      <c r="HV34" s="238"/>
      <c r="HW34" s="238"/>
      <c r="HX34" s="238"/>
      <c r="HY34" s="238"/>
      <c r="HZ34" s="238"/>
      <c r="IA34" s="238"/>
      <c r="IB34" s="238"/>
      <c r="IC34" s="238"/>
      <c r="ID34" s="238"/>
      <c r="IE34" s="238"/>
      <c r="IF34" s="239"/>
      <c r="IG34" s="236"/>
      <c r="IH34" s="237"/>
      <c r="II34" s="238"/>
      <c r="IJ34" s="238"/>
      <c r="IK34" s="238"/>
      <c r="IL34" s="238"/>
      <c r="IM34" s="238"/>
      <c r="IN34" s="238"/>
      <c r="IO34" s="238"/>
      <c r="IP34" s="238"/>
      <c r="IQ34" s="238"/>
      <c r="IR34" s="238"/>
      <c r="IS34" s="238"/>
      <c r="IT34" s="238"/>
      <c r="IU34" s="239"/>
      <c r="IV34" s="236"/>
    </row>
    <row r="35" spans="1:256" s="98" customFormat="1" ht="18" customHeight="1" thickBot="1" x14ac:dyDescent="0.3">
      <c r="A35" s="213" t="s">
        <v>178</v>
      </c>
      <c r="B35" s="212">
        <v>0</v>
      </c>
      <c r="C35" s="215">
        <v>0</v>
      </c>
      <c r="D35" s="215"/>
      <c r="E35" s="215"/>
      <c r="F35" s="215">
        <v>0</v>
      </c>
      <c r="G35" s="215"/>
      <c r="H35" s="215"/>
      <c r="I35" s="215">
        <v>0</v>
      </c>
      <c r="J35" s="215">
        <v>0</v>
      </c>
      <c r="K35" s="215">
        <v>0</v>
      </c>
      <c r="L35" s="215">
        <v>0</v>
      </c>
      <c r="M35" s="216">
        <v>0</v>
      </c>
      <c r="N35" s="216">
        <v>0</v>
      </c>
      <c r="O35" s="255">
        <f t="shared" si="5"/>
        <v>0</v>
      </c>
    </row>
    <row r="36" spans="1:256" s="300" customFormat="1" ht="18" customHeight="1" thickBot="1" x14ac:dyDescent="0.3">
      <c r="A36" s="353" t="s">
        <v>179</v>
      </c>
      <c r="B36" s="354">
        <f>B37</f>
        <v>0</v>
      </c>
      <c r="C36" s="355">
        <f>C37</f>
        <v>0</v>
      </c>
      <c r="D36" s="355">
        <f t="shared" ref="D36:M38" si="14">D37</f>
        <v>0</v>
      </c>
      <c r="E36" s="355">
        <f t="shared" si="14"/>
        <v>0</v>
      </c>
      <c r="F36" s="355">
        <f t="shared" si="14"/>
        <v>0</v>
      </c>
      <c r="G36" s="355">
        <f t="shared" si="14"/>
        <v>0</v>
      </c>
      <c r="H36" s="355">
        <f t="shared" si="14"/>
        <v>0</v>
      </c>
      <c r="I36" s="355">
        <f t="shared" si="14"/>
        <v>0</v>
      </c>
      <c r="J36" s="355">
        <f t="shared" si="14"/>
        <v>0</v>
      </c>
      <c r="K36" s="355">
        <f t="shared" si="14"/>
        <v>0</v>
      </c>
      <c r="L36" s="355">
        <f t="shared" si="14"/>
        <v>0</v>
      </c>
      <c r="M36" s="355">
        <f t="shared" si="14"/>
        <v>0</v>
      </c>
      <c r="N36" s="355">
        <v>0</v>
      </c>
      <c r="O36" s="356">
        <f>N36+M36+L36+K36+J36+I36+H36+G36+F36+E36+D36+C36</f>
        <v>0</v>
      </c>
      <c r="P36" s="357"/>
      <c r="Q36" s="358"/>
      <c r="R36" s="359"/>
      <c r="S36" s="359"/>
      <c r="T36" s="359"/>
      <c r="U36" s="359"/>
      <c r="V36" s="359"/>
      <c r="W36" s="359"/>
      <c r="X36" s="359"/>
      <c r="Y36" s="359"/>
      <c r="Z36" s="359"/>
      <c r="AA36" s="359"/>
      <c r="AB36" s="359"/>
      <c r="AC36" s="359"/>
      <c r="AD36" s="360"/>
      <c r="AE36" s="357"/>
      <c r="AF36" s="358"/>
      <c r="AG36" s="359"/>
      <c r="AH36" s="359"/>
      <c r="AI36" s="359"/>
      <c r="AJ36" s="359"/>
      <c r="AK36" s="359"/>
      <c r="AL36" s="359"/>
      <c r="AM36" s="359"/>
      <c r="AN36" s="359"/>
      <c r="AO36" s="359"/>
      <c r="AP36" s="359"/>
      <c r="AQ36" s="359"/>
      <c r="AR36" s="359"/>
      <c r="AS36" s="360"/>
      <c r="AT36" s="357"/>
      <c r="AU36" s="358"/>
      <c r="AV36" s="359"/>
      <c r="AW36" s="359"/>
      <c r="AX36" s="359"/>
      <c r="AY36" s="359"/>
      <c r="AZ36" s="359"/>
      <c r="BA36" s="359"/>
      <c r="BB36" s="359"/>
      <c r="BC36" s="359"/>
      <c r="BD36" s="359"/>
      <c r="BE36" s="359"/>
      <c r="BF36" s="359"/>
      <c r="BG36" s="359"/>
      <c r="BH36" s="360"/>
      <c r="BI36" s="357"/>
      <c r="BJ36" s="358"/>
      <c r="BK36" s="359"/>
      <c r="BL36" s="359"/>
      <c r="BM36" s="359"/>
      <c r="BN36" s="359"/>
      <c r="BO36" s="359"/>
      <c r="BP36" s="359"/>
      <c r="BQ36" s="359"/>
      <c r="BR36" s="359"/>
      <c r="BS36" s="359"/>
      <c r="BT36" s="359"/>
      <c r="BU36" s="359"/>
      <c r="BV36" s="359"/>
      <c r="BW36" s="360"/>
      <c r="BX36" s="357"/>
      <c r="BY36" s="358"/>
      <c r="BZ36" s="359"/>
      <c r="CA36" s="359"/>
      <c r="CB36" s="359"/>
      <c r="CC36" s="359"/>
      <c r="CD36" s="359"/>
      <c r="CE36" s="359"/>
      <c r="CF36" s="359"/>
      <c r="CG36" s="359"/>
      <c r="CH36" s="359"/>
      <c r="CI36" s="359"/>
      <c r="CJ36" s="359"/>
      <c r="CK36" s="359"/>
      <c r="CL36" s="360"/>
      <c r="CM36" s="357"/>
      <c r="CN36" s="358"/>
      <c r="CO36" s="359"/>
      <c r="CP36" s="359"/>
      <c r="CQ36" s="359"/>
      <c r="CR36" s="359"/>
      <c r="CS36" s="359"/>
      <c r="CT36" s="359"/>
      <c r="CU36" s="359"/>
      <c r="CV36" s="359"/>
      <c r="CW36" s="359"/>
      <c r="CX36" s="359"/>
      <c r="CY36" s="359"/>
      <c r="CZ36" s="359"/>
      <c r="DA36" s="360"/>
      <c r="DB36" s="357"/>
      <c r="DC36" s="358"/>
      <c r="DD36" s="359"/>
      <c r="DE36" s="359"/>
      <c r="DF36" s="359"/>
      <c r="DG36" s="359"/>
      <c r="DH36" s="359"/>
      <c r="DI36" s="359"/>
      <c r="DJ36" s="359"/>
      <c r="DK36" s="359"/>
      <c r="DL36" s="359"/>
      <c r="DM36" s="359"/>
      <c r="DN36" s="359"/>
      <c r="DO36" s="359"/>
      <c r="DP36" s="360"/>
      <c r="DQ36" s="357"/>
      <c r="DR36" s="358"/>
      <c r="DS36" s="359"/>
      <c r="DT36" s="359"/>
      <c r="DU36" s="359"/>
      <c r="DV36" s="359"/>
      <c r="DW36" s="359"/>
      <c r="DX36" s="359"/>
      <c r="DY36" s="359"/>
      <c r="DZ36" s="359"/>
      <c r="EA36" s="359"/>
      <c r="EB36" s="359"/>
      <c r="EC36" s="359"/>
      <c r="ED36" s="359"/>
      <c r="EE36" s="360"/>
      <c r="EF36" s="357"/>
      <c r="EG36" s="358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60"/>
      <c r="EU36" s="357"/>
      <c r="EV36" s="358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60"/>
      <c r="FJ36" s="357"/>
      <c r="FK36" s="358"/>
      <c r="FL36" s="359"/>
      <c r="FM36" s="359"/>
      <c r="FN36" s="359"/>
      <c r="FO36" s="359"/>
      <c r="FP36" s="359"/>
      <c r="FQ36" s="359"/>
      <c r="FR36" s="359"/>
      <c r="FS36" s="359"/>
      <c r="FT36" s="359"/>
      <c r="FU36" s="359"/>
      <c r="FV36" s="359"/>
      <c r="FW36" s="359"/>
      <c r="FX36" s="360"/>
      <c r="FY36" s="357"/>
      <c r="FZ36" s="358"/>
      <c r="GA36" s="359"/>
      <c r="GB36" s="359"/>
      <c r="GC36" s="359"/>
      <c r="GD36" s="359"/>
      <c r="GE36" s="359"/>
      <c r="GF36" s="359"/>
      <c r="GG36" s="359"/>
      <c r="GH36" s="359"/>
      <c r="GI36" s="359"/>
      <c r="GJ36" s="359"/>
      <c r="GK36" s="359"/>
      <c r="GL36" s="359"/>
      <c r="GM36" s="360"/>
      <c r="GN36" s="357"/>
      <c r="GO36" s="358"/>
      <c r="GP36" s="359"/>
      <c r="GQ36" s="359"/>
      <c r="GR36" s="359"/>
      <c r="GS36" s="359"/>
      <c r="GT36" s="359"/>
      <c r="GU36" s="359"/>
      <c r="GV36" s="359"/>
      <c r="GW36" s="359"/>
      <c r="GX36" s="359"/>
      <c r="GY36" s="359"/>
      <c r="GZ36" s="359"/>
      <c r="HA36" s="359"/>
      <c r="HB36" s="360"/>
      <c r="HC36" s="357"/>
      <c r="HD36" s="358"/>
      <c r="HE36" s="359"/>
      <c r="HF36" s="359"/>
      <c r="HG36" s="359"/>
      <c r="HH36" s="359"/>
      <c r="HI36" s="359"/>
      <c r="HJ36" s="359"/>
      <c r="HK36" s="359"/>
      <c r="HL36" s="359"/>
      <c r="HM36" s="359"/>
      <c r="HN36" s="359"/>
      <c r="HO36" s="359"/>
      <c r="HP36" s="359"/>
      <c r="HQ36" s="360"/>
      <c r="HR36" s="357"/>
      <c r="HS36" s="358"/>
      <c r="HT36" s="359"/>
      <c r="HU36" s="359"/>
      <c r="HV36" s="359"/>
      <c r="HW36" s="359"/>
      <c r="HX36" s="359"/>
      <c r="HY36" s="359"/>
      <c r="HZ36" s="359"/>
      <c r="IA36" s="359"/>
      <c r="IB36" s="359"/>
      <c r="IC36" s="359"/>
      <c r="ID36" s="359"/>
      <c r="IE36" s="359"/>
      <c r="IF36" s="360"/>
      <c r="IG36" s="357"/>
      <c r="IH36" s="358"/>
      <c r="II36" s="359"/>
      <c r="IJ36" s="359"/>
      <c r="IK36" s="359"/>
      <c r="IL36" s="359"/>
      <c r="IM36" s="359"/>
      <c r="IN36" s="359"/>
      <c r="IO36" s="359"/>
      <c r="IP36" s="359"/>
      <c r="IQ36" s="359"/>
      <c r="IR36" s="359"/>
      <c r="IS36" s="359"/>
      <c r="IT36" s="359"/>
      <c r="IU36" s="360"/>
      <c r="IV36" s="357"/>
    </row>
    <row r="37" spans="1:256" s="300" customFormat="1" ht="18" customHeight="1" thickBot="1" x14ac:dyDescent="0.3">
      <c r="A37" s="361" t="s">
        <v>180</v>
      </c>
      <c r="B37" s="362">
        <v>0</v>
      </c>
      <c r="C37" s="363"/>
      <c r="D37" s="363"/>
      <c r="E37" s="363"/>
      <c r="F37" s="363"/>
      <c r="G37" s="363"/>
      <c r="H37" s="363"/>
      <c r="I37" s="363">
        <v>0</v>
      </c>
      <c r="J37" s="363">
        <v>0</v>
      </c>
      <c r="K37" s="363"/>
      <c r="L37" s="363"/>
      <c r="M37" s="363"/>
      <c r="N37" s="363"/>
      <c r="O37" s="364">
        <f>N37+M37+L37+K37+J37+I37+H37+G37+F37+E37+D37+C37</f>
        <v>0</v>
      </c>
    </row>
    <row r="38" spans="1:256" s="300" customFormat="1" ht="18" customHeight="1" thickBot="1" x14ac:dyDescent="0.3">
      <c r="A38" s="353" t="s">
        <v>181</v>
      </c>
      <c r="B38" s="354">
        <f>B39</f>
        <v>0</v>
      </c>
      <c r="C38" s="354">
        <f>C39</f>
        <v>0</v>
      </c>
      <c r="D38" s="355">
        <f t="shared" si="14"/>
        <v>0</v>
      </c>
      <c r="E38" s="355">
        <f t="shared" si="14"/>
        <v>0</v>
      </c>
      <c r="F38" s="355">
        <f t="shared" si="14"/>
        <v>0</v>
      </c>
      <c r="G38" s="355">
        <f t="shared" si="14"/>
        <v>0</v>
      </c>
      <c r="H38" s="355">
        <f t="shared" si="14"/>
        <v>0</v>
      </c>
      <c r="I38" s="355">
        <f t="shared" si="14"/>
        <v>0</v>
      </c>
      <c r="J38" s="355">
        <f t="shared" si="14"/>
        <v>0</v>
      </c>
      <c r="K38" s="355">
        <f t="shared" si="14"/>
        <v>0</v>
      </c>
      <c r="L38" s="355">
        <f>L39</f>
        <v>0</v>
      </c>
      <c r="M38" s="355">
        <f t="shared" si="14"/>
        <v>0</v>
      </c>
      <c r="N38" s="355">
        <f>N39</f>
        <v>0</v>
      </c>
      <c r="O38" s="356">
        <f t="shared" si="5"/>
        <v>0</v>
      </c>
      <c r="P38" s="357"/>
      <c r="Q38" s="358"/>
      <c r="R38" s="359"/>
      <c r="S38" s="359"/>
      <c r="T38" s="359"/>
      <c r="U38" s="359"/>
      <c r="V38" s="359"/>
      <c r="W38" s="359"/>
      <c r="X38" s="359"/>
      <c r="Y38" s="359"/>
      <c r="Z38" s="359"/>
      <c r="AA38" s="359"/>
      <c r="AB38" s="359"/>
      <c r="AC38" s="359"/>
      <c r="AD38" s="360"/>
      <c r="AE38" s="357"/>
      <c r="AF38" s="358"/>
      <c r="AG38" s="359"/>
      <c r="AH38" s="359"/>
      <c r="AI38" s="359"/>
      <c r="AJ38" s="359"/>
      <c r="AK38" s="359"/>
      <c r="AL38" s="359"/>
      <c r="AM38" s="359"/>
      <c r="AN38" s="359"/>
      <c r="AO38" s="359"/>
      <c r="AP38" s="359"/>
      <c r="AQ38" s="359"/>
      <c r="AR38" s="359"/>
      <c r="AS38" s="360"/>
      <c r="AT38" s="357"/>
      <c r="AU38" s="358"/>
      <c r="AV38" s="359"/>
      <c r="AW38" s="359"/>
      <c r="AX38" s="359"/>
      <c r="AY38" s="359"/>
      <c r="AZ38" s="359"/>
      <c r="BA38" s="359"/>
      <c r="BB38" s="359"/>
      <c r="BC38" s="359"/>
      <c r="BD38" s="359"/>
      <c r="BE38" s="359"/>
      <c r="BF38" s="359"/>
      <c r="BG38" s="359"/>
      <c r="BH38" s="360"/>
      <c r="BI38" s="357"/>
      <c r="BJ38" s="358"/>
      <c r="BK38" s="359"/>
      <c r="BL38" s="359"/>
      <c r="BM38" s="359"/>
      <c r="BN38" s="359"/>
      <c r="BO38" s="359"/>
      <c r="BP38" s="359"/>
      <c r="BQ38" s="359"/>
      <c r="BR38" s="359"/>
      <c r="BS38" s="359"/>
      <c r="BT38" s="359"/>
      <c r="BU38" s="359"/>
      <c r="BV38" s="359"/>
      <c r="BW38" s="360"/>
      <c r="BX38" s="357"/>
      <c r="BY38" s="358"/>
      <c r="BZ38" s="359"/>
      <c r="CA38" s="359"/>
      <c r="CB38" s="359"/>
      <c r="CC38" s="359"/>
      <c r="CD38" s="359"/>
      <c r="CE38" s="359"/>
      <c r="CF38" s="359"/>
      <c r="CG38" s="359"/>
      <c r="CH38" s="359"/>
      <c r="CI38" s="359"/>
      <c r="CJ38" s="359"/>
      <c r="CK38" s="359"/>
      <c r="CL38" s="360"/>
      <c r="CM38" s="357"/>
      <c r="CN38" s="358"/>
      <c r="CO38" s="359"/>
      <c r="CP38" s="359"/>
      <c r="CQ38" s="359"/>
      <c r="CR38" s="359"/>
      <c r="CS38" s="359"/>
      <c r="CT38" s="359"/>
      <c r="CU38" s="359"/>
      <c r="CV38" s="359"/>
      <c r="CW38" s="359"/>
      <c r="CX38" s="359"/>
      <c r="CY38" s="359"/>
      <c r="CZ38" s="359"/>
      <c r="DA38" s="360"/>
      <c r="DB38" s="357"/>
      <c r="DC38" s="358"/>
      <c r="DD38" s="359"/>
      <c r="DE38" s="359"/>
      <c r="DF38" s="359"/>
      <c r="DG38" s="359"/>
      <c r="DH38" s="359"/>
      <c r="DI38" s="359"/>
      <c r="DJ38" s="359"/>
      <c r="DK38" s="359"/>
      <c r="DL38" s="359"/>
      <c r="DM38" s="359"/>
      <c r="DN38" s="359"/>
      <c r="DO38" s="359"/>
      <c r="DP38" s="360"/>
      <c r="DQ38" s="357"/>
      <c r="DR38" s="358"/>
      <c r="DS38" s="359"/>
      <c r="DT38" s="359"/>
      <c r="DU38" s="359"/>
      <c r="DV38" s="359"/>
      <c r="DW38" s="359"/>
      <c r="DX38" s="359"/>
      <c r="DY38" s="359"/>
      <c r="DZ38" s="359"/>
      <c r="EA38" s="359"/>
      <c r="EB38" s="359"/>
      <c r="EC38" s="359"/>
      <c r="ED38" s="359"/>
      <c r="EE38" s="360"/>
      <c r="EF38" s="357"/>
      <c r="EG38" s="358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60"/>
      <c r="EU38" s="357"/>
      <c r="EV38" s="358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60"/>
      <c r="FJ38" s="357"/>
      <c r="FK38" s="358"/>
      <c r="FL38" s="359"/>
      <c r="FM38" s="359"/>
      <c r="FN38" s="359"/>
      <c r="FO38" s="359"/>
      <c r="FP38" s="359"/>
      <c r="FQ38" s="359"/>
      <c r="FR38" s="359"/>
      <c r="FS38" s="359"/>
      <c r="FT38" s="359"/>
      <c r="FU38" s="359"/>
      <c r="FV38" s="359"/>
      <c r="FW38" s="359"/>
      <c r="FX38" s="360"/>
      <c r="FY38" s="357"/>
      <c r="FZ38" s="358"/>
      <c r="GA38" s="359"/>
      <c r="GB38" s="359"/>
      <c r="GC38" s="359"/>
      <c r="GD38" s="359"/>
      <c r="GE38" s="359"/>
      <c r="GF38" s="359"/>
      <c r="GG38" s="359"/>
      <c r="GH38" s="359"/>
      <c r="GI38" s="359"/>
      <c r="GJ38" s="359"/>
      <c r="GK38" s="359"/>
      <c r="GL38" s="359"/>
      <c r="GM38" s="360"/>
      <c r="GN38" s="357"/>
      <c r="GO38" s="358"/>
      <c r="GP38" s="359"/>
      <c r="GQ38" s="359"/>
      <c r="GR38" s="359"/>
      <c r="GS38" s="359"/>
      <c r="GT38" s="359"/>
      <c r="GU38" s="359"/>
      <c r="GV38" s="359"/>
      <c r="GW38" s="359"/>
      <c r="GX38" s="359"/>
      <c r="GY38" s="359"/>
      <c r="GZ38" s="359"/>
      <c r="HA38" s="359"/>
      <c r="HB38" s="360"/>
      <c r="HC38" s="357"/>
      <c r="HD38" s="358"/>
      <c r="HE38" s="359"/>
      <c r="HF38" s="359"/>
      <c r="HG38" s="359"/>
      <c r="HH38" s="359"/>
      <c r="HI38" s="359"/>
      <c r="HJ38" s="359"/>
      <c r="HK38" s="359"/>
      <c r="HL38" s="359"/>
      <c r="HM38" s="359"/>
      <c r="HN38" s="359"/>
      <c r="HO38" s="359"/>
      <c r="HP38" s="359"/>
      <c r="HQ38" s="360"/>
      <c r="HR38" s="357"/>
      <c r="HS38" s="358"/>
      <c r="HT38" s="359"/>
      <c r="HU38" s="359"/>
      <c r="HV38" s="359"/>
      <c r="HW38" s="359"/>
      <c r="HX38" s="359"/>
      <c r="HY38" s="359"/>
      <c r="HZ38" s="359"/>
      <c r="IA38" s="359"/>
      <c r="IB38" s="359"/>
      <c r="IC38" s="359"/>
      <c r="ID38" s="359"/>
      <c r="IE38" s="359"/>
      <c r="IF38" s="360"/>
      <c r="IG38" s="357"/>
      <c r="IH38" s="358"/>
      <c r="II38" s="359"/>
      <c r="IJ38" s="359"/>
      <c r="IK38" s="359"/>
      <c r="IL38" s="359"/>
      <c r="IM38" s="359"/>
      <c r="IN38" s="359"/>
      <c r="IO38" s="359"/>
      <c r="IP38" s="359"/>
      <c r="IQ38" s="359"/>
      <c r="IR38" s="359"/>
      <c r="IS38" s="359"/>
      <c r="IT38" s="359"/>
      <c r="IU38" s="360"/>
      <c r="IV38" s="357"/>
    </row>
    <row r="39" spans="1:256" s="300" customFormat="1" ht="18" customHeight="1" thickBot="1" x14ac:dyDescent="0.3">
      <c r="A39" s="361" t="s">
        <v>181</v>
      </c>
      <c r="B39" s="362">
        <v>0</v>
      </c>
      <c r="C39" s="363">
        <v>0</v>
      </c>
      <c r="D39" s="363"/>
      <c r="E39" s="363"/>
      <c r="F39" s="363"/>
      <c r="G39" s="363"/>
      <c r="H39" s="363"/>
      <c r="I39" s="363">
        <v>0</v>
      </c>
      <c r="J39" s="363">
        <v>0</v>
      </c>
      <c r="K39" s="363">
        <v>0</v>
      </c>
      <c r="L39" s="363">
        <v>0</v>
      </c>
      <c r="M39" s="363">
        <v>0</v>
      </c>
      <c r="N39" s="363">
        <v>0</v>
      </c>
      <c r="O39" s="364">
        <f t="shared" si="5"/>
        <v>0</v>
      </c>
    </row>
    <row r="40" spans="1:256" s="98" customFormat="1" ht="18" customHeight="1" thickBot="1" x14ac:dyDescent="0.35">
      <c r="A40" s="257" t="s">
        <v>182</v>
      </c>
      <c r="B40" s="258">
        <f>B41</f>
        <v>0</v>
      </c>
      <c r="C40" s="258">
        <f>C41</f>
        <v>288.67</v>
      </c>
      <c r="D40" s="259">
        <f t="shared" ref="D40:M40" si="15">D41</f>
        <v>217.72</v>
      </c>
      <c r="E40" s="259">
        <f t="shared" si="15"/>
        <v>0</v>
      </c>
      <c r="F40" s="259">
        <f t="shared" si="15"/>
        <v>0</v>
      </c>
      <c r="G40" s="259">
        <f t="shared" si="15"/>
        <v>0</v>
      </c>
      <c r="H40" s="259">
        <f t="shared" si="15"/>
        <v>0</v>
      </c>
      <c r="I40" s="259">
        <f>I41</f>
        <v>0</v>
      </c>
      <c r="J40" s="259">
        <f t="shared" si="15"/>
        <v>0</v>
      </c>
      <c r="K40" s="259">
        <f>K41</f>
        <v>0</v>
      </c>
      <c r="L40" s="259">
        <f t="shared" si="15"/>
        <v>0</v>
      </c>
      <c r="M40" s="259">
        <f t="shared" si="15"/>
        <v>0</v>
      </c>
      <c r="N40" s="259">
        <f>N41</f>
        <v>0</v>
      </c>
      <c r="O40" s="266">
        <f t="shared" si="5"/>
        <v>506.39</v>
      </c>
      <c r="P40" s="236"/>
      <c r="Q40" s="237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9"/>
      <c r="AE40" s="236"/>
      <c r="AF40" s="237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9"/>
      <c r="AT40" s="236"/>
      <c r="AU40" s="237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9"/>
      <c r="BI40" s="236"/>
      <c r="BJ40" s="237"/>
      <c r="BK40" s="238"/>
      <c r="BL40" s="238"/>
      <c r="BM40" s="238"/>
      <c r="BN40" s="238"/>
      <c r="BO40" s="238"/>
      <c r="BP40" s="238"/>
      <c r="BQ40" s="238"/>
      <c r="BR40" s="238"/>
      <c r="BS40" s="238"/>
      <c r="BT40" s="238"/>
      <c r="BU40" s="238"/>
      <c r="BV40" s="238"/>
      <c r="BW40" s="239"/>
      <c r="BX40" s="236"/>
      <c r="BY40" s="237"/>
      <c r="BZ40" s="238"/>
      <c r="CA40" s="238"/>
      <c r="CB40" s="238"/>
      <c r="CC40" s="238"/>
      <c r="CD40" s="238"/>
      <c r="CE40" s="238"/>
      <c r="CF40" s="238"/>
      <c r="CG40" s="238"/>
      <c r="CH40" s="238"/>
      <c r="CI40" s="238"/>
      <c r="CJ40" s="238"/>
      <c r="CK40" s="238"/>
      <c r="CL40" s="239"/>
      <c r="CM40" s="236"/>
      <c r="CN40" s="237"/>
      <c r="CO40" s="238"/>
      <c r="CP40" s="238"/>
      <c r="CQ40" s="238"/>
      <c r="CR40" s="238"/>
      <c r="CS40" s="238"/>
      <c r="CT40" s="238"/>
      <c r="CU40" s="238"/>
      <c r="CV40" s="238"/>
      <c r="CW40" s="238"/>
      <c r="CX40" s="238"/>
      <c r="CY40" s="238"/>
      <c r="CZ40" s="238"/>
      <c r="DA40" s="239"/>
      <c r="DB40" s="236"/>
      <c r="DC40" s="237"/>
      <c r="DD40" s="238"/>
      <c r="DE40" s="238"/>
      <c r="DF40" s="238"/>
      <c r="DG40" s="238"/>
      <c r="DH40" s="238"/>
      <c r="DI40" s="238"/>
      <c r="DJ40" s="238"/>
      <c r="DK40" s="238"/>
      <c r="DL40" s="238"/>
      <c r="DM40" s="238"/>
      <c r="DN40" s="238"/>
      <c r="DO40" s="238"/>
      <c r="DP40" s="239"/>
      <c r="DQ40" s="236"/>
      <c r="DR40" s="237"/>
      <c r="DS40" s="238"/>
      <c r="DT40" s="238"/>
      <c r="DU40" s="238"/>
      <c r="DV40" s="238"/>
      <c r="DW40" s="238"/>
      <c r="DX40" s="238"/>
      <c r="DY40" s="238"/>
      <c r="DZ40" s="238"/>
      <c r="EA40" s="238"/>
      <c r="EB40" s="238"/>
      <c r="EC40" s="238"/>
      <c r="ED40" s="238"/>
      <c r="EE40" s="239"/>
      <c r="EF40" s="236"/>
      <c r="EG40" s="237"/>
      <c r="EH40" s="238"/>
      <c r="EI40" s="238"/>
      <c r="EJ40" s="238"/>
      <c r="EK40" s="238"/>
      <c r="EL40" s="238"/>
      <c r="EM40" s="238"/>
      <c r="EN40" s="238"/>
      <c r="EO40" s="238"/>
      <c r="EP40" s="238"/>
      <c r="EQ40" s="238"/>
      <c r="ER40" s="238"/>
      <c r="ES40" s="238"/>
      <c r="ET40" s="239"/>
      <c r="EU40" s="236"/>
      <c r="EV40" s="237"/>
      <c r="EW40" s="238"/>
      <c r="EX40" s="238"/>
      <c r="EY40" s="238"/>
      <c r="EZ40" s="238"/>
      <c r="FA40" s="238"/>
      <c r="FB40" s="238"/>
      <c r="FC40" s="238"/>
      <c r="FD40" s="238"/>
      <c r="FE40" s="238"/>
      <c r="FF40" s="238"/>
      <c r="FG40" s="238"/>
      <c r="FH40" s="238"/>
      <c r="FI40" s="239"/>
      <c r="FJ40" s="236"/>
      <c r="FK40" s="237"/>
      <c r="FL40" s="238"/>
      <c r="FM40" s="238"/>
      <c r="FN40" s="238"/>
      <c r="FO40" s="238"/>
      <c r="FP40" s="238"/>
      <c r="FQ40" s="238"/>
      <c r="FR40" s="238"/>
      <c r="FS40" s="238"/>
      <c r="FT40" s="238"/>
      <c r="FU40" s="238"/>
      <c r="FV40" s="238"/>
      <c r="FW40" s="238"/>
      <c r="FX40" s="239"/>
      <c r="FY40" s="236"/>
      <c r="FZ40" s="237"/>
      <c r="GA40" s="238"/>
      <c r="GB40" s="238"/>
      <c r="GC40" s="238"/>
      <c r="GD40" s="238"/>
      <c r="GE40" s="238"/>
      <c r="GF40" s="238"/>
      <c r="GG40" s="238"/>
      <c r="GH40" s="238"/>
      <c r="GI40" s="238"/>
      <c r="GJ40" s="238"/>
      <c r="GK40" s="238"/>
      <c r="GL40" s="238"/>
      <c r="GM40" s="239"/>
      <c r="GN40" s="236"/>
      <c r="GO40" s="237"/>
      <c r="GP40" s="238"/>
      <c r="GQ40" s="238"/>
      <c r="GR40" s="238"/>
      <c r="GS40" s="238"/>
      <c r="GT40" s="238"/>
      <c r="GU40" s="238"/>
      <c r="GV40" s="238"/>
      <c r="GW40" s="238"/>
      <c r="GX40" s="238"/>
      <c r="GY40" s="238"/>
      <c r="GZ40" s="238"/>
      <c r="HA40" s="238"/>
      <c r="HB40" s="239"/>
      <c r="HC40" s="236"/>
      <c r="HD40" s="237"/>
      <c r="HE40" s="238"/>
      <c r="HF40" s="238"/>
      <c r="HG40" s="238"/>
      <c r="HH40" s="238"/>
      <c r="HI40" s="238"/>
      <c r="HJ40" s="238"/>
      <c r="HK40" s="238"/>
      <c r="HL40" s="238"/>
      <c r="HM40" s="238"/>
      <c r="HN40" s="238"/>
      <c r="HO40" s="238"/>
      <c r="HP40" s="238"/>
      <c r="HQ40" s="239"/>
      <c r="HR40" s="236"/>
      <c r="HS40" s="237"/>
      <c r="HT40" s="238"/>
      <c r="HU40" s="238"/>
      <c r="HV40" s="238"/>
      <c r="HW40" s="238"/>
      <c r="HX40" s="238"/>
      <c r="HY40" s="238"/>
      <c r="HZ40" s="238"/>
      <c r="IA40" s="238"/>
      <c r="IB40" s="238"/>
      <c r="IC40" s="238"/>
      <c r="ID40" s="238"/>
      <c r="IE40" s="238"/>
      <c r="IF40" s="239"/>
      <c r="IG40" s="236"/>
      <c r="IH40" s="237"/>
      <c r="II40" s="238"/>
      <c r="IJ40" s="238"/>
      <c r="IK40" s="238"/>
      <c r="IL40" s="238"/>
      <c r="IM40" s="238"/>
      <c r="IN40" s="238"/>
      <c r="IO40" s="238"/>
      <c r="IP40" s="238"/>
      <c r="IQ40" s="238"/>
      <c r="IR40" s="238"/>
      <c r="IS40" s="238"/>
      <c r="IT40" s="238"/>
      <c r="IU40" s="239"/>
      <c r="IV40" s="236"/>
    </row>
    <row r="41" spans="1:256" s="98" customFormat="1" ht="18" customHeight="1" thickBot="1" x14ac:dyDescent="0.3">
      <c r="A41" s="217" t="s">
        <v>183</v>
      </c>
      <c r="B41" s="218"/>
      <c r="C41" s="215">
        <v>288.67</v>
      </c>
      <c r="D41" s="215">
        <v>217.72</v>
      </c>
      <c r="E41" s="215"/>
      <c r="F41" s="215"/>
      <c r="G41" s="214"/>
      <c r="H41" s="214"/>
      <c r="I41" s="214"/>
      <c r="J41" s="363"/>
      <c r="K41" s="214"/>
      <c r="L41" s="214"/>
      <c r="M41" s="215"/>
      <c r="N41" s="214"/>
      <c r="O41" s="255">
        <f t="shared" si="5"/>
        <v>506.39</v>
      </c>
    </row>
    <row r="42" spans="1:256" s="98" customFormat="1" ht="18" customHeight="1" x14ac:dyDescent="0.3">
      <c r="A42" s="267" t="s">
        <v>184</v>
      </c>
      <c r="B42" s="268">
        <f>B43+B44</f>
        <v>81000</v>
      </c>
      <c r="C42" s="268">
        <f>C44+C43</f>
        <v>8506.34</v>
      </c>
      <c r="D42" s="269">
        <f>D43+D44</f>
        <v>8069.28</v>
      </c>
      <c r="E42" s="269">
        <f>E43+E44</f>
        <v>7754.42</v>
      </c>
      <c r="F42" s="269">
        <f t="shared" ref="F42:K42" si="16">F43+F44</f>
        <v>7277.25</v>
      </c>
      <c r="G42" s="269">
        <f t="shared" si="16"/>
        <v>0</v>
      </c>
      <c r="H42" s="269">
        <f t="shared" si="16"/>
        <v>0</v>
      </c>
      <c r="I42" s="269">
        <f t="shared" si="16"/>
        <v>0</v>
      </c>
      <c r="J42" s="269">
        <f t="shared" si="16"/>
        <v>0</v>
      </c>
      <c r="K42" s="269">
        <f t="shared" si="16"/>
        <v>0</v>
      </c>
      <c r="L42" s="269">
        <f>L43+L44</f>
        <v>0</v>
      </c>
      <c r="M42" s="269">
        <f>M43+M44</f>
        <v>0</v>
      </c>
      <c r="N42" s="269">
        <f>N43+N44</f>
        <v>0</v>
      </c>
      <c r="O42" s="266">
        <f t="shared" si="5"/>
        <v>31607.29</v>
      </c>
      <c r="P42" s="236"/>
      <c r="Q42" s="237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9"/>
      <c r="AE42" s="236"/>
      <c r="AF42" s="237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9"/>
      <c r="AT42" s="236"/>
      <c r="AU42" s="237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9"/>
      <c r="BI42" s="236"/>
      <c r="BJ42" s="237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8"/>
      <c r="BV42" s="238"/>
      <c r="BW42" s="239"/>
      <c r="BX42" s="236"/>
      <c r="BY42" s="237"/>
      <c r="BZ42" s="238"/>
      <c r="CA42" s="238"/>
      <c r="CB42" s="238"/>
      <c r="CC42" s="238"/>
      <c r="CD42" s="238"/>
      <c r="CE42" s="238"/>
      <c r="CF42" s="238"/>
      <c r="CG42" s="238"/>
      <c r="CH42" s="238"/>
      <c r="CI42" s="238"/>
      <c r="CJ42" s="238"/>
      <c r="CK42" s="238"/>
      <c r="CL42" s="239"/>
      <c r="CM42" s="236"/>
      <c r="CN42" s="237"/>
      <c r="CO42" s="238"/>
      <c r="CP42" s="238"/>
      <c r="CQ42" s="238"/>
      <c r="CR42" s="238"/>
      <c r="CS42" s="238"/>
      <c r="CT42" s="238"/>
      <c r="CU42" s="238"/>
      <c r="CV42" s="238"/>
      <c r="CW42" s="238"/>
      <c r="CX42" s="238"/>
      <c r="CY42" s="238"/>
      <c r="CZ42" s="238"/>
      <c r="DA42" s="239"/>
      <c r="DB42" s="236"/>
      <c r="DC42" s="237"/>
      <c r="DD42" s="238"/>
      <c r="DE42" s="238"/>
      <c r="DF42" s="238"/>
      <c r="DG42" s="238"/>
      <c r="DH42" s="238"/>
      <c r="DI42" s="238"/>
      <c r="DJ42" s="238"/>
      <c r="DK42" s="238"/>
      <c r="DL42" s="238"/>
      <c r="DM42" s="238"/>
      <c r="DN42" s="238"/>
      <c r="DO42" s="238"/>
      <c r="DP42" s="239"/>
      <c r="DQ42" s="236"/>
      <c r="DR42" s="237"/>
      <c r="DS42" s="238"/>
      <c r="DT42" s="238"/>
      <c r="DU42" s="238"/>
      <c r="DV42" s="238"/>
      <c r="DW42" s="238"/>
      <c r="DX42" s="238"/>
      <c r="DY42" s="238"/>
      <c r="DZ42" s="238"/>
      <c r="EA42" s="238"/>
      <c r="EB42" s="238"/>
      <c r="EC42" s="238"/>
      <c r="ED42" s="238"/>
      <c r="EE42" s="239"/>
      <c r="EF42" s="236"/>
      <c r="EG42" s="237"/>
      <c r="EH42" s="238"/>
      <c r="EI42" s="238"/>
      <c r="EJ42" s="238"/>
      <c r="EK42" s="238"/>
      <c r="EL42" s="238"/>
      <c r="EM42" s="238"/>
      <c r="EN42" s="238"/>
      <c r="EO42" s="238"/>
      <c r="EP42" s="238"/>
      <c r="EQ42" s="238"/>
      <c r="ER42" s="238"/>
      <c r="ES42" s="238"/>
      <c r="ET42" s="239"/>
      <c r="EU42" s="236"/>
      <c r="EV42" s="237"/>
      <c r="EW42" s="238"/>
      <c r="EX42" s="238"/>
      <c r="EY42" s="238"/>
      <c r="EZ42" s="238"/>
      <c r="FA42" s="238"/>
      <c r="FB42" s="238"/>
      <c r="FC42" s="238"/>
      <c r="FD42" s="238"/>
      <c r="FE42" s="238"/>
      <c r="FF42" s="238"/>
      <c r="FG42" s="238"/>
      <c r="FH42" s="238"/>
      <c r="FI42" s="239"/>
      <c r="FJ42" s="236"/>
      <c r="FK42" s="237"/>
      <c r="FL42" s="238"/>
      <c r="FM42" s="238"/>
      <c r="FN42" s="238"/>
      <c r="FO42" s="238"/>
      <c r="FP42" s="238"/>
      <c r="FQ42" s="238"/>
      <c r="FR42" s="238"/>
      <c r="FS42" s="238"/>
      <c r="FT42" s="238"/>
      <c r="FU42" s="238"/>
      <c r="FV42" s="238"/>
      <c r="FW42" s="238"/>
      <c r="FX42" s="239"/>
      <c r="FY42" s="236"/>
      <c r="FZ42" s="237"/>
      <c r="GA42" s="238"/>
      <c r="GB42" s="238"/>
      <c r="GC42" s="238"/>
      <c r="GD42" s="238"/>
      <c r="GE42" s="238"/>
      <c r="GF42" s="238"/>
      <c r="GG42" s="238"/>
      <c r="GH42" s="238"/>
      <c r="GI42" s="238"/>
      <c r="GJ42" s="238"/>
      <c r="GK42" s="238"/>
      <c r="GL42" s="238"/>
      <c r="GM42" s="239"/>
      <c r="GN42" s="236"/>
      <c r="GO42" s="237"/>
      <c r="GP42" s="238"/>
      <c r="GQ42" s="238"/>
      <c r="GR42" s="238"/>
      <c r="GS42" s="238"/>
      <c r="GT42" s="238"/>
      <c r="GU42" s="238"/>
      <c r="GV42" s="238"/>
      <c r="GW42" s="238"/>
      <c r="GX42" s="238"/>
      <c r="GY42" s="238"/>
      <c r="GZ42" s="238"/>
      <c r="HA42" s="238"/>
      <c r="HB42" s="239"/>
      <c r="HC42" s="236"/>
      <c r="HD42" s="237"/>
      <c r="HE42" s="238"/>
      <c r="HF42" s="238"/>
      <c r="HG42" s="238"/>
      <c r="HH42" s="238"/>
      <c r="HI42" s="238"/>
      <c r="HJ42" s="238"/>
      <c r="HK42" s="238"/>
      <c r="HL42" s="238"/>
      <c r="HM42" s="238"/>
      <c r="HN42" s="238"/>
      <c r="HO42" s="238"/>
      <c r="HP42" s="238"/>
      <c r="HQ42" s="239"/>
      <c r="HR42" s="236"/>
      <c r="HS42" s="237"/>
      <c r="HT42" s="238"/>
      <c r="HU42" s="238"/>
      <c r="HV42" s="238"/>
      <c r="HW42" s="238"/>
      <c r="HX42" s="238"/>
      <c r="HY42" s="238"/>
      <c r="HZ42" s="238"/>
      <c r="IA42" s="238"/>
      <c r="IB42" s="238"/>
      <c r="IC42" s="238"/>
      <c r="ID42" s="238"/>
      <c r="IE42" s="238"/>
      <c r="IF42" s="239"/>
      <c r="IG42" s="236"/>
      <c r="IH42" s="237"/>
      <c r="II42" s="238"/>
      <c r="IJ42" s="238"/>
      <c r="IK42" s="238"/>
      <c r="IL42" s="238"/>
      <c r="IM42" s="238"/>
      <c r="IN42" s="238"/>
      <c r="IO42" s="238"/>
      <c r="IP42" s="238"/>
      <c r="IQ42" s="238"/>
      <c r="IR42" s="238"/>
      <c r="IS42" s="238"/>
      <c r="IT42" s="238"/>
      <c r="IU42" s="239"/>
      <c r="IV42" s="236"/>
    </row>
    <row r="43" spans="1:256" s="98" customFormat="1" ht="18" customHeight="1" x14ac:dyDescent="0.25">
      <c r="A43" s="415" t="s">
        <v>185</v>
      </c>
      <c r="B43" s="203">
        <v>75000</v>
      </c>
      <c r="C43" s="204">
        <v>7665.51</v>
      </c>
      <c r="D43" s="204">
        <v>7453.87</v>
      </c>
      <c r="E43" s="204">
        <v>7044.22</v>
      </c>
      <c r="F43" s="204">
        <v>7063.67</v>
      </c>
      <c r="G43" s="416"/>
      <c r="H43" s="416"/>
      <c r="I43" s="204"/>
      <c r="J43" s="204"/>
      <c r="K43" s="204"/>
      <c r="L43" s="416"/>
      <c r="M43" s="204"/>
      <c r="N43" s="416"/>
      <c r="O43" s="255">
        <f t="shared" si="5"/>
        <v>29227.269999999997</v>
      </c>
    </row>
    <row r="44" spans="1:256" s="98" customFormat="1" ht="18" customHeight="1" thickBot="1" x14ac:dyDescent="0.3">
      <c r="A44" s="415" t="s">
        <v>186</v>
      </c>
      <c r="B44" s="203">
        <v>6000</v>
      </c>
      <c r="C44" s="204">
        <v>840.83</v>
      </c>
      <c r="D44" s="204">
        <v>615.41</v>
      </c>
      <c r="E44" s="204">
        <v>710.2</v>
      </c>
      <c r="F44" s="204">
        <v>213.58</v>
      </c>
      <c r="G44" s="416"/>
      <c r="H44" s="416"/>
      <c r="I44" s="204"/>
      <c r="J44" s="204"/>
      <c r="K44" s="204"/>
      <c r="L44" s="416"/>
      <c r="M44" s="204"/>
      <c r="N44" s="416"/>
      <c r="O44" s="255">
        <f t="shared" si="5"/>
        <v>2380.02</v>
      </c>
    </row>
    <row r="45" spans="1:256" s="98" customFormat="1" ht="18" customHeight="1" x14ac:dyDescent="0.3">
      <c r="A45" s="267" t="s">
        <v>187</v>
      </c>
      <c r="B45" s="268">
        <f>B46+B47</f>
        <v>3300</v>
      </c>
      <c r="C45" s="268">
        <f>C47+C46</f>
        <v>486.15</v>
      </c>
      <c r="D45" s="269">
        <f>D46+D47</f>
        <v>817.13000000000011</v>
      </c>
      <c r="E45" s="269">
        <f>E46+E47</f>
        <v>217.86</v>
      </c>
      <c r="F45" s="269">
        <f t="shared" ref="F45:K45" si="17">F46+F47</f>
        <v>634.13</v>
      </c>
      <c r="G45" s="269">
        <f t="shared" si="17"/>
        <v>0</v>
      </c>
      <c r="H45" s="269">
        <f t="shared" si="17"/>
        <v>0</v>
      </c>
      <c r="I45" s="269">
        <f t="shared" si="17"/>
        <v>0</v>
      </c>
      <c r="J45" s="269">
        <f t="shared" si="17"/>
        <v>0</v>
      </c>
      <c r="K45" s="269">
        <f t="shared" si="17"/>
        <v>0</v>
      </c>
      <c r="L45" s="269">
        <f>L46</f>
        <v>0</v>
      </c>
      <c r="M45" s="269">
        <f>M46</f>
        <v>0</v>
      </c>
      <c r="N45" s="269">
        <f>N46</f>
        <v>0</v>
      </c>
      <c r="O45" s="266">
        <f>N45+M45+L45+K45+J45+I45+H45+G45+F45+E45+D45+C45</f>
        <v>2155.27</v>
      </c>
      <c r="P45" s="236"/>
      <c r="Q45" s="237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9"/>
      <c r="AE45" s="236"/>
      <c r="AF45" s="237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9"/>
      <c r="AT45" s="236"/>
      <c r="AU45" s="237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9"/>
      <c r="BI45" s="236"/>
      <c r="BJ45" s="237"/>
      <c r="BK45" s="238"/>
      <c r="BL45" s="238"/>
      <c r="BM45" s="238"/>
      <c r="BN45" s="238"/>
      <c r="BO45" s="238"/>
      <c r="BP45" s="238"/>
      <c r="BQ45" s="238"/>
      <c r="BR45" s="238"/>
      <c r="BS45" s="238"/>
      <c r="BT45" s="238"/>
      <c r="BU45" s="238"/>
      <c r="BV45" s="238"/>
      <c r="BW45" s="239"/>
      <c r="BX45" s="236"/>
      <c r="BY45" s="237"/>
      <c r="BZ45" s="238"/>
      <c r="CA45" s="238"/>
      <c r="CB45" s="238"/>
      <c r="CC45" s="238"/>
      <c r="CD45" s="238"/>
      <c r="CE45" s="238"/>
      <c r="CF45" s="238"/>
      <c r="CG45" s="238"/>
      <c r="CH45" s="238"/>
      <c r="CI45" s="238"/>
      <c r="CJ45" s="238"/>
      <c r="CK45" s="238"/>
      <c r="CL45" s="239"/>
      <c r="CM45" s="236"/>
      <c r="CN45" s="237"/>
      <c r="CO45" s="238"/>
      <c r="CP45" s="238"/>
      <c r="CQ45" s="238"/>
      <c r="CR45" s="238"/>
      <c r="CS45" s="238"/>
      <c r="CT45" s="238"/>
      <c r="CU45" s="238"/>
      <c r="CV45" s="238"/>
      <c r="CW45" s="238"/>
      <c r="CX45" s="238"/>
      <c r="CY45" s="238"/>
      <c r="CZ45" s="238"/>
      <c r="DA45" s="239"/>
      <c r="DB45" s="236"/>
      <c r="DC45" s="237"/>
      <c r="DD45" s="238"/>
      <c r="DE45" s="238"/>
      <c r="DF45" s="238"/>
      <c r="DG45" s="238"/>
      <c r="DH45" s="238"/>
      <c r="DI45" s="238"/>
      <c r="DJ45" s="238"/>
      <c r="DK45" s="238"/>
      <c r="DL45" s="238"/>
      <c r="DM45" s="238"/>
      <c r="DN45" s="238"/>
      <c r="DO45" s="238"/>
      <c r="DP45" s="239"/>
      <c r="DQ45" s="236"/>
      <c r="DR45" s="237"/>
      <c r="DS45" s="238"/>
      <c r="DT45" s="238"/>
      <c r="DU45" s="238"/>
      <c r="DV45" s="238"/>
      <c r="DW45" s="238"/>
      <c r="DX45" s="238"/>
      <c r="DY45" s="238"/>
      <c r="DZ45" s="238"/>
      <c r="EA45" s="238"/>
      <c r="EB45" s="238"/>
      <c r="EC45" s="238"/>
      <c r="ED45" s="238"/>
      <c r="EE45" s="239"/>
      <c r="EF45" s="236"/>
      <c r="EG45" s="237"/>
      <c r="EH45" s="238"/>
      <c r="EI45" s="238"/>
      <c r="EJ45" s="238"/>
      <c r="EK45" s="238"/>
      <c r="EL45" s="238"/>
      <c r="EM45" s="238"/>
      <c r="EN45" s="238"/>
      <c r="EO45" s="238"/>
      <c r="EP45" s="238"/>
      <c r="EQ45" s="238"/>
      <c r="ER45" s="238"/>
      <c r="ES45" s="238"/>
      <c r="ET45" s="239"/>
      <c r="EU45" s="236"/>
      <c r="EV45" s="237"/>
      <c r="EW45" s="238"/>
      <c r="EX45" s="238"/>
      <c r="EY45" s="238"/>
      <c r="EZ45" s="238"/>
      <c r="FA45" s="238"/>
      <c r="FB45" s="238"/>
      <c r="FC45" s="238"/>
      <c r="FD45" s="238"/>
      <c r="FE45" s="238"/>
      <c r="FF45" s="238"/>
      <c r="FG45" s="238"/>
      <c r="FH45" s="238"/>
      <c r="FI45" s="239"/>
      <c r="FJ45" s="236"/>
      <c r="FK45" s="237"/>
      <c r="FL45" s="238"/>
      <c r="FM45" s="238"/>
      <c r="FN45" s="238"/>
      <c r="FO45" s="238"/>
      <c r="FP45" s="238"/>
      <c r="FQ45" s="238"/>
      <c r="FR45" s="238"/>
      <c r="FS45" s="238"/>
      <c r="FT45" s="238"/>
      <c r="FU45" s="238"/>
      <c r="FV45" s="238"/>
      <c r="FW45" s="238"/>
      <c r="FX45" s="239"/>
      <c r="FY45" s="236"/>
      <c r="FZ45" s="237"/>
      <c r="GA45" s="238"/>
      <c r="GB45" s="238"/>
      <c r="GC45" s="238"/>
      <c r="GD45" s="238"/>
      <c r="GE45" s="238"/>
      <c r="GF45" s="238"/>
      <c r="GG45" s="238"/>
      <c r="GH45" s="238"/>
      <c r="GI45" s="238"/>
      <c r="GJ45" s="238"/>
      <c r="GK45" s="238"/>
      <c r="GL45" s="238"/>
      <c r="GM45" s="239"/>
      <c r="GN45" s="236"/>
      <c r="GO45" s="237"/>
      <c r="GP45" s="238"/>
      <c r="GQ45" s="238"/>
      <c r="GR45" s="238"/>
      <c r="GS45" s="238"/>
      <c r="GT45" s="238"/>
      <c r="GU45" s="238"/>
      <c r="GV45" s="238"/>
      <c r="GW45" s="238"/>
      <c r="GX45" s="238"/>
      <c r="GY45" s="238"/>
      <c r="GZ45" s="238"/>
      <c r="HA45" s="238"/>
      <c r="HB45" s="239"/>
      <c r="HC45" s="236"/>
      <c r="HD45" s="237"/>
      <c r="HE45" s="238"/>
      <c r="HF45" s="238"/>
      <c r="HG45" s="238"/>
      <c r="HH45" s="238"/>
      <c r="HI45" s="238"/>
      <c r="HJ45" s="238"/>
      <c r="HK45" s="238"/>
      <c r="HL45" s="238"/>
      <c r="HM45" s="238"/>
      <c r="HN45" s="238"/>
      <c r="HO45" s="238"/>
      <c r="HP45" s="238"/>
      <c r="HQ45" s="239"/>
      <c r="HR45" s="236"/>
      <c r="HS45" s="237"/>
      <c r="HT45" s="238"/>
      <c r="HU45" s="238"/>
      <c r="HV45" s="238"/>
      <c r="HW45" s="238"/>
      <c r="HX45" s="238"/>
      <c r="HY45" s="238"/>
      <c r="HZ45" s="238"/>
      <c r="IA45" s="238"/>
      <c r="IB45" s="238"/>
      <c r="IC45" s="238"/>
      <c r="ID45" s="238"/>
      <c r="IE45" s="238"/>
      <c r="IF45" s="239"/>
      <c r="IG45" s="236"/>
      <c r="IH45" s="237"/>
      <c r="II45" s="238"/>
      <c r="IJ45" s="238"/>
      <c r="IK45" s="238"/>
      <c r="IL45" s="238"/>
      <c r="IM45" s="238"/>
      <c r="IN45" s="238"/>
      <c r="IO45" s="238"/>
      <c r="IP45" s="238"/>
      <c r="IQ45" s="238"/>
      <c r="IR45" s="238"/>
      <c r="IS45" s="238"/>
      <c r="IT45" s="238"/>
      <c r="IU45" s="239"/>
      <c r="IV45" s="236"/>
    </row>
    <row r="46" spans="1:256" s="98" customFormat="1" ht="18" customHeight="1" x14ac:dyDescent="0.25">
      <c r="A46" s="415" t="s">
        <v>188</v>
      </c>
      <c r="B46" s="203">
        <v>3000</v>
      </c>
      <c r="C46" s="204">
        <v>486.15</v>
      </c>
      <c r="D46" s="204">
        <v>611.83000000000004</v>
      </c>
      <c r="E46" s="204">
        <v>217.86</v>
      </c>
      <c r="F46" s="204">
        <v>436.86</v>
      </c>
      <c r="G46" s="416"/>
      <c r="H46" s="416"/>
      <c r="I46" s="204"/>
      <c r="J46" s="204"/>
      <c r="K46" s="204"/>
      <c r="L46" s="416"/>
      <c r="M46" s="204"/>
      <c r="N46" s="416"/>
      <c r="O46" s="255">
        <f t="shared" si="5"/>
        <v>1752.7000000000003</v>
      </c>
      <c r="Q46" s="240"/>
    </row>
    <row r="47" spans="1:256" s="98" customFormat="1" ht="18" customHeight="1" thickBot="1" x14ac:dyDescent="0.3">
      <c r="A47" s="415" t="s">
        <v>189</v>
      </c>
      <c r="B47" s="203">
        <v>300</v>
      </c>
      <c r="C47" s="204">
        <v>0</v>
      </c>
      <c r="D47" s="204">
        <v>205.3</v>
      </c>
      <c r="E47" s="204"/>
      <c r="F47" s="204">
        <v>197.27</v>
      </c>
      <c r="G47" s="416"/>
      <c r="H47" s="416"/>
      <c r="I47" s="204"/>
      <c r="J47" s="204"/>
      <c r="K47" s="204"/>
      <c r="L47" s="416"/>
      <c r="M47" s="204"/>
      <c r="N47" s="416"/>
      <c r="O47" s="255">
        <f t="shared" si="5"/>
        <v>402.57000000000005</v>
      </c>
    </row>
    <row r="48" spans="1:256" s="98" customFormat="1" ht="18" customHeight="1" x14ac:dyDescent="0.3">
      <c r="A48" s="267" t="s">
        <v>190</v>
      </c>
      <c r="B48" s="268">
        <f>B49+B50</f>
        <v>32000</v>
      </c>
      <c r="C48" s="268">
        <f>C50+C49</f>
        <v>1765.99</v>
      </c>
      <c r="D48" s="269">
        <f>D49+D50</f>
        <v>2300.3100000000004</v>
      </c>
      <c r="E48" s="269">
        <f>E49+E50</f>
        <v>2087.67</v>
      </c>
      <c r="F48" s="269">
        <f t="shared" ref="F48:N48" si="18">F49+F50</f>
        <v>1543.13</v>
      </c>
      <c r="G48" s="269">
        <f t="shared" si="18"/>
        <v>0</v>
      </c>
      <c r="H48" s="269">
        <f t="shared" si="18"/>
        <v>0</v>
      </c>
      <c r="I48" s="269">
        <f t="shared" si="18"/>
        <v>0</v>
      </c>
      <c r="J48" s="269">
        <f t="shared" si="18"/>
        <v>0</v>
      </c>
      <c r="K48" s="269">
        <f t="shared" si="18"/>
        <v>0</v>
      </c>
      <c r="L48" s="269">
        <f t="shared" si="18"/>
        <v>0</v>
      </c>
      <c r="M48" s="269">
        <f t="shared" si="18"/>
        <v>0</v>
      </c>
      <c r="N48" s="269">
        <f t="shared" si="18"/>
        <v>0</v>
      </c>
      <c r="O48" s="266">
        <f>N48+M48+L48+K48+J48+I48+H48+G48+F48+E48+D48+C48</f>
        <v>7697.1</v>
      </c>
      <c r="P48" s="236"/>
      <c r="Q48" s="237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9"/>
      <c r="AE48" s="236"/>
      <c r="AF48" s="237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9"/>
      <c r="AT48" s="236"/>
      <c r="AU48" s="237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9"/>
      <c r="BI48" s="236"/>
      <c r="BJ48" s="237"/>
      <c r="BK48" s="238"/>
      <c r="BL48" s="238"/>
      <c r="BM48" s="238"/>
      <c r="BN48" s="238"/>
      <c r="BO48" s="238"/>
      <c r="BP48" s="238"/>
      <c r="BQ48" s="238"/>
      <c r="BR48" s="238"/>
      <c r="BS48" s="238"/>
      <c r="BT48" s="238"/>
      <c r="BU48" s="238"/>
      <c r="BV48" s="238"/>
      <c r="BW48" s="239"/>
      <c r="BX48" s="236"/>
      <c r="BY48" s="237"/>
      <c r="BZ48" s="238"/>
      <c r="CA48" s="238"/>
      <c r="CB48" s="238"/>
      <c r="CC48" s="238"/>
      <c r="CD48" s="238"/>
      <c r="CE48" s="238"/>
      <c r="CF48" s="238"/>
      <c r="CG48" s="238"/>
      <c r="CH48" s="238"/>
      <c r="CI48" s="238"/>
      <c r="CJ48" s="238"/>
      <c r="CK48" s="238"/>
      <c r="CL48" s="239"/>
      <c r="CM48" s="236"/>
      <c r="CN48" s="237"/>
      <c r="CO48" s="238"/>
      <c r="CP48" s="238"/>
      <c r="CQ48" s="238"/>
      <c r="CR48" s="238"/>
      <c r="CS48" s="238"/>
      <c r="CT48" s="238"/>
      <c r="CU48" s="238"/>
      <c r="CV48" s="238"/>
      <c r="CW48" s="238"/>
      <c r="CX48" s="238"/>
      <c r="CY48" s="238"/>
      <c r="CZ48" s="238"/>
      <c r="DA48" s="239"/>
      <c r="DB48" s="236"/>
      <c r="DC48" s="237"/>
      <c r="DD48" s="238"/>
      <c r="DE48" s="238"/>
      <c r="DF48" s="238"/>
      <c r="DG48" s="238"/>
      <c r="DH48" s="238"/>
      <c r="DI48" s="238"/>
      <c r="DJ48" s="238"/>
      <c r="DK48" s="238"/>
      <c r="DL48" s="238"/>
      <c r="DM48" s="238"/>
      <c r="DN48" s="238"/>
      <c r="DO48" s="238"/>
      <c r="DP48" s="239"/>
      <c r="DQ48" s="236"/>
      <c r="DR48" s="237"/>
      <c r="DS48" s="238"/>
      <c r="DT48" s="238"/>
      <c r="DU48" s="238"/>
      <c r="DV48" s="238"/>
      <c r="DW48" s="238"/>
      <c r="DX48" s="238"/>
      <c r="DY48" s="238"/>
      <c r="DZ48" s="238"/>
      <c r="EA48" s="238"/>
      <c r="EB48" s="238"/>
      <c r="EC48" s="238"/>
      <c r="ED48" s="238"/>
      <c r="EE48" s="239"/>
      <c r="EF48" s="236"/>
      <c r="EG48" s="237"/>
      <c r="EH48" s="238"/>
      <c r="EI48" s="238"/>
      <c r="EJ48" s="238"/>
      <c r="EK48" s="238"/>
      <c r="EL48" s="238"/>
      <c r="EM48" s="238"/>
      <c r="EN48" s="238"/>
      <c r="EO48" s="238"/>
      <c r="EP48" s="238"/>
      <c r="EQ48" s="238"/>
      <c r="ER48" s="238"/>
      <c r="ES48" s="238"/>
      <c r="ET48" s="239"/>
      <c r="EU48" s="236"/>
      <c r="EV48" s="237"/>
      <c r="EW48" s="238"/>
      <c r="EX48" s="238"/>
      <c r="EY48" s="238"/>
      <c r="EZ48" s="238"/>
      <c r="FA48" s="238"/>
      <c r="FB48" s="238"/>
      <c r="FC48" s="238"/>
      <c r="FD48" s="238"/>
      <c r="FE48" s="238"/>
      <c r="FF48" s="238"/>
      <c r="FG48" s="238"/>
      <c r="FH48" s="238"/>
      <c r="FI48" s="239"/>
      <c r="FJ48" s="236"/>
      <c r="FK48" s="237"/>
      <c r="FL48" s="238"/>
      <c r="FM48" s="238"/>
      <c r="FN48" s="238"/>
      <c r="FO48" s="238"/>
      <c r="FP48" s="238"/>
      <c r="FQ48" s="238"/>
      <c r="FR48" s="238"/>
      <c r="FS48" s="238"/>
      <c r="FT48" s="238"/>
      <c r="FU48" s="238"/>
      <c r="FV48" s="238"/>
      <c r="FW48" s="238"/>
      <c r="FX48" s="239"/>
      <c r="FY48" s="236"/>
      <c r="FZ48" s="237"/>
      <c r="GA48" s="238"/>
      <c r="GB48" s="238"/>
      <c r="GC48" s="238"/>
      <c r="GD48" s="238"/>
      <c r="GE48" s="238"/>
      <c r="GF48" s="238"/>
      <c r="GG48" s="238"/>
      <c r="GH48" s="238"/>
      <c r="GI48" s="238"/>
      <c r="GJ48" s="238"/>
      <c r="GK48" s="238"/>
      <c r="GL48" s="238"/>
      <c r="GM48" s="239"/>
      <c r="GN48" s="236"/>
      <c r="GO48" s="237"/>
      <c r="GP48" s="238"/>
      <c r="GQ48" s="238"/>
      <c r="GR48" s="238"/>
      <c r="GS48" s="238"/>
      <c r="GT48" s="238"/>
      <c r="GU48" s="238"/>
      <c r="GV48" s="238"/>
      <c r="GW48" s="238"/>
      <c r="GX48" s="238"/>
      <c r="GY48" s="238"/>
      <c r="GZ48" s="238"/>
      <c r="HA48" s="238"/>
      <c r="HB48" s="239"/>
      <c r="HC48" s="236"/>
      <c r="HD48" s="237"/>
      <c r="HE48" s="238"/>
      <c r="HF48" s="238"/>
      <c r="HG48" s="238"/>
      <c r="HH48" s="238"/>
      <c r="HI48" s="238"/>
      <c r="HJ48" s="238"/>
      <c r="HK48" s="238"/>
      <c r="HL48" s="238"/>
      <c r="HM48" s="238"/>
      <c r="HN48" s="238"/>
      <c r="HO48" s="238"/>
      <c r="HP48" s="238"/>
      <c r="HQ48" s="239"/>
      <c r="HR48" s="236"/>
      <c r="HS48" s="237"/>
      <c r="HT48" s="238"/>
      <c r="HU48" s="238"/>
      <c r="HV48" s="238"/>
      <c r="HW48" s="238"/>
      <c r="HX48" s="238"/>
      <c r="HY48" s="238"/>
      <c r="HZ48" s="238"/>
      <c r="IA48" s="238"/>
      <c r="IB48" s="238"/>
      <c r="IC48" s="238"/>
      <c r="ID48" s="238"/>
      <c r="IE48" s="238"/>
      <c r="IF48" s="239"/>
      <c r="IG48" s="236"/>
      <c r="IH48" s="237"/>
      <c r="II48" s="238"/>
      <c r="IJ48" s="238"/>
      <c r="IK48" s="238"/>
      <c r="IL48" s="238"/>
      <c r="IM48" s="238"/>
      <c r="IN48" s="238"/>
      <c r="IO48" s="238"/>
      <c r="IP48" s="238"/>
      <c r="IQ48" s="238"/>
      <c r="IR48" s="238"/>
      <c r="IS48" s="238"/>
      <c r="IT48" s="238"/>
      <c r="IU48" s="239"/>
      <c r="IV48" s="236"/>
    </row>
    <row r="49" spans="1:256" s="98" customFormat="1" ht="18" customHeight="1" x14ac:dyDescent="0.25">
      <c r="A49" s="415" t="s">
        <v>191</v>
      </c>
      <c r="B49" s="203">
        <v>30000</v>
      </c>
      <c r="C49" s="204">
        <v>1560.4</v>
      </c>
      <c r="D49" s="204">
        <v>2142.8200000000002</v>
      </c>
      <c r="E49" s="204">
        <v>1909.33</v>
      </c>
      <c r="F49" s="204">
        <v>1454.49</v>
      </c>
      <c r="G49" s="416"/>
      <c r="H49" s="416"/>
      <c r="I49" s="204"/>
      <c r="J49" s="204"/>
      <c r="K49" s="204"/>
      <c r="L49" s="416"/>
      <c r="M49" s="204"/>
      <c r="N49" s="416"/>
      <c r="O49" s="255">
        <f t="shared" si="5"/>
        <v>7067.0399999999991</v>
      </c>
    </row>
    <row r="50" spans="1:256" s="98" customFormat="1" ht="18" customHeight="1" x14ac:dyDescent="0.25">
      <c r="A50" s="415" t="s">
        <v>191</v>
      </c>
      <c r="B50" s="203">
        <v>2000</v>
      </c>
      <c r="C50" s="204">
        <v>205.59</v>
      </c>
      <c r="D50" s="204">
        <v>157.49</v>
      </c>
      <c r="E50" s="204">
        <v>178.34</v>
      </c>
      <c r="F50" s="204">
        <v>88.64</v>
      </c>
      <c r="G50" s="416"/>
      <c r="H50" s="416"/>
      <c r="I50" s="204"/>
      <c r="J50" s="204"/>
      <c r="K50" s="204"/>
      <c r="L50" s="416"/>
      <c r="M50" s="204"/>
      <c r="N50" s="416"/>
      <c r="O50" s="255">
        <f t="shared" si="5"/>
        <v>630.06000000000006</v>
      </c>
    </row>
    <row r="51" spans="1:256" s="98" customFormat="1" ht="18" customHeight="1" x14ac:dyDescent="0.3">
      <c r="A51" s="422" t="s">
        <v>192</v>
      </c>
      <c r="B51" s="417">
        <f>B52+B53</f>
        <v>400</v>
      </c>
      <c r="C51" s="417">
        <f>C53+C52</f>
        <v>17</v>
      </c>
      <c r="D51" s="418">
        <f>D52+D53</f>
        <v>28.39</v>
      </c>
      <c r="E51" s="418">
        <f>E52+E53</f>
        <v>8.67</v>
      </c>
      <c r="F51" s="418">
        <f t="shared" ref="F51:N51" si="19">F52+F53</f>
        <v>18.36</v>
      </c>
      <c r="G51" s="418">
        <f t="shared" si="19"/>
        <v>0</v>
      </c>
      <c r="H51" s="418">
        <f t="shared" si="19"/>
        <v>0</v>
      </c>
      <c r="I51" s="418">
        <f t="shared" si="19"/>
        <v>0</v>
      </c>
      <c r="J51" s="418">
        <f t="shared" si="19"/>
        <v>0</v>
      </c>
      <c r="K51" s="418">
        <f>K52+K53</f>
        <v>0</v>
      </c>
      <c r="L51" s="418">
        <f t="shared" si="19"/>
        <v>0</v>
      </c>
      <c r="M51" s="418">
        <f t="shared" si="19"/>
        <v>0</v>
      </c>
      <c r="N51" s="418">
        <f t="shared" si="19"/>
        <v>0</v>
      </c>
      <c r="O51" s="266">
        <f>N51+M51+L51+K51+J51+I51+H51+G51+F51+E51+D51+C51</f>
        <v>72.42</v>
      </c>
      <c r="P51" s="236"/>
      <c r="Q51" s="237"/>
      <c r="R51" s="238"/>
      <c r="S51" s="238"/>
      <c r="T51" s="238"/>
      <c r="U51" s="238"/>
      <c r="V51" s="238"/>
      <c r="W51" s="238"/>
      <c r="X51" s="238"/>
      <c r="Y51" s="238"/>
      <c r="Z51" s="238"/>
      <c r="AA51" s="238"/>
      <c r="AB51" s="238"/>
      <c r="AC51" s="238"/>
      <c r="AD51" s="239"/>
      <c r="AE51" s="236"/>
      <c r="AF51" s="237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9"/>
      <c r="AT51" s="236"/>
      <c r="AU51" s="237"/>
      <c r="AV51" s="238"/>
      <c r="AW51" s="238"/>
      <c r="AX51" s="238"/>
      <c r="AY51" s="238"/>
      <c r="AZ51" s="238"/>
      <c r="BA51" s="238"/>
      <c r="BB51" s="238"/>
      <c r="BC51" s="238"/>
      <c r="BD51" s="238"/>
      <c r="BE51" s="238"/>
      <c r="BF51" s="238"/>
      <c r="BG51" s="238"/>
      <c r="BH51" s="239"/>
      <c r="BI51" s="236"/>
      <c r="BJ51" s="237"/>
      <c r="BK51" s="238"/>
      <c r="BL51" s="238"/>
      <c r="BM51" s="238"/>
      <c r="BN51" s="238"/>
      <c r="BO51" s="238"/>
      <c r="BP51" s="238"/>
      <c r="BQ51" s="238"/>
      <c r="BR51" s="238"/>
      <c r="BS51" s="238"/>
      <c r="BT51" s="238"/>
      <c r="BU51" s="238"/>
      <c r="BV51" s="238"/>
      <c r="BW51" s="239"/>
      <c r="BX51" s="236"/>
      <c r="BY51" s="237"/>
      <c r="BZ51" s="238"/>
      <c r="CA51" s="238"/>
      <c r="CB51" s="238"/>
      <c r="CC51" s="238"/>
      <c r="CD51" s="238"/>
      <c r="CE51" s="238"/>
      <c r="CF51" s="238"/>
      <c r="CG51" s="238"/>
      <c r="CH51" s="238"/>
      <c r="CI51" s="238"/>
      <c r="CJ51" s="238"/>
      <c r="CK51" s="238"/>
      <c r="CL51" s="239"/>
      <c r="CM51" s="236"/>
      <c r="CN51" s="237"/>
      <c r="CO51" s="238"/>
      <c r="CP51" s="238"/>
      <c r="CQ51" s="238"/>
      <c r="CR51" s="238"/>
      <c r="CS51" s="238"/>
      <c r="CT51" s="238"/>
      <c r="CU51" s="238"/>
      <c r="CV51" s="238"/>
      <c r="CW51" s="238"/>
      <c r="CX51" s="238"/>
      <c r="CY51" s="238"/>
      <c r="CZ51" s="238"/>
      <c r="DA51" s="239"/>
      <c r="DB51" s="236"/>
      <c r="DC51" s="237"/>
      <c r="DD51" s="238"/>
      <c r="DE51" s="238"/>
      <c r="DF51" s="238"/>
      <c r="DG51" s="238"/>
      <c r="DH51" s="238"/>
      <c r="DI51" s="238"/>
      <c r="DJ51" s="238"/>
      <c r="DK51" s="238"/>
      <c r="DL51" s="238"/>
      <c r="DM51" s="238"/>
      <c r="DN51" s="238"/>
      <c r="DO51" s="238"/>
      <c r="DP51" s="239"/>
      <c r="DQ51" s="236"/>
      <c r="DR51" s="237"/>
      <c r="DS51" s="238"/>
      <c r="DT51" s="238"/>
      <c r="DU51" s="238"/>
      <c r="DV51" s="238"/>
      <c r="DW51" s="238"/>
      <c r="DX51" s="238"/>
      <c r="DY51" s="238"/>
      <c r="DZ51" s="238"/>
      <c r="EA51" s="238"/>
      <c r="EB51" s="238"/>
      <c r="EC51" s="238"/>
      <c r="ED51" s="238"/>
      <c r="EE51" s="239"/>
      <c r="EF51" s="236"/>
      <c r="EG51" s="237"/>
      <c r="EH51" s="238"/>
      <c r="EI51" s="238"/>
      <c r="EJ51" s="238"/>
      <c r="EK51" s="238"/>
      <c r="EL51" s="238"/>
      <c r="EM51" s="238"/>
      <c r="EN51" s="238"/>
      <c r="EO51" s="238"/>
      <c r="EP51" s="238"/>
      <c r="EQ51" s="238"/>
      <c r="ER51" s="238"/>
      <c r="ES51" s="238"/>
      <c r="ET51" s="239"/>
      <c r="EU51" s="236"/>
      <c r="EV51" s="237"/>
      <c r="EW51" s="238"/>
      <c r="EX51" s="238"/>
      <c r="EY51" s="238"/>
      <c r="EZ51" s="238"/>
      <c r="FA51" s="238"/>
      <c r="FB51" s="238"/>
      <c r="FC51" s="238"/>
      <c r="FD51" s="238"/>
      <c r="FE51" s="238"/>
      <c r="FF51" s="238"/>
      <c r="FG51" s="238"/>
      <c r="FH51" s="238"/>
      <c r="FI51" s="239"/>
      <c r="FJ51" s="236"/>
      <c r="FK51" s="237"/>
      <c r="FL51" s="238"/>
      <c r="FM51" s="238"/>
      <c r="FN51" s="238"/>
      <c r="FO51" s="238"/>
      <c r="FP51" s="238"/>
      <c r="FQ51" s="238"/>
      <c r="FR51" s="238"/>
      <c r="FS51" s="238"/>
      <c r="FT51" s="238"/>
      <c r="FU51" s="238"/>
      <c r="FV51" s="238"/>
      <c r="FW51" s="238"/>
      <c r="FX51" s="239"/>
      <c r="FY51" s="236"/>
      <c r="FZ51" s="237"/>
      <c r="GA51" s="238"/>
      <c r="GB51" s="238"/>
      <c r="GC51" s="238"/>
      <c r="GD51" s="238"/>
      <c r="GE51" s="238"/>
      <c r="GF51" s="238"/>
      <c r="GG51" s="238"/>
      <c r="GH51" s="238"/>
      <c r="GI51" s="238"/>
      <c r="GJ51" s="238"/>
      <c r="GK51" s="238"/>
      <c r="GL51" s="238"/>
      <c r="GM51" s="239"/>
      <c r="GN51" s="236"/>
      <c r="GO51" s="237"/>
      <c r="GP51" s="238"/>
      <c r="GQ51" s="238"/>
      <c r="GR51" s="238"/>
      <c r="GS51" s="238"/>
      <c r="GT51" s="238"/>
      <c r="GU51" s="238"/>
      <c r="GV51" s="238"/>
      <c r="GW51" s="238"/>
      <c r="GX51" s="238"/>
      <c r="GY51" s="238"/>
      <c r="GZ51" s="238"/>
      <c r="HA51" s="238"/>
      <c r="HB51" s="239"/>
      <c r="HC51" s="236"/>
      <c r="HD51" s="237"/>
      <c r="HE51" s="238"/>
      <c r="HF51" s="238"/>
      <c r="HG51" s="238"/>
      <c r="HH51" s="238"/>
      <c r="HI51" s="238"/>
      <c r="HJ51" s="238"/>
      <c r="HK51" s="238"/>
      <c r="HL51" s="238"/>
      <c r="HM51" s="238"/>
      <c r="HN51" s="238"/>
      <c r="HO51" s="238"/>
      <c r="HP51" s="238"/>
      <c r="HQ51" s="239"/>
      <c r="HR51" s="236"/>
      <c r="HS51" s="237"/>
      <c r="HT51" s="238"/>
      <c r="HU51" s="238"/>
      <c r="HV51" s="238"/>
      <c r="HW51" s="238"/>
      <c r="HX51" s="238"/>
      <c r="HY51" s="238"/>
      <c r="HZ51" s="238"/>
      <c r="IA51" s="238"/>
      <c r="IB51" s="238"/>
      <c r="IC51" s="238"/>
      <c r="ID51" s="238"/>
      <c r="IE51" s="238"/>
      <c r="IF51" s="239"/>
      <c r="IG51" s="236"/>
      <c r="IH51" s="237"/>
      <c r="II51" s="238"/>
      <c r="IJ51" s="238"/>
      <c r="IK51" s="238"/>
      <c r="IL51" s="238"/>
      <c r="IM51" s="238"/>
      <c r="IN51" s="238"/>
      <c r="IO51" s="238"/>
      <c r="IP51" s="238"/>
      <c r="IQ51" s="238"/>
      <c r="IR51" s="238"/>
      <c r="IS51" s="238"/>
      <c r="IT51" s="238"/>
      <c r="IU51" s="239"/>
      <c r="IV51" s="236"/>
    </row>
    <row r="52" spans="1:256" s="98" customFormat="1" ht="18" customHeight="1" x14ac:dyDescent="0.25">
      <c r="A52" s="415" t="s">
        <v>193</v>
      </c>
      <c r="B52" s="203">
        <v>300</v>
      </c>
      <c r="C52" s="204">
        <v>17</v>
      </c>
      <c r="D52" s="204">
        <v>20.18</v>
      </c>
      <c r="E52" s="204">
        <v>8.67</v>
      </c>
      <c r="F52" s="204">
        <v>12.91</v>
      </c>
      <c r="G52" s="416"/>
      <c r="H52" s="416"/>
      <c r="I52" s="204"/>
      <c r="J52" s="204"/>
      <c r="K52" s="416"/>
      <c r="L52" s="416"/>
      <c r="M52" s="204"/>
      <c r="N52" s="416"/>
      <c r="O52" s="255">
        <f t="shared" si="5"/>
        <v>58.76</v>
      </c>
    </row>
    <row r="53" spans="1:256" s="98" customFormat="1" ht="18" customHeight="1" x14ac:dyDescent="0.25">
      <c r="A53" s="415" t="s">
        <v>194</v>
      </c>
      <c r="B53" s="203">
        <v>100</v>
      </c>
      <c r="C53" s="204">
        <v>0</v>
      </c>
      <c r="D53" s="204">
        <v>8.2100000000000009</v>
      </c>
      <c r="E53" s="204"/>
      <c r="F53" s="204">
        <v>5.45</v>
      </c>
      <c r="G53" s="416"/>
      <c r="H53" s="416"/>
      <c r="I53" s="204"/>
      <c r="J53" s="204"/>
      <c r="K53" s="416"/>
      <c r="L53" s="416"/>
      <c r="M53" s="204"/>
      <c r="N53" s="416"/>
      <c r="O53" s="255">
        <f t="shared" si="5"/>
        <v>13.66</v>
      </c>
    </row>
    <row r="54" spans="1:256" s="98" customFormat="1" ht="18" customHeight="1" thickBot="1" x14ac:dyDescent="0.35">
      <c r="A54" s="419" t="s">
        <v>195</v>
      </c>
      <c r="B54" s="420">
        <f>B6+B7+B8+B9+B10+B12+B13+B14+B15+B17+B18+B19+B20+B21+B23+B24+B25+B26+B27+B30+B31+B33+B35+B37+B39+B41+B43+B44+B46+B47+B49+B50+B52+B53</f>
        <v>6260000</v>
      </c>
      <c r="C54" s="421">
        <f>C5+C11+C16+C22+C29+C32+C34+C36+C38+C40+C42+C45+C48+C51</f>
        <v>1227425.54</v>
      </c>
      <c r="D54" s="421">
        <f>D5+D11+D16+D22+D29+D32+D34+D36+D38+D40+D42+D45+D48+D51</f>
        <v>1351339.68</v>
      </c>
      <c r="E54" s="421">
        <f t="shared" ref="E54:N54" si="20">E5+E11+E16+E22+E29+E32+E34+E36+E38+E40+E42+E45+E48+E51</f>
        <v>610156.17000000016</v>
      </c>
      <c r="F54" s="421">
        <f t="shared" si="20"/>
        <v>550104.25</v>
      </c>
      <c r="G54" s="421">
        <f t="shared" si="20"/>
        <v>0</v>
      </c>
      <c r="H54" s="421">
        <f t="shared" si="20"/>
        <v>0</v>
      </c>
      <c r="I54" s="421">
        <f t="shared" si="20"/>
        <v>0</v>
      </c>
      <c r="J54" s="421">
        <f t="shared" si="20"/>
        <v>0</v>
      </c>
      <c r="K54" s="421">
        <f t="shared" si="20"/>
        <v>0</v>
      </c>
      <c r="L54" s="421">
        <f t="shared" si="20"/>
        <v>0</v>
      </c>
      <c r="M54" s="421">
        <f t="shared" si="20"/>
        <v>0</v>
      </c>
      <c r="N54" s="421">
        <f t="shared" si="20"/>
        <v>0</v>
      </c>
      <c r="O54" s="275">
        <f>B54-C54-D54-E54-F54-G54-H54-I54-J54-K54-L54-M54-N54</f>
        <v>2520974.3600000003</v>
      </c>
    </row>
    <row r="55" spans="1:256" s="98" customFormat="1" ht="15" x14ac:dyDescent="0.25">
      <c r="C55" s="401"/>
      <c r="E55" s="410"/>
    </row>
    <row r="56" spans="1:256" s="98" customFormat="1" ht="15" x14ac:dyDescent="0.25">
      <c r="C56" s="240"/>
      <c r="E56" s="240"/>
      <c r="F56" s="240"/>
      <c r="J56" s="240"/>
      <c r="K56" s="240"/>
      <c r="N56" s="240"/>
      <c r="O56" s="240"/>
    </row>
    <row r="57" spans="1:256" x14ac:dyDescent="0.25">
      <c r="B57" s="433"/>
      <c r="C57" s="231"/>
      <c r="I57" s="433"/>
    </row>
    <row r="60" spans="1:256" ht="12.75" customHeight="1" x14ac:dyDescent="0.25"/>
    <row r="61" spans="1:256" ht="12.75" customHeight="1" x14ac:dyDescent="0.25"/>
  </sheetData>
  <mergeCells count="17">
    <mergeCell ref="I3:I4"/>
    <mergeCell ref="J3:J4"/>
    <mergeCell ref="K3:K4"/>
    <mergeCell ref="L3:L4"/>
    <mergeCell ref="M3:M4"/>
    <mergeCell ref="A1:O1"/>
    <mergeCell ref="A2:O2"/>
    <mergeCell ref="A3:A4"/>
    <mergeCell ref="B3:B4"/>
    <mergeCell ref="C3:C4"/>
    <mergeCell ref="D3:D4"/>
    <mergeCell ref="E3:E4"/>
    <mergeCell ref="F3:F4"/>
    <mergeCell ref="G3:G4"/>
    <mergeCell ref="N3:N4"/>
    <mergeCell ref="O3:O4"/>
    <mergeCell ref="H3:H4"/>
  </mergeCells>
  <printOptions horizontalCentered="1" verticalCentered="1"/>
  <pageMargins left="0.51181102362204722" right="0.51181102362204722" top="0.39370078740157483" bottom="0.78740157480314965" header="0.31496062992125984" footer="0.31496062992125984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0E84-A388-4EAC-8862-DD6319140E92}">
  <dimension ref="A1:D15"/>
  <sheetViews>
    <sheetView workbookViewId="0">
      <selection activeCell="D16" sqref="A1:D16"/>
    </sheetView>
  </sheetViews>
  <sheetFormatPr defaultRowHeight="13.2" x14ac:dyDescent="0.25"/>
  <cols>
    <col min="1" max="1" width="22.109375" bestFit="1" customWidth="1"/>
    <col min="2" max="2" width="26.44140625" customWidth="1"/>
    <col min="3" max="3" width="30.5546875" customWidth="1"/>
    <col min="4" max="4" width="13.33203125" bestFit="1" customWidth="1"/>
  </cols>
  <sheetData>
    <row r="1" spans="1:4" ht="13.8" thickBot="1" x14ac:dyDescent="0.3">
      <c r="B1" s="523" t="s">
        <v>322</v>
      </c>
    </row>
    <row r="2" spans="1:4" ht="13.8" thickBot="1" x14ac:dyDescent="0.3">
      <c r="A2" s="524" t="s">
        <v>310</v>
      </c>
      <c r="B2" s="491">
        <v>8994682.5800000001</v>
      </c>
    </row>
    <row r="3" spans="1:4" ht="13.8" thickBot="1" x14ac:dyDescent="0.3">
      <c r="A3" s="525" t="s">
        <v>317</v>
      </c>
      <c r="B3" s="526">
        <v>7425511.3700000001</v>
      </c>
    </row>
    <row r="4" spans="1:4" ht="13.8" thickBot="1" x14ac:dyDescent="0.3">
      <c r="A4" s="525" t="s">
        <v>312</v>
      </c>
      <c r="B4" s="526">
        <v>10236496.1</v>
      </c>
    </row>
    <row r="5" spans="1:4" ht="13.8" thickBot="1" x14ac:dyDescent="0.3">
      <c r="A5" s="525" t="s">
        <v>314</v>
      </c>
      <c r="B5" s="526">
        <v>9607214.379999999</v>
      </c>
    </row>
    <row r="6" spans="1:4" ht="13.8" thickBot="1" x14ac:dyDescent="0.3"/>
    <row r="7" spans="1:4" ht="13.8" thickBot="1" x14ac:dyDescent="0.3">
      <c r="A7" s="524"/>
      <c r="B7" s="528" t="s">
        <v>323</v>
      </c>
      <c r="C7" s="528" t="s">
        <v>318</v>
      </c>
      <c r="D7" s="528" t="s">
        <v>319</v>
      </c>
    </row>
    <row r="8" spans="1:4" ht="13.8" thickBot="1" x14ac:dyDescent="0.3">
      <c r="A8" s="525" t="s">
        <v>225</v>
      </c>
      <c r="B8" s="527">
        <v>9530000</v>
      </c>
      <c r="C8" s="527">
        <v>9530000</v>
      </c>
      <c r="D8" s="529">
        <v>0.94382818258132217</v>
      </c>
    </row>
    <row r="9" spans="1:4" ht="13.8" thickBot="1" x14ac:dyDescent="0.3">
      <c r="A9" s="524" t="s">
        <v>226</v>
      </c>
      <c r="B9" s="530">
        <v>8994682.5800000001</v>
      </c>
      <c r="C9" s="530">
        <v>7425511.3700000001</v>
      </c>
      <c r="D9" s="529">
        <v>0.82554457080129673</v>
      </c>
    </row>
    <row r="10" spans="1:4" ht="13.8" thickBot="1" x14ac:dyDescent="0.3">
      <c r="A10" s="377" t="s">
        <v>227</v>
      </c>
      <c r="B10" s="583">
        <v>1569171.21</v>
      </c>
      <c r="C10" s="584"/>
      <c r="D10" s="585"/>
    </row>
    <row r="12" spans="1:4" ht="13.8" thickBot="1" x14ac:dyDescent="0.3"/>
    <row r="13" spans="1:4" ht="13.8" thickBot="1" x14ac:dyDescent="0.3">
      <c r="A13" s="28"/>
      <c r="B13" s="528" t="s">
        <v>321</v>
      </c>
      <c r="C13" s="528" t="s">
        <v>249</v>
      </c>
    </row>
    <row r="14" spans="1:4" ht="13.8" thickBot="1" x14ac:dyDescent="0.3">
      <c r="A14" s="527" t="s">
        <v>320</v>
      </c>
      <c r="B14" s="527">
        <v>628634.54000000097</v>
      </c>
      <c r="C14" s="531">
        <v>7.5141158285770615E-2</v>
      </c>
    </row>
    <row r="15" spans="1:4" ht="13.8" thickBot="1" x14ac:dyDescent="0.3">
      <c r="A15" s="524" t="s">
        <v>320</v>
      </c>
      <c r="B15" s="527">
        <v>921290.26000000164</v>
      </c>
      <c r="C15" s="531">
        <v>0.14164497860989875</v>
      </c>
    </row>
  </sheetData>
  <mergeCells count="1">
    <mergeCell ref="B10:D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showGridLines="0" showRowColHeaders="0" topLeftCell="A4" zoomScale="120" zoomScaleNormal="120" workbookViewId="0">
      <selection activeCell="C34" sqref="C34"/>
    </sheetView>
  </sheetViews>
  <sheetFormatPr defaultColWidth="11.44140625" defaultRowHeight="13.2" x14ac:dyDescent="0.25"/>
  <cols>
    <col min="1" max="1" width="8.44140625" bestFit="1" customWidth="1"/>
    <col min="2" max="2" width="16.88671875" customWidth="1"/>
    <col min="3" max="3" width="17.6640625" bestFit="1" customWidth="1"/>
    <col min="4" max="4" width="8.109375" customWidth="1"/>
    <col min="5" max="5" width="16.44140625" customWidth="1"/>
    <col min="6" max="6" width="8" customWidth="1"/>
    <col min="7" max="7" width="16" customWidth="1"/>
    <col min="8" max="8" width="9.33203125" customWidth="1"/>
    <col min="9" max="9" width="17.109375" bestFit="1" customWidth="1"/>
    <col min="10" max="10" width="13.33203125" bestFit="1" customWidth="1"/>
    <col min="11" max="11" width="13.6640625" bestFit="1" customWidth="1"/>
    <col min="12" max="12" width="9.109375"/>
    <col min="13" max="13" width="13" bestFit="1" customWidth="1"/>
    <col min="14" max="14" width="14.33203125" bestFit="1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s="98" customFormat="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576" t="s">
        <v>198</v>
      </c>
      <c r="B4" s="576"/>
      <c r="C4" s="576"/>
      <c r="D4" s="576"/>
      <c r="E4" s="576"/>
      <c r="F4" s="576"/>
      <c r="G4" s="576"/>
      <c r="H4" s="576"/>
      <c r="I4" s="576"/>
      <c r="J4" s="576"/>
      <c r="K4" s="576"/>
    </row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ht="26.4" customHeight="1" x14ac:dyDescent="0.25">
      <c r="A7" s="46"/>
      <c r="B7" s="594" t="s">
        <v>311</v>
      </c>
      <c r="C7" s="594" t="s">
        <v>310</v>
      </c>
      <c r="D7" s="52"/>
      <c r="E7" s="594" t="s">
        <v>317</v>
      </c>
      <c r="F7" s="52"/>
      <c r="G7" s="522" t="s">
        <v>202</v>
      </c>
      <c r="H7" s="52"/>
      <c r="I7" s="594" t="s">
        <v>312</v>
      </c>
      <c r="J7" s="597" t="s">
        <v>313</v>
      </c>
      <c r="K7" s="600" t="s">
        <v>314</v>
      </c>
    </row>
    <row r="8" spans="1:11" x14ac:dyDescent="0.25">
      <c r="A8" s="44" t="s">
        <v>204</v>
      </c>
      <c r="B8" s="595"/>
      <c r="C8" s="595"/>
      <c r="D8" s="521" t="s">
        <v>12</v>
      </c>
      <c r="E8" s="595"/>
      <c r="F8" s="53" t="s">
        <v>12</v>
      </c>
      <c r="G8" s="15" t="s">
        <v>207</v>
      </c>
      <c r="H8" s="53" t="s">
        <v>12</v>
      </c>
      <c r="I8" s="595"/>
      <c r="J8" s="598"/>
      <c r="K8" s="601"/>
    </row>
    <row r="9" spans="1:11" ht="13.8" thickBot="1" x14ac:dyDescent="0.3">
      <c r="A9" s="47"/>
      <c r="B9" s="596"/>
      <c r="C9" s="596"/>
      <c r="D9" s="54" t="s">
        <v>211</v>
      </c>
      <c r="E9" s="596"/>
      <c r="F9" s="54" t="s">
        <v>211</v>
      </c>
      <c r="G9" s="89">
        <v>2024</v>
      </c>
      <c r="H9" s="54"/>
      <c r="I9" s="596"/>
      <c r="J9" s="599"/>
      <c r="K9" s="602"/>
    </row>
    <row r="10" spans="1:11" x14ac:dyDescent="0.25">
      <c r="A10" s="48" t="s">
        <v>212</v>
      </c>
      <c r="B10" s="278">
        <v>11575000</v>
      </c>
      <c r="C10" s="466">
        <v>2013121.81</v>
      </c>
      <c r="D10" s="280">
        <f>C10/9530000</f>
        <v>0.21124048373557189</v>
      </c>
      <c r="E10" s="279">
        <v>918804.85</v>
      </c>
      <c r="F10" s="280">
        <f>E10/B10</f>
        <v>7.9378388768898481E-2</v>
      </c>
      <c r="G10" s="276">
        <f>C10-E10</f>
        <v>1094316.96</v>
      </c>
      <c r="H10" s="281">
        <f>G10/C10</f>
        <v>0.54359202436935494</v>
      </c>
      <c r="I10" s="278">
        <v>9701358.5299999993</v>
      </c>
      <c r="J10" s="276">
        <v>547496.65</v>
      </c>
      <c r="K10" s="282">
        <f t="shared" ref="K10:K20" si="0">I10-J10</f>
        <v>9153861.879999999</v>
      </c>
    </row>
    <row r="11" spans="1:11" x14ac:dyDescent="0.25">
      <c r="A11" s="48" t="s">
        <v>213</v>
      </c>
      <c r="B11" s="278">
        <v>11575000</v>
      </c>
      <c r="C11" s="434">
        <v>1534663.4</v>
      </c>
      <c r="D11" s="280">
        <f t="shared" ref="D11:D20" si="1">C11/9530000</f>
        <v>0.16103498426023083</v>
      </c>
      <c r="E11" s="276">
        <v>806666.92</v>
      </c>
      <c r="F11" s="280">
        <f t="shared" ref="F11:F12" si="2">E11/B11</f>
        <v>6.9690446652267826E-2</v>
      </c>
      <c r="G11" s="276">
        <f t="shared" ref="G11:G20" si="3">C11-E11</f>
        <v>727996.47999999986</v>
      </c>
      <c r="H11" s="281">
        <f t="shared" ref="H11:H20" si="4">G11/C11</f>
        <v>0.47436882902139971</v>
      </c>
      <c r="I11" s="283">
        <v>10430906.98</v>
      </c>
      <c r="J11" s="276">
        <v>556751.6</v>
      </c>
      <c r="K11" s="282">
        <f t="shared" si="0"/>
        <v>9874155.3800000008</v>
      </c>
    </row>
    <row r="12" spans="1:11" x14ac:dyDescent="0.25">
      <c r="A12" s="48" t="s">
        <v>214</v>
      </c>
      <c r="B12" s="278">
        <v>11575000</v>
      </c>
      <c r="C12" s="434">
        <v>886837.2</v>
      </c>
      <c r="D12" s="280">
        <f t="shared" si="1"/>
        <v>9.3057418677859383E-2</v>
      </c>
      <c r="E12" s="276">
        <v>827534.5</v>
      </c>
      <c r="F12" s="280">
        <f t="shared" si="2"/>
        <v>7.1493261339092867E-2</v>
      </c>
      <c r="G12" s="276">
        <f t="shared" si="3"/>
        <v>59302.699999999953</v>
      </c>
      <c r="H12" s="281">
        <f t="shared" si="4"/>
        <v>6.6869883220956397E-2</v>
      </c>
      <c r="I12" s="490">
        <v>10582327.289999999</v>
      </c>
      <c r="J12" s="276">
        <v>690012.07</v>
      </c>
      <c r="K12" s="282">
        <f t="shared" si="0"/>
        <v>9892315.2199999988</v>
      </c>
    </row>
    <row r="13" spans="1:11" x14ac:dyDescent="0.25">
      <c r="A13" s="48" t="s">
        <v>215</v>
      </c>
      <c r="B13" s="278">
        <v>11575000</v>
      </c>
      <c r="C13" s="434">
        <v>829113.25</v>
      </c>
      <c r="D13" s="280">
        <f t="shared" si="1"/>
        <v>8.7000341028331582E-2</v>
      </c>
      <c r="E13" s="276">
        <v>644038.03</v>
      </c>
      <c r="F13" s="280">
        <f t="shared" ref="F13:F20" si="5">E13/B13</f>
        <v>5.5640434557235427E-2</v>
      </c>
      <c r="G13" s="276">
        <f t="shared" si="3"/>
        <v>185075.21999999997</v>
      </c>
      <c r="H13" s="281">
        <f t="shared" si="4"/>
        <v>0.22322067582444252</v>
      </c>
      <c r="I13" s="283">
        <v>10724084.35</v>
      </c>
      <c r="J13" s="276">
        <v>614876.26</v>
      </c>
      <c r="K13" s="282">
        <f t="shared" si="0"/>
        <v>10109208.09</v>
      </c>
    </row>
    <row r="14" spans="1:11" x14ac:dyDescent="0.25">
      <c r="A14" s="48" t="s">
        <v>216</v>
      </c>
      <c r="B14" s="278">
        <v>11575000</v>
      </c>
      <c r="C14" s="434">
        <v>838050.6</v>
      </c>
      <c r="D14" s="280">
        <f t="shared" si="1"/>
        <v>8.7938153200419727E-2</v>
      </c>
      <c r="E14" s="276">
        <v>621749.6</v>
      </c>
      <c r="F14" s="280">
        <f t="shared" si="5"/>
        <v>5.3714868250539956E-2</v>
      </c>
      <c r="G14" s="276">
        <f t="shared" si="3"/>
        <v>216301</v>
      </c>
      <c r="H14" s="281">
        <f t="shared" si="4"/>
        <v>0.25810016722140644</v>
      </c>
      <c r="I14" s="283">
        <v>10908453.609999999</v>
      </c>
      <c r="J14" s="276">
        <v>625772.82999999996</v>
      </c>
      <c r="K14" s="282">
        <f t="shared" si="0"/>
        <v>10282680.779999999</v>
      </c>
    </row>
    <row r="15" spans="1:11" x14ac:dyDescent="0.25">
      <c r="A15" s="48" t="s">
        <v>217</v>
      </c>
      <c r="B15" s="278">
        <v>11575000</v>
      </c>
      <c r="C15" s="434">
        <v>603408.84</v>
      </c>
      <c r="D15" s="280">
        <f t="shared" si="1"/>
        <v>6.3316772298006294E-2</v>
      </c>
      <c r="E15" s="276">
        <v>597635.89</v>
      </c>
      <c r="F15" s="280">
        <f t="shared" si="5"/>
        <v>5.1631610367170629E-2</v>
      </c>
      <c r="G15" s="276">
        <f t="shared" si="3"/>
        <v>5772.9499999999534</v>
      </c>
      <c r="H15" s="281">
        <f t="shared" si="4"/>
        <v>9.5672280836985313E-3</v>
      </c>
      <c r="I15" s="283">
        <v>10931302.449999999</v>
      </c>
      <c r="J15" s="276">
        <v>709591.2</v>
      </c>
      <c r="K15" s="282">
        <f t="shared" si="0"/>
        <v>10221711.25</v>
      </c>
    </row>
    <row r="16" spans="1:11" x14ac:dyDescent="0.25">
      <c r="A16" s="48" t="s">
        <v>218</v>
      </c>
      <c r="B16" s="278">
        <v>11575000</v>
      </c>
      <c r="C16" s="435">
        <v>610638.28</v>
      </c>
      <c r="D16" s="280">
        <f t="shared" si="1"/>
        <v>6.4075370409234E-2</v>
      </c>
      <c r="E16" s="276">
        <v>596458.84</v>
      </c>
      <c r="F16" s="423">
        <f t="shared" si="5"/>
        <v>5.1529921382289415E-2</v>
      </c>
      <c r="G16" s="285">
        <f t="shared" si="3"/>
        <v>14179.440000000061</v>
      </c>
      <c r="H16" s="424">
        <f t="shared" si="4"/>
        <v>2.3220686393915658E-2</v>
      </c>
      <c r="I16" s="283">
        <v>10935952</v>
      </c>
      <c r="J16" s="276">
        <v>720448.23</v>
      </c>
      <c r="K16" s="286">
        <f t="shared" si="0"/>
        <v>10215503.77</v>
      </c>
    </row>
    <row r="17" spans="1:14" x14ac:dyDescent="0.25">
      <c r="A17" s="48" t="s">
        <v>219</v>
      </c>
      <c r="B17" s="278">
        <v>11575000</v>
      </c>
      <c r="C17" s="435">
        <v>478634.26</v>
      </c>
      <c r="D17" s="280">
        <f t="shared" si="1"/>
        <v>5.0223951731374609E-2</v>
      </c>
      <c r="E17" s="276">
        <v>496275.54</v>
      </c>
      <c r="F17" s="423">
        <f t="shared" si="5"/>
        <v>4.2874776673866091E-2</v>
      </c>
      <c r="G17" s="285">
        <f t="shared" si="3"/>
        <v>-17641.27999999997</v>
      </c>
      <c r="H17" s="424">
        <f t="shared" si="4"/>
        <v>-3.6857537109859145E-2</v>
      </c>
      <c r="I17" s="283">
        <v>10873234.140000001</v>
      </c>
      <c r="J17" s="276">
        <v>740914.08</v>
      </c>
      <c r="K17" s="286">
        <f t="shared" si="0"/>
        <v>10132320.060000001</v>
      </c>
      <c r="M17" s="101"/>
    </row>
    <row r="18" spans="1:14" x14ac:dyDescent="0.25">
      <c r="A18" s="48" t="s">
        <v>220</v>
      </c>
      <c r="B18" s="278">
        <v>11575000</v>
      </c>
      <c r="C18" s="435">
        <v>436226.72</v>
      </c>
      <c r="D18" s="280">
        <f t="shared" si="1"/>
        <v>4.5774052465897164E-2</v>
      </c>
      <c r="E18" s="276">
        <v>583393.49</v>
      </c>
      <c r="F18" s="423">
        <f t="shared" si="5"/>
        <v>5.040116544276458E-2</v>
      </c>
      <c r="G18" s="285">
        <f t="shared" si="3"/>
        <v>-147166.77000000002</v>
      </c>
      <c r="H18" s="424">
        <f t="shared" si="4"/>
        <v>-0.33736303452479949</v>
      </c>
      <c r="I18" s="283">
        <v>10745557.25</v>
      </c>
      <c r="J18" s="276">
        <v>736028.06</v>
      </c>
      <c r="K18" s="286">
        <f t="shared" si="0"/>
        <v>10009529.189999999</v>
      </c>
    </row>
    <row r="19" spans="1:14" x14ac:dyDescent="0.25">
      <c r="A19" s="48" t="s">
        <v>221</v>
      </c>
      <c r="B19" s="278">
        <v>11575000</v>
      </c>
      <c r="C19" s="435">
        <v>437245.75</v>
      </c>
      <c r="D19" s="280">
        <f t="shared" si="1"/>
        <v>4.5880981112277022E-2</v>
      </c>
      <c r="E19" s="276">
        <v>671012.78</v>
      </c>
      <c r="F19" s="423">
        <f t="shared" si="5"/>
        <v>5.7970866522678188E-2</v>
      </c>
      <c r="G19" s="285">
        <f t="shared" si="3"/>
        <v>-233767.03000000003</v>
      </c>
      <c r="H19" s="424">
        <f t="shared" si="4"/>
        <v>-0.53463533950873166</v>
      </c>
      <c r="I19" s="283">
        <v>10532118.039999999</v>
      </c>
      <c r="J19" s="276">
        <v>750807.72</v>
      </c>
      <c r="K19" s="286">
        <f t="shared" si="0"/>
        <v>9781310.3199999984</v>
      </c>
      <c r="N19" s="482"/>
    </row>
    <row r="20" spans="1:14" x14ac:dyDescent="0.25">
      <c r="A20" s="48" t="s">
        <v>222</v>
      </c>
      <c r="B20" s="278">
        <v>11575000</v>
      </c>
      <c r="C20" s="435">
        <v>326742.46999999997</v>
      </c>
      <c r="D20" s="280">
        <f t="shared" si="1"/>
        <v>3.4285673662119619E-2</v>
      </c>
      <c r="E20" s="276">
        <v>661940.93000000005</v>
      </c>
      <c r="F20" s="280">
        <f t="shared" si="5"/>
        <v>5.7187121382289423E-2</v>
      </c>
      <c r="G20" s="285">
        <f t="shared" si="3"/>
        <v>-335198.46000000008</v>
      </c>
      <c r="H20" s="281">
        <f t="shared" si="4"/>
        <v>-1.0258796782677198</v>
      </c>
      <c r="I20" s="283">
        <v>10236496.1</v>
      </c>
      <c r="J20" s="276">
        <v>629281.72</v>
      </c>
      <c r="K20" s="286">
        <f t="shared" si="0"/>
        <v>9607214.379999999</v>
      </c>
    </row>
    <row r="21" spans="1:14" x14ac:dyDescent="0.25">
      <c r="A21" s="48" t="s">
        <v>223</v>
      </c>
      <c r="B21" s="278"/>
      <c r="C21" s="435"/>
      <c r="D21" s="280"/>
      <c r="E21" s="276"/>
      <c r="F21" s="280"/>
      <c r="G21" s="285"/>
      <c r="H21" s="281"/>
      <c r="I21" s="283"/>
      <c r="J21" s="276"/>
      <c r="K21" s="286"/>
    </row>
    <row r="22" spans="1:14" x14ac:dyDescent="0.25">
      <c r="A22" s="49"/>
      <c r="B22" s="290"/>
      <c r="C22" s="435"/>
      <c r="D22" s="290"/>
      <c r="E22" s="291"/>
      <c r="F22" s="290"/>
      <c r="G22" s="292"/>
      <c r="H22" s="289"/>
      <c r="I22" s="475"/>
      <c r="J22" s="276"/>
      <c r="K22" s="293"/>
    </row>
    <row r="23" spans="1:14" x14ac:dyDescent="0.25">
      <c r="A23" s="72" t="s">
        <v>224</v>
      </c>
      <c r="B23" s="374">
        <v>11575000</v>
      </c>
      <c r="C23" s="491">
        <f>SUM(C10:C22)</f>
        <v>8994682.5800000001</v>
      </c>
      <c r="D23" s="75">
        <f>C23/9530000</f>
        <v>0.94382818258132217</v>
      </c>
      <c r="E23" s="491">
        <f>SUM(E10:E22)</f>
        <v>7425511.3700000001</v>
      </c>
      <c r="F23" s="75">
        <f>E23/B23</f>
        <v>0.64151286133909291</v>
      </c>
      <c r="G23" s="74">
        <f>C23-E23</f>
        <v>1569171.21</v>
      </c>
      <c r="H23" s="75">
        <f>E23/C23</f>
        <v>0.82554457080129673</v>
      </c>
      <c r="I23" s="495">
        <v>10236496.1</v>
      </c>
      <c r="J23" s="489">
        <v>629281.72</v>
      </c>
      <c r="K23" s="491">
        <f>I23-J23</f>
        <v>9607214.379999999</v>
      </c>
      <c r="L23" s="13"/>
    </row>
    <row r="24" spans="1:14" x14ac:dyDescent="0.25">
      <c r="A24" s="221"/>
      <c r="B24" s="223"/>
      <c r="C24" s="223"/>
      <c r="D24" s="224"/>
      <c r="E24" s="223"/>
      <c r="F24" s="224"/>
      <c r="G24" s="223"/>
      <c r="H24" s="224"/>
      <c r="I24" s="223"/>
      <c r="J24" s="223"/>
      <c r="K24" s="223"/>
      <c r="L24" s="13"/>
    </row>
    <row r="25" spans="1:14" ht="13.8" thickBot="1" x14ac:dyDescent="0.3">
      <c r="A25" s="28"/>
      <c r="C25" s="590" t="s">
        <v>225</v>
      </c>
      <c r="D25" s="591"/>
      <c r="E25" s="592" t="s">
        <v>226</v>
      </c>
      <c r="F25" s="593"/>
      <c r="G25" s="377" t="s">
        <v>227</v>
      </c>
      <c r="I25" s="246"/>
      <c r="J25" s="246"/>
    </row>
    <row r="26" spans="1:14" ht="13.8" thickBot="1" x14ac:dyDescent="0.3">
      <c r="A26" s="603" t="s">
        <v>228</v>
      </c>
      <c r="B26" s="604"/>
      <c r="C26" s="605">
        <v>9530000</v>
      </c>
      <c r="D26" s="606"/>
      <c r="E26" s="607">
        <v>9530000</v>
      </c>
      <c r="F26" s="608"/>
      <c r="G26" s="609">
        <f>C27-E27</f>
        <v>1569171.21</v>
      </c>
      <c r="I26" s="246"/>
    </row>
    <row r="27" spans="1:14" ht="18.75" customHeight="1" thickBot="1" x14ac:dyDescent="0.3">
      <c r="A27" s="603" t="s">
        <v>229</v>
      </c>
      <c r="B27" s="604"/>
      <c r="C27" s="494">
        <v>8994682.5800000001</v>
      </c>
      <c r="D27" s="492">
        <f>C27/C26</f>
        <v>0.94382818258132217</v>
      </c>
      <c r="E27" s="493">
        <v>7425511.3700000001</v>
      </c>
      <c r="F27" s="492">
        <f>E27/E26</f>
        <v>0.77917223189926554</v>
      </c>
      <c r="G27" s="610"/>
      <c r="I27" s="101"/>
      <c r="J27" s="249"/>
      <c r="K27" s="368"/>
      <c r="L27" s="248"/>
      <c r="M27" s="248"/>
      <c r="N27" s="248"/>
    </row>
    <row r="28" spans="1:14" x14ac:dyDescent="0.25">
      <c r="C28" s="99"/>
      <c r="E28" s="231"/>
      <c r="G28" s="231"/>
      <c r="I28" s="231"/>
    </row>
    <row r="29" spans="1:14" x14ac:dyDescent="0.25">
      <c r="A29" s="486"/>
      <c r="B29" s="486"/>
      <c r="C29" s="487"/>
      <c r="D29" s="486"/>
      <c r="E29" s="487"/>
      <c r="G29" s="246"/>
      <c r="I29" s="246"/>
      <c r="J29" s="101"/>
    </row>
    <row r="30" spans="1:14" x14ac:dyDescent="0.25">
      <c r="C30" s="25"/>
      <c r="E30" s="25"/>
      <c r="G30" s="246"/>
    </row>
    <row r="31" spans="1:14" x14ac:dyDescent="0.25">
      <c r="B31" s="246"/>
      <c r="C31" s="426"/>
      <c r="E31" s="376"/>
      <c r="G31" s="231"/>
      <c r="I31" s="231"/>
    </row>
    <row r="32" spans="1:14" x14ac:dyDescent="0.25">
      <c r="B32" s="246"/>
      <c r="G32" s="231"/>
    </row>
  </sheetData>
  <mergeCells count="17">
    <mergeCell ref="A26:B26"/>
    <mergeCell ref="C26:D26"/>
    <mergeCell ref="E26:F26"/>
    <mergeCell ref="G26:G27"/>
    <mergeCell ref="A27:B27"/>
    <mergeCell ref="A1:K1"/>
    <mergeCell ref="A4:K4"/>
    <mergeCell ref="A6:H6"/>
    <mergeCell ref="I6:K6"/>
    <mergeCell ref="C25:D25"/>
    <mergeCell ref="E25:F25"/>
    <mergeCell ref="C7:C9"/>
    <mergeCell ref="B7:B9"/>
    <mergeCell ref="I7:I9"/>
    <mergeCell ref="J7:J9"/>
    <mergeCell ref="K7:K9"/>
    <mergeCell ref="E7:E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showGridLines="0" topLeftCell="C4" zoomScale="120" zoomScaleNormal="120" workbookViewId="0">
      <selection activeCell="H24" sqref="H24"/>
    </sheetView>
  </sheetViews>
  <sheetFormatPr defaultRowHeight="13.2" x14ac:dyDescent="0.25"/>
  <cols>
    <col min="1" max="1" width="8.44140625" customWidth="1"/>
    <col min="2" max="2" width="14.44140625" customWidth="1"/>
    <col min="3" max="3" width="14.6640625" customWidth="1"/>
    <col min="4" max="4" width="13.6640625" customWidth="1"/>
    <col min="5" max="5" width="12.6640625" bestFit="1" customWidth="1"/>
    <col min="6" max="6" width="14.44140625" customWidth="1"/>
    <col min="7" max="9" width="16.33203125" bestFit="1" customWidth="1"/>
  </cols>
  <sheetData>
    <row r="1" spans="1:9" ht="20.399999999999999" x14ac:dyDescent="0.35">
      <c r="A1" s="611" t="s">
        <v>230</v>
      </c>
      <c r="B1" s="611"/>
      <c r="C1" s="611"/>
      <c r="D1" s="611"/>
      <c r="E1" s="611"/>
      <c r="F1" s="611"/>
      <c r="G1" s="611"/>
      <c r="H1" s="611"/>
      <c r="I1" s="611"/>
    </row>
    <row r="2" spans="1:9" ht="17.399999999999999" x14ac:dyDescent="0.3">
      <c r="A2" s="97"/>
      <c r="B2" s="97"/>
      <c r="C2" s="97"/>
      <c r="D2" s="97"/>
      <c r="E2" s="97"/>
      <c r="F2" s="97"/>
      <c r="G2" s="97"/>
      <c r="H2" s="97"/>
      <c r="I2" s="97"/>
    </row>
    <row r="3" spans="1:9" s="100" customFormat="1" ht="17.399999999999999" x14ac:dyDescent="0.3">
      <c r="A3" s="22" t="s">
        <v>231</v>
      </c>
      <c r="B3" s="22"/>
      <c r="C3" s="22"/>
      <c r="D3" s="22"/>
      <c r="E3" s="22"/>
      <c r="F3" s="22"/>
      <c r="G3" s="22"/>
      <c r="H3" s="22"/>
      <c r="I3" s="22"/>
    </row>
    <row r="4" spans="1:9" s="100" customFormat="1" ht="17.399999999999999" x14ac:dyDescent="0.3">
      <c r="A4" s="586" t="s">
        <v>232</v>
      </c>
      <c r="B4" s="586"/>
      <c r="C4" s="586"/>
      <c r="D4" s="586"/>
      <c r="E4" s="586"/>
      <c r="F4" s="586"/>
      <c r="G4" s="586"/>
      <c r="H4" s="586"/>
      <c r="I4" s="586"/>
    </row>
    <row r="5" spans="1:9" x14ac:dyDescent="0.25">
      <c r="A5" s="15"/>
      <c r="B5" s="15"/>
      <c r="C5" s="15"/>
      <c r="D5" s="15"/>
      <c r="E5" s="16"/>
      <c r="F5" s="13"/>
      <c r="G5" s="13"/>
      <c r="H5" s="13"/>
      <c r="I5" s="13"/>
    </row>
    <row r="6" spans="1:9" x14ac:dyDescent="0.25">
      <c r="A6" s="63"/>
      <c r="B6" s="612" t="s">
        <v>233</v>
      </c>
      <c r="C6" s="613"/>
      <c r="D6" s="613"/>
      <c r="E6" s="614"/>
      <c r="F6" s="612" t="s">
        <v>234</v>
      </c>
      <c r="G6" s="613"/>
      <c r="H6" s="613"/>
      <c r="I6" s="614"/>
    </row>
    <row r="7" spans="1:9" ht="13.8" thickBot="1" x14ac:dyDescent="0.3">
      <c r="A7" s="64"/>
      <c r="B7" s="615" t="s">
        <v>143</v>
      </c>
      <c r="C7" s="616"/>
      <c r="D7" s="617"/>
      <c r="E7" s="618"/>
      <c r="F7" s="619" t="s">
        <v>144</v>
      </c>
      <c r="G7" s="620"/>
      <c r="H7" s="621"/>
      <c r="I7" s="622"/>
    </row>
    <row r="8" spans="1:9" x14ac:dyDescent="0.25">
      <c r="A8" s="64" t="s">
        <v>235</v>
      </c>
      <c r="B8" s="63" t="s">
        <v>201</v>
      </c>
      <c r="C8" s="52" t="s">
        <v>201</v>
      </c>
      <c r="D8" s="633" t="s">
        <v>320</v>
      </c>
      <c r="E8" s="624" t="s">
        <v>12</v>
      </c>
      <c r="F8" s="52" t="s">
        <v>4</v>
      </c>
      <c r="G8" s="52" t="s">
        <v>4</v>
      </c>
      <c r="H8" s="636" t="s">
        <v>320</v>
      </c>
      <c r="I8" s="627" t="s">
        <v>12</v>
      </c>
    </row>
    <row r="9" spans="1:9" x14ac:dyDescent="0.25">
      <c r="A9" s="64"/>
      <c r="B9" s="64" t="s">
        <v>206</v>
      </c>
      <c r="C9" s="53" t="s">
        <v>206</v>
      </c>
      <c r="D9" s="634"/>
      <c r="E9" s="625"/>
      <c r="F9" s="53" t="s">
        <v>10</v>
      </c>
      <c r="G9" s="53" t="s">
        <v>10</v>
      </c>
      <c r="H9" s="637"/>
      <c r="I9" s="628"/>
    </row>
    <row r="10" spans="1:9" ht="13.8" thickBot="1" x14ac:dyDescent="0.3">
      <c r="A10" s="89"/>
      <c r="B10" s="89">
        <v>2023</v>
      </c>
      <c r="C10" s="54">
        <v>2024</v>
      </c>
      <c r="D10" s="635"/>
      <c r="E10" s="626"/>
      <c r="F10" s="54">
        <v>2023</v>
      </c>
      <c r="G10" s="54">
        <v>2024</v>
      </c>
      <c r="H10" s="638"/>
      <c r="I10" s="629"/>
    </row>
    <row r="11" spans="1:9" x14ac:dyDescent="0.25">
      <c r="A11" s="94" t="s">
        <v>237</v>
      </c>
      <c r="B11" s="36">
        <f>'Orçamentário e fin. 2023 '!C10</f>
        <v>1585613.58</v>
      </c>
      <c r="C11" s="36">
        <f>'Orçamentário e fin. 2024'!C10</f>
        <v>2013121.81</v>
      </c>
      <c r="D11" s="36">
        <f t="shared" ref="D11:D21" si="0">C11-B11</f>
        <v>427508.23</v>
      </c>
      <c r="E11" s="90">
        <f t="shared" ref="E11:E21" si="1">D11/B11</f>
        <v>0.26961690754439677</v>
      </c>
      <c r="F11" s="36">
        <f>'Orçamentário e fin. 2023 '!E10</f>
        <v>748934.95</v>
      </c>
      <c r="G11" s="86">
        <f>'Orçamentário e fin. 2024'!E10</f>
        <v>918804.85</v>
      </c>
      <c r="H11" s="79">
        <f>G11-F11</f>
        <v>169869.90000000002</v>
      </c>
      <c r="I11" s="108">
        <f t="shared" ref="I11:I18" si="2">H11/F11</f>
        <v>0.2268152928368479</v>
      </c>
    </row>
    <row r="12" spans="1:9" x14ac:dyDescent="0.25">
      <c r="A12" s="95" t="s">
        <v>238</v>
      </c>
      <c r="B12" s="36">
        <f>'Orçamentário e fin. 2023 '!C11</f>
        <v>1681780.97</v>
      </c>
      <c r="C12" s="36">
        <f>'Orçamentário e fin. 2024'!C11</f>
        <v>1534663.4</v>
      </c>
      <c r="D12" s="36">
        <f t="shared" si="0"/>
        <v>-147117.57000000007</v>
      </c>
      <c r="E12" s="90">
        <f t="shared" si="1"/>
        <v>-8.7477247408739592E-2</v>
      </c>
      <c r="F12" s="36">
        <f>'Orçamentário e fin. 2023 '!E11</f>
        <v>775655.05</v>
      </c>
      <c r="G12" s="55">
        <f>'Orçamentário e fin. 2024'!E11</f>
        <v>806666.92</v>
      </c>
      <c r="H12" s="79">
        <f t="shared" ref="H12:H18" si="3">G12-F12</f>
        <v>31011.869999999995</v>
      </c>
      <c r="I12" s="108">
        <f t="shared" si="2"/>
        <v>3.9981522714252933E-2</v>
      </c>
    </row>
    <row r="13" spans="1:9" x14ac:dyDescent="0.25">
      <c r="A13" s="95" t="s">
        <v>239</v>
      </c>
      <c r="B13" s="36">
        <f>'Orçamentário e fin. 2023 '!C12</f>
        <v>1051497.8</v>
      </c>
      <c r="C13" s="36">
        <f>'Orçamentário e fin. 2024'!C12</f>
        <v>886837.2</v>
      </c>
      <c r="D13" s="36">
        <f t="shared" si="0"/>
        <v>-164660.60000000009</v>
      </c>
      <c r="E13" s="90">
        <f t="shared" si="1"/>
        <v>-0.15659623824224841</v>
      </c>
      <c r="F13" s="36">
        <f>'Orçamentário e fin. 2023 '!E12</f>
        <v>621882.69999999995</v>
      </c>
      <c r="G13" s="55">
        <f>'Orçamentário e fin. 2024'!E12</f>
        <v>827534.5</v>
      </c>
      <c r="H13" s="79">
        <f t="shared" si="3"/>
        <v>205651.80000000005</v>
      </c>
      <c r="I13" s="108">
        <f t="shared" si="2"/>
        <v>0.3306922672073046</v>
      </c>
    </row>
    <row r="14" spans="1:9" x14ac:dyDescent="0.25">
      <c r="A14" s="95" t="s">
        <v>240</v>
      </c>
      <c r="B14" s="36">
        <f>'Orçamentário e fin. 2023 '!C13</f>
        <v>927341.01</v>
      </c>
      <c r="C14" s="36">
        <f>'Orçamentário e fin. 2024'!C13</f>
        <v>829113.25</v>
      </c>
      <c r="D14" s="36">
        <f t="shared" si="0"/>
        <v>-98227.760000000009</v>
      </c>
      <c r="E14" s="90">
        <f t="shared" si="1"/>
        <v>-0.10592409797556565</v>
      </c>
      <c r="F14" s="36">
        <f>'Orçamentário e fin. 2023 '!E13</f>
        <v>598190.62</v>
      </c>
      <c r="G14" s="55">
        <f>'Orçamentário e fin. 2024'!E13</f>
        <v>644038.03</v>
      </c>
      <c r="H14" s="79">
        <f t="shared" si="3"/>
        <v>45847.410000000033</v>
      </c>
      <c r="I14" s="108">
        <f t="shared" si="2"/>
        <v>7.6643478628936099E-2</v>
      </c>
    </row>
    <row r="15" spans="1:9" x14ac:dyDescent="0.25">
      <c r="A15" s="95" t="s">
        <v>241</v>
      </c>
      <c r="B15" s="36">
        <f>'Orçamentário e fin. 2023 '!C14</f>
        <v>760636.12</v>
      </c>
      <c r="C15" s="36">
        <f>'Orçamentário e fin. 2024'!C14</f>
        <v>838050.6</v>
      </c>
      <c r="D15" s="36">
        <f t="shared" si="0"/>
        <v>77414.479999999981</v>
      </c>
      <c r="E15" s="90">
        <f t="shared" si="1"/>
        <v>0.10177597140666944</v>
      </c>
      <c r="F15" s="36">
        <f>'Orçamentário e fin. 2023 '!E14</f>
        <v>623056.97</v>
      </c>
      <c r="G15" s="55">
        <f>'Orçamentário e fin. 2024'!E14</f>
        <v>621749.6</v>
      </c>
      <c r="H15" s="79">
        <f t="shared" si="3"/>
        <v>-1307.3699999999953</v>
      </c>
      <c r="I15" s="108">
        <f t="shared" si="2"/>
        <v>-2.0983153434588741E-3</v>
      </c>
    </row>
    <row r="16" spans="1:9" x14ac:dyDescent="0.25">
      <c r="A16" s="95" t="s">
        <v>242</v>
      </c>
      <c r="B16" s="36">
        <f>'Orçamentário e fin. 2023 '!C15</f>
        <v>492970.05</v>
      </c>
      <c r="C16" s="36">
        <f>'Orçamentário e fin. 2024'!C15</f>
        <v>603408.84</v>
      </c>
      <c r="D16" s="36">
        <f t="shared" si="0"/>
        <v>110438.78999999998</v>
      </c>
      <c r="E16" s="90">
        <f t="shared" si="1"/>
        <v>0.22402738259656946</v>
      </c>
      <c r="F16" s="36">
        <f>'Orçamentário e fin. 2023 '!E15</f>
        <v>438391.13</v>
      </c>
      <c r="G16" s="55">
        <f>'Orçamentário e fin. 2024'!E15</f>
        <v>597635.89</v>
      </c>
      <c r="H16" s="79">
        <f t="shared" si="3"/>
        <v>159244.76</v>
      </c>
      <c r="I16" s="108">
        <f t="shared" si="2"/>
        <v>0.36324813414906459</v>
      </c>
    </row>
    <row r="17" spans="1:11" x14ac:dyDescent="0.25">
      <c r="A17" s="95" t="s">
        <v>243</v>
      </c>
      <c r="B17" s="36">
        <f>'Orçamentário e fin. 2023 '!C16</f>
        <v>366125.75</v>
      </c>
      <c r="C17" s="36">
        <f>'Orçamentário e fin. 2024'!C16</f>
        <v>610638.28</v>
      </c>
      <c r="D17" s="36">
        <f t="shared" si="0"/>
        <v>244512.53000000003</v>
      </c>
      <c r="E17" s="90">
        <f t="shared" si="1"/>
        <v>0.66783756673765782</v>
      </c>
      <c r="F17" s="36">
        <f>'Orçamentário e fin. 2023 '!E16</f>
        <v>459671.79</v>
      </c>
      <c r="G17" s="56">
        <f>'Orçamentário e fin. 2024'!E16</f>
        <v>596458.84</v>
      </c>
      <c r="H17" s="79">
        <f t="shared" si="3"/>
        <v>136787.04999999999</v>
      </c>
      <c r="I17" s="108">
        <f t="shared" si="2"/>
        <v>0.2975754722733801</v>
      </c>
    </row>
    <row r="18" spans="1:11" x14ac:dyDescent="0.25">
      <c r="A18" s="95" t="s">
        <v>244</v>
      </c>
      <c r="B18" s="36">
        <f>'Orçamentário e fin. 2023 '!C17</f>
        <v>412450.31</v>
      </c>
      <c r="C18" s="36">
        <f>'Orçamentário e fin. 2024'!C17</f>
        <v>478634.26</v>
      </c>
      <c r="D18" s="36">
        <f t="shared" si="0"/>
        <v>66183.950000000012</v>
      </c>
      <c r="E18" s="90">
        <f t="shared" si="1"/>
        <v>0.16046526913751141</v>
      </c>
      <c r="F18" s="36">
        <f>'Orçamentário e fin. 2023 '!E17</f>
        <v>455421.3</v>
      </c>
      <c r="G18" s="56">
        <f>'Orçamentário e fin. 2024'!E17</f>
        <v>496275.54</v>
      </c>
      <c r="H18" s="79">
        <f t="shared" si="3"/>
        <v>40854.239999999991</v>
      </c>
      <c r="I18" s="108">
        <f t="shared" si="2"/>
        <v>8.9706476179309116E-2</v>
      </c>
    </row>
    <row r="19" spans="1:11" x14ac:dyDescent="0.25">
      <c r="A19" s="95" t="s">
        <v>245</v>
      </c>
      <c r="B19" s="36">
        <f>'Orçamentário e fin. 2023 '!C18</f>
        <v>410100.67</v>
      </c>
      <c r="C19" s="36">
        <f>'Orçamentário e fin. 2024'!C18</f>
        <v>436226.72</v>
      </c>
      <c r="D19" s="36">
        <f t="shared" si="0"/>
        <v>26126.049999999988</v>
      </c>
      <c r="E19" s="90">
        <f t="shared" si="1"/>
        <v>6.37064309112199E-2</v>
      </c>
      <c r="F19" s="36">
        <f>'Orçamentário e fin. 2023 '!E18</f>
        <v>558425.43999999994</v>
      </c>
      <c r="G19" s="87">
        <f>'Orçamentário e fin. 2024'!E18</f>
        <v>583393.49</v>
      </c>
      <c r="H19" s="79">
        <f t="shared" ref="H19:H21" si="4">G19-F19</f>
        <v>24968.050000000047</v>
      </c>
      <c r="I19" s="108">
        <f t="shared" ref="I19:I21" si="5">H19/F19</f>
        <v>4.471151958979528E-2</v>
      </c>
    </row>
    <row r="20" spans="1:11" x14ac:dyDescent="0.25">
      <c r="A20" s="95" t="s">
        <v>246</v>
      </c>
      <c r="B20" s="36">
        <v>391257.5</v>
      </c>
      <c r="C20" s="36">
        <f>'Orçamentário e fin. 2024'!C19</f>
        <v>437245.75</v>
      </c>
      <c r="D20" s="36">
        <f t="shared" si="0"/>
        <v>45988.25</v>
      </c>
      <c r="E20" s="90">
        <f t="shared" si="1"/>
        <v>0.1175395998798745</v>
      </c>
      <c r="F20" s="36">
        <f>'Orçamentário e fin. 2023 '!E19</f>
        <v>528046.52</v>
      </c>
      <c r="G20" s="87">
        <f>'Orçamentário e fin. 2024'!E19</f>
        <v>671012.78</v>
      </c>
      <c r="H20" s="79">
        <f t="shared" si="4"/>
        <v>142966.26</v>
      </c>
      <c r="I20" s="108">
        <f t="shared" si="5"/>
        <v>0.27074557749192252</v>
      </c>
    </row>
    <row r="21" spans="1:11" x14ac:dyDescent="0.25">
      <c r="A21" s="95" t="s">
        <v>247</v>
      </c>
      <c r="B21" s="36">
        <v>286274.28000000003</v>
      </c>
      <c r="C21" s="36">
        <v>326742.46999999997</v>
      </c>
      <c r="D21" s="36">
        <f t="shared" si="0"/>
        <v>40468.189999999944</v>
      </c>
      <c r="E21" s="90">
        <f t="shared" si="1"/>
        <v>0.14136159909300947</v>
      </c>
      <c r="F21" s="36">
        <v>696544.64</v>
      </c>
      <c r="G21" s="87">
        <v>661940.93000000005</v>
      </c>
      <c r="H21" s="79">
        <f t="shared" si="4"/>
        <v>-34603.709999999963</v>
      </c>
      <c r="I21" s="108">
        <f t="shared" si="5"/>
        <v>-4.9679098815547502E-2</v>
      </c>
    </row>
    <row r="22" spans="1:11" x14ac:dyDescent="0.25">
      <c r="A22" s="95" t="s">
        <v>248</v>
      </c>
      <c r="B22" s="36"/>
      <c r="C22" s="36"/>
      <c r="D22" s="36"/>
      <c r="E22" s="90"/>
      <c r="F22" s="36"/>
      <c r="G22" s="87"/>
      <c r="H22" s="79"/>
      <c r="I22" s="108"/>
    </row>
    <row r="23" spans="1:11" x14ac:dyDescent="0.25">
      <c r="A23" s="96"/>
      <c r="B23" s="36"/>
      <c r="C23" s="36"/>
      <c r="D23" s="36"/>
      <c r="E23" s="110"/>
      <c r="F23" s="110"/>
      <c r="G23" s="36"/>
      <c r="H23" s="111"/>
      <c r="I23" s="112"/>
    </row>
    <row r="24" spans="1:11" x14ac:dyDescent="0.25">
      <c r="A24" s="127" t="s">
        <v>224</v>
      </c>
      <c r="B24" s="113">
        <f>SUM(B11:B23)</f>
        <v>8366048.0399999991</v>
      </c>
      <c r="C24" s="113">
        <f>SUM(C11:C23)</f>
        <v>8994682.5800000001</v>
      </c>
      <c r="D24" s="496">
        <f>C24-B24</f>
        <v>628634.54000000097</v>
      </c>
      <c r="E24" s="497">
        <f>D24/B24</f>
        <v>7.5141158285770615E-2</v>
      </c>
      <c r="F24" s="113">
        <f>SUM(F11:F23)</f>
        <v>6504221.1099999985</v>
      </c>
      <c r="G24" s="113">
        <f>SUM(G11:G23)</f>
        <v>7425511.3700000001</v>
      </c>
      <c r="H24" s="498">
        <f>G24-F24</f>
        <v>921290.26000000164</v>
      </c>
      <c r="I24" s="499">
        <f>H24/F24</f>
        <v>0.14164497860989875</v>
      </c>
    </row>
    <row r="25" spans="1:11" x14ac:dyDescent="0.25">
      <c r="A25" s="248"/>
      <c r="B25" s="248"/>
      <c r="C25" s="248"/>
      <c r="D25" s="249"/>
      <c r="E25" s="13"/>
      <c r="F25" s="13"/>
      <c r="G25" s="13"/>
      <c r="H25" s="13"/>
      <c r="I25" s="13"/>
      <c r="J25" s="13"/>
      <c r="K25" s="13"/>
    </row>
    <row r="26" spans="1:11" x14ac:dyDescent="0.25">
      <c r="A26" s="630"/>
      <c r="B26" s="631"/>
      <c r="C26" s="632"/>
      <c r="D26" s="632"/>
      <c r="E26" s="222"/>
      <c r="F26" s="222"/>
      <c r="G26" s="220"/>
      <c r="H26" s="223"/>
      <c r="I26" s="224"/>
      <c r="J26" s="13"/>
      <c r="K26" s="13"/>
    </row>
    <row r="27" spans="1:11" x14ac:dyDescent="0.25">
      <c r="A27" s="631"/>
      <c r="B27" s="631"/>
      <c r="C27" s="632"/>
      <c r="D27" s="632"/>
      <c r="E27" s="221"/>
      <c r="F27" s="476"/>
      <c r="G27" s="310"/>
      <c r="H27" s="15"/>
      <c r="I27" s="13"/>
      <c r="J27" s="13"/>
      <c r="K27" s="13"/>
    </row>
    <row r="28" spans="1:11" x14ac:dyDescent="0.25">
      <c r="A28" s="248"/>
      <c r="B28" s="248"/>
      <c r="C28" s="623"/>
      <c r="D28" s="623"/>
      <c r="E28" s="13"/>
      <c r="F28" s="118"/>
      <c r="G28" s="13"/>
      <c r="H28" s="13"/>
      <c r="I28" s="13"/>
      <c r="J28" s="13"/>
      <c r="K28" s="13"/>
    </row>
    <row r="29" spans="1:11" x14ac:dyDescent="0.25">
      <c r="A29" s="248"/>
      <c r="B29" s="248"/>
      <c r="C29" s="385"/>
      <c r="D29" s="248"/>
      <c r="E29" s="13"/>
      <c r="F29" s="118"/>
      <c r="G29" s="13"/>
      <c r="H29" s="13"/>
      <c r="I29" s="13"/>
      <c r="J29" s="13"/>
      <c r="K29" s="13"/>
    </row>
    <row r="30" spans="1:11" x14ac:dyDescent="0.25">
      <c r="A30" s="248"/>
      <c r="B30" s="385"/>
      <c r="C30" s="248"/>
      <c r="D30" s="249"/>
      <c r="E30" s="13"/>
      <c r="F30" s="13"/>
      <c r="G30" s="13"/>
      <c r="H30" s="380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18"/>
      <c r="I31" s="13"/>
      <c r="J31" s="13"/>
      <c r="K31" s="13"/>
    </row>
    <row r="32" spans="1:11" x14ac:dyDescent="0.25">
      <c r="D32" s="101"/>
    </row>
    <row r="33" spans="7:7" x14ac:dyDescent="0.25">
      <c r="G33" s="78"/>
    </row>
    <row r="34" spans="7:7" x14ac:dyDescent="0.25">
      <c r="G34" s="244"/>
    </row>
  </sheetData>
  <mergeCells count="15">
    <mergeCell ref="C28:D28"/>
    <mergeCell ref="E8:E10"/>
    <mergeCell ref="I8:I10"/>
    <mergeCell ref="A26:B26"/>
    <mergeCell ref="C26:D26"/>
    <mergeCell ref="A27:B27"/>
    <mergeCell ref="C27:D27"/>
    <mergeCell ref="D8:D10"/>
    <mergeCell ref="H8:H10"/>
    <mergeCell ref="A1:I1"/>
    <mergeCell ref="A4:I4"/>
    <mergeCell ref="B6:E6"/>
    <mergeCell ref="F6:I6"/>
    <mergeCell ref="B7:E7"/>
    <mergeCell ref="F7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B1:L49"/>
  <sheetViews>
    <sheetView showGridLines="0" tabSelected="1" topLeftCell="A30" zoomScale="130" zoomScaleNormal="130" workbookViewId="0">
      <selection activeCell="B52" sqref="B52"/>
    </sheetView>
  </sheetViews>
  <sheetFormatPr defaultRowHeight="13.2" x14ac:dyDescent="0.25"/>
  <cols>
    <col min="2" max="2" width="31.33203125" customWidth="1"/>
    <col min="3" max="3" width="16.5546875" customWidth="1"/>
    <col min="4" max="4" width="15.33203125" bestFit="1" customWidth="1"/>
    <col min="5" max="5" width="12.6640625" customWidth="1"/>
    <col min="6" max="6" width="13.33203125" hidden="1" customWidth="1"/>
    <col min="7" max="7" width="9" customWidth="1"/>
  </cols>
  <sheetData>
    <row r="1" spans="2:12" ht="17.399999999999999" x14ac:dyDescent="0.3">
      <c r="B1" s="639" t="s">
        <v>196</v>
      </c>
      <c r="C1" s="639"/>
      <c r="D1" s="639"/>
      <c r="E1" s="639"/>
      <c r="F1" s="225"/>
      <c r="G1" s="225"/>
      <c r="H1" s="225"/>
      <c r="I1" s="225"/>
      <c r="J1" s="225"/>
      <c r="K1" s="225"/>
      <c r="L1" s="225"/>
    </row>
    <row r="3" spans="2:12" ht="15.6" x14ac:dyDescent="0.3">
      <c r="F3" s="226"/>
      <c r="G3" s="226"/>
      <c r="H3" s="227"/>
      <c r="I3" s="227"/>
      <c r="J3" s="227"/>
      <c r="K3" s="227"/>
      <c r="L3" s="228"/>
    </row>
    <row r="4" spans="2:12" ht="15.6" x14ac:dyDescent="0.3">
      <c r="B4" s="641"/>
      <c r="C4" s="641"/>
      <c r="D4" s="641"/>
      <c r="E4" s="641"/>
      <c r="F4" s="227"/>
      <c r="G4" s="227"/>
      <c r="H4" s="227"/>
      <c r="I4" s="227"/>
      <c r="J4" s="227"/>
      <c r="K4" s="227"/>
      <c r="L4" s="229"/>
    </row>
    <row r="5" spans="2:12" ht="15.6" x14ac:dyDescent="0.3">
      <c r="B5" s="640" t="s">
        <v>315</v>
      </c>
      <c r="C5" s="640"/>
      <c r="D5" s="640"/>
      <c r="E5" s="640"/>
      <c r="F5" s="227"/>
      <c r="G5" s="227"/>
      <c r="H5" s="227"/>
      <c r="I5" s="227"/>
      <c r="J5" s="227"/>
      <c r="K5" s="227"/>
      <c r="L5" s="229"/>
    </row>
    <row r="6" spans="2:12" ht="13.8" x14ac:dyDescent="0.3">
      <c r="B6" s="500" t="s">
        <v>144</v>
      </c>
      <c r="C6" s="500">
        <v>2024</v>
      </c>
      <c r="D6" s="500">
        <v>2023</v>
      </c>
      <c r="E6" s="500" t="s">
        <v>11</v>
      </c>
      <c r="F6" s="500" t="s">
        <v>12</v>
      </c>
      <c r="G6" s="501" t="s">
        <v>249</v>
      </c>
      <c r="H6" s="230"/>
      <c r="I6" s="230"/>
      <c r="J6" s="230"/>
      <c r="K6" s="230"/>
      <c r="L6" s="230"/>
    </row>
    <row r="7" spans="2:12" ht="18" customHeight="1" x14ac:dyDescent="0.25">
      <c r="B7" s="502" t="s">
        <v>250</v>
      </c>
      <c r="C7" s="503">
        <f>2166322.92+639271.73+936953.59</f>
        <v>3742548.2399999998</v>
      </c>
      <c r="D7" s="504">
        <f>1853115.77+544982.93+767035.3</f>
        <v>3165134</v>
      </c>
      <c r="E7" s="505">
        <f>C7-D7</f>
        <v>577414.23999999976</v>
      </c>
      <c r="F7" s="506">
        <f>E7/D7</f>
        <v>0.18242963489065542</v>
      </c>
      <c r="G7" s="507">
        <f t="shared" ref="G7:G12" si="0">E7/D7</f>
        <v>0.18242963489065542</v>
      </c>
      <c r="H7" s="230"/>
      <c r="I7" s="230"/>
      <c r="J7" s="230"/>
      <c r="K7" s="230"/>
      <c r="L7" s="230"/>
    </row>
    <row r="8" spans="2:12" ht="18" customHeight="1" x14ac:dyDescent="0.25">
      <c r="B8" s="502" t="s">
        <v>251</v>
      </c>
      <c r="C8" s="503">
        <v>2008091.35</v>
      </c>
      <c r="D8" s="504">
        <v>1887774.08</v>
      </c>
      <c r="E8" s="505">
        <f t="shared" ref="E8:E29" si="1">C8-D8</f>
        <v>120317.27000000002</v>
      </c>
      <c r="F8" s="506">
        <f t="shared" ref="F8:F29" si="2">E8/D8</f>
        <v>6.3734994178964471E-2</v>
      </c>
      <c r="G8" s="507">
        <f t="shared" si="0"/>
        <v>6.3734994178964471E-2</v>
      </c>
      <c r="H8" s="230"/>
      <c r="I8" s="230"/>
      <c r="J8" s="230"/>
      <c r="K8" s="230"/>
      <c r="L8" s="230"/>
    </row>
    <row r="9" spans="2:12" ht="18" customHeight="1" x14ac:dyDescent="0.25">
      <c r="B9" s="502" t="s">
        <v>252</v>
      </c>
      <c r="C9" s="503">
        <f>32667.15+667.93</f>
        <v>33335.08</v>
      </c>
      <c r="D9" s="504">
        <v>37311.269999999997</v>
      </c>
      <c r="E9" s="505">
        <f t="shared" si="1"/>
        <v>-3976.1899999999951</v>
      </c>
      <c r="F9" s="506">
        <f t="shared" si="2"/>
        <v>-0.10656806911155786</v>
      </c>
      <c r="G9" s="507">
        <f t="shared" si="0"/>
        <v>-0.10656806911155786</v>
      </c>
      <c r="H9" s="230"/>
      <c r="I9" s="230"/>
      <c r="J9" s="230"/>
      <c r="K9" s="230"/>
      <c r="L9" s="230"/>
    </row>
    <row r="10" spans="2:12" ht="18" customHeight="1" x14ac:dyDescent="0.25">
      <c r="B10" s="502" t="s">
        <v>253</v>
      </c>
      <c r="C10" s="503">
        <v>153264.01</v>
      </c>
      <c r="D10" s="504">
        <f>225656.94+289</f>
        <v>225945.94</v>
      </c>
      <c r="E10" s="505">
        <f t="shared" si="1"/>
        <v>-72681.929999999993</v>
      </c>
      <c r="F10" s="506">
        <f t="shared" si="2"/>
        <v>-0.32167840679058007</v>
      </c>
      <c r="G10" s="507">
        <f t="shared" si="0"/>
        <v>-0.32167840679058007</v>
      </c>
      <c r="H10" s="230"/>
      <c r="I10" s="230"/>
      <c r="J10" s="230"/>
      <c r="K10" s="230"/>
      <c r="L10" s="230"/>
    </row>
    <row r="11" spans="2:12" ht="18" customHeight="1" x14ac:dyDescent="0.25">
      <c r="B11" s="502" t="s">
        <v>254</v>
      </c>
      <c r="C11" s="503">
        <v>433966.73</v>
      </c>
      <c r="D11" s="504">
        <v>331848.48</v>
      </c>
      <c r="E11" s="505">
        <f>C11-D11</f>
        <v>102118.25</v>
      </c>
      <c r="F11" s="506">
        <f t="shared" si="2"/>
        <v>0.30772553184513607</v>
      </c>
      <c r="G11" s="507">
        <f t="shared" si="0"/>
        <v>0.30772553184513607</v>
      </c>
      <c r="H11" s="230"/>
      <c r="I11" s="230"/>
      <c r="J11" s="230"/>
      <c r="K11" s="230"/>
      <c r="L11" s="230"/>
    </row>
    <row r="12" spans="2:12" ht="18" customHeight="1" x14ac:dyDescent="0.25">
      <c r="B12" s="502" t="s">
        <v>255</v>
      </c>
      <c r="C12" s="503">
        <f>160694.52+15085.88</f>
        <v>175780.4</v>
      </c>
      <c r="D12" s="504">
        <v>146571.20000000001</v>
      </c>
      <c r="E12" s="505">
        <f t="shared" si="1"/>
        <v>29209.199999999983</v>
      </c>
      <c r="F12" s="506">
        <f t="shared" si="2"/>
        <v>0.19928335170893041</v>
      </c>
      <c r="G12" s="507">
        <f t="shared" si="0"/>
        <v>0.19928335170893041</v>
      </c>
      <c r="H12" s="230"/>
      <c r="I12" s="230"/>
      <c r="J12" s="230"/>
      <c r="K12" s="230"/>
      <c r="L12" s="230"/>
    </row>
    <row r="13" spans="2:12" ht="18" hidden="1" customHeight="1" x14ac:dyDescent="0.25">
      <c r="B13" s="502" t="s">
        <v>256</v>
      </c>
      <c r="C13" s="503"/>
      <c r="D13" s="504"/>
      <c r="E13" s="505">
        <f t="shared" si="1"/>
        <v>0</v>
      </c>
      <c r="F13" s="506" t="e">
        <f t="shared" si="2"/>
        <v>#DIV/0!</v>
      </c>
      <c r="G13" s="507"/>
      <c r="H13" s="230"/>
      <c r="I13" s="230"/>
      <c r="J13" s="230"/>
      <c r="K13" s="230"/>
      <c r="L13" s="230"/>
    </row>
    <row r="14" spans="2:12" ht="18" customHeight="1" x14ac:dyDescent="0.25">
      <c r="B14" s="502" t="s">
        <v>257</v>
      </c>
      <c r="C14" s="503">
        <v>744817.84</v>
      </c>
      <c r="D14" s="504">
        <v>600612.5</v>
      </c>
      <c r="E14" s="505">
        <f t="shared" si="1"/>
        <v>144205.33999999997</v>
      </c>
      <c r="F14" s="506">
        <f t="shared" si="2"/>
        <v>0.24009713417552908</v>
      </c>
      <c r="G14" s="507">
        <f>E14/D14</f>
        <v>0.24009713417552908</v>
      </c>
      <c r="H14" s="230"/>
      <c r="I14" s="230"/>
      <c r="J14" s="230"/>
      <c r="K14" s="230"/>
      <c r="L14" s="230"/>
    </row>
    <row r="15" spans="2:12" ht="18" customHeight="1" x14ac:dyDescent="0.25">
      <c r="B15" s="502" t="s">
        <v>258</v>
      </c>
      <c r="C15" s="503">
        <v>5024.3999999999996</v>
      </c>
      <c r="D15" s="504">
        <v>5400.34</v>
      </c>
      <c r="E15" s="505">
        <f t="shared" si="1"/>
        <v>-375.94000000000051</v>
      </c>
      <c r="F15" s="506">
        <f t="shared" si="2"/>
        <v>-6.9614135406289329E-2</v>
      </c>
      <c r="G15" s="507">
        <f>E15/D15</f>
        <v>-6.9614135406289329E-2</v>
      </c>
      <c r="H15" s="230"/>
      <c r="I15" s="230"/>
      <c r="J15" s="230"/>
      <c r="K15" s="230"/>
      <c r="L15" s="230"/>
    </row>
    <row r="16" spans="2:12" ht="18" customHeight="1" x14ac:dyDescent="0.25">
      <c r="B16" s="502" t="s">
        <v>259</v>
      </c>
      <c r="C16" s="503">
        <v>14242.66</v>
      </c>
      <c r="D16" s="504">
        <v>5184.33</v>
      </c>
      <c r="E16" s="505">
        <f t="shared" si="1"/>
        <v>9058.33</v>
      </c>
      <c r="F16" s="506">
        <f t="shared" si="2"/>
        <v>1.7472518146028513</v>
      </c>
      <c r="G16" s="507">
        <f>E16/D16</f>
        <v>1.7472518146028513</v>
      </c>
      <c r="H16" s="230"/>
      <c r="I16" s="230"/>
      <c r="J16" s="230"/>
      <c r="K16" s="230"/>
      <c r="L16" s="230"/>
    </row>
    <row r="17" spans="2:12" ht="18" hidden="1" customHeight="1" x14ac:dyDescent="0.25">
      <c r="B17" s="502" t="s">
        <v>260</v>
      </c>
      <c r="C17" s="503"/>
      <c r="D17" s="504"/>
      <c r="E17" s="505">
        <f t="shared" si="1"/>
        <v>0</v>
      </c>
      <c r="F17" s="506" t="e">
        <f t="shared" si="2"/>
        <v>#DIV/0!</v>
      </c>
      <c r="G17" s="507"/>
      <c r="H17" s="230"/>
      <c r="I17" s="230"/>
      <c r="J17" s="230"/>
      <c r="K17" s="230"/>
      <c r="L17" s="230"/>
    </row>
    <row r="18" spans="2:12" ht="18" customHeight="1" x14ac:dyDescent="0.25">
      <c r="B18" s="502" t="s">
        <v>261</v>
      </c>
      <c r="C18" s="503">
        <v>114440.66</v>
      </c>
      <c r="D18" s="504">
        <v>96448.97</v>
      </c>
      <c r="E18" s="505">
        <f t="shared" si="1"/>
        <v>17991.690000000002</v>
      </c>
      <c r="F18" s="506">
        <f t="shared" si="2"/>
        <v>0.18654102786167651</v>
      </c>
      <c r="G18" s="507">
        <f>E18/D18</f>
        <v>0.18654102786167651</v>
      </c>
      <c r="H18" s="230"/>
      <c r="I18" s="230"/>
      <c r="J18" s="230"/>
      <c r="K18" s="230"/>
      <c r="L18" s="230"/>
    </row>
    <row r="19" spans="2:12" ht="15" hidden="1" customHeight="1" x14ac:dyDescent="0.3">
      <c r="B19" s="508" t="s">
        <v>262</v>
      </c>
      <c r="C19" s="509"/>
      <c r="D19" s="510"/>
      <c r="E19" s="511">
        <f t="shared" si="1"/>
        <v>0</v>
      </c>
      <c r="F19" s="512" t="e">
        <f t="shared" si="2"/>
        <v>#DIV/0!</v>
      </c>
      <c r="G19" s="513"/>
      <c r="H19" s="230"/>
      <c r="I19" s="230"/>
      <c r="J19" s="230"/>
      <c r="K19" s="230"/>
      <c r="L19" s="230"/>
    </row>
    <row r="20" spans="2:12" ht="15" hidden="1" customHeight="1" x14ac:dyDescent="0.3">
      <c r="B20" s="514" t="s">
        <v>263</v>
      </c>
      <c r="C20" s="509"/>
      <c r="D20" s="510"/>
      <c r="E20" s="511">
        <f t="shared" si="1"/>
        <v>0</v>
      </c>
      <c r="F20" s="512" t="e">
        <f t="shared" si="2"/>
        <v>#DIV/0!</v>
      </c>
      <c r="G20" s="513"/>
      <c r="H20" s="230"/>
      <c r="I20" s="230"/>
      <c r="J20" s="230"/>
      <c r="K20" s="230"/>
      <c r="L20" s="230"/>
    </row>
    <row r="21" spans="2:12" ht="34.5" customHeight="1" x14ac:dyDescent="0.3">
      <c r="B21" s="514" t="s">
        <v>264</v>
      </c>
      <c r="C21" s="509">
        <v>0</v>
      </c>
      <c r="D21" s="509">
        <v>1990</v>
      </c>
      <c r="E21" s="511">
        <f t="shared" si="1"/>
        <v>-1990</v>
      </c>
      <c r="F21" s="512">
        <f t="shared" si="2"/>
        <v>-1</v>
      </c>
      <c r="G21" s="507">
        <f>E21/D21</f>
        <v>-1</v>
      </c>
      <c r="H21" s="230"/>
      <c r="I21" s="230"/>
      <c r="J21" s="230"/>
      <c r="K21" s="230"/>
      <c r="L21" s="230"/>
    </row>
    <row r="22" spans="2:12" ht="23.25" hidden="1" customHeight="1" x14ac:dyDescent="0.3">
      <c r="B22" s="514" t="s">
        <v>265</v>
      </c>
      <c r="C22" s="509"/>
      <c r="D22" s="509"/>
      <c r="E22" s="511">
        <f t="shared" si="1"/>
        <v>0</v>
      </c>
      <c r="F22" s="512"/>
      <c r="G22" s="513"/>
      <c r="H22" s="230"/>
      <c r="I22" s="230"/>
      <c r="J22" s="230"/>
      <c r="K22" s="230"/>
      <c r="L22" s="230"/>
    </row>
    <row r="23" spans="2:12" ht="18" hidden="1" customHeight="1" x14ac:dyDescent="0.3">
      <c r="B23" s="514" t="s">
        <v>266</v>
      </c>
      <c r="C23" s="515"/>
      <c r="D23" s="510"/>
      <c r="E23" s="511">
        <f t="shared" si="1"/>
        <v>0</v>
      </c>
      <c r="F23" s="512" t="e">
        <f t="shared" si="2"/>
        <v>#DIV/0!</v>
      </c>
      <c r="G23" s="513"/>
    </row>
    <row r="24" spans="2:12" ht="18.75" hidden="1" customHeight="1" x14ac:dyDescent="0.3">
      <c r="B24" s="508" t="s">
        <v>267</v>
      </c>
      <c r="C24" s="516"/>
      <c r="D24" s="510"/>
      <c r="E24" s="511">
        <f t="shared" si="1"/>
        <v>0</v>
      </c>
      <c r="F24" s="512"/>
      <c r="G24" s="513"/>
    </row>
    <row r="25" spans="2:12" ht="12.75" hidden="1" customHeight="1" x14ac:dyDescent="0.3">
      <c r="B25" s="508" t="s">
        <v>268</v>
      </c>
      <c r="C25" s="509"/>
      <c r="D25" s="510"/>
      <c r="E25" s="511">
        <f t="shared" si="1"/>
        <v>0</v>
      </c>
      <c r="F25" s="512" t="e">
        <f t="shared" si="2"/>
        <v>#DIV/0!</v>
      </c>
      <c r="G25" s="513"/>
    </row>
    <row r="26" spans="2:12" ht="15.75" hidden="1" customHeight="1" x14ac:dyDescent="0.3">
      <c r="B26" s="508" t="s">
        <v>264</v>
      </c>
      <c r="C26" s="509"/>
      <c r="D26" s="510"/>
      <c r="E26" s="511">
        <f t="shared" si="1"/>
        <v>0</v>
      </c>
      <c r="F26" s="512"/>
      <c r="G26" s="513"/>
    </row>
    <row r="27" spans="2:12" ht="12.75" hidden="1" customHeight="1" x14ac:dyDescent="0.3">
      <c r="B27" s="508" t="s">
        <v>265</v>
      </c>
      <c r="C27" s="509"/>
      <c r="D27" s="510"/>
      <c r="E27" s="511">
        <f t="shared" si="1"/>
        <v>0</v>
      </c>
      <c r="F27" s="512"/>
      <c r="G27" s="513"/>
    </row>
    <row r="28" spans="2:12" ht="12" hidden="1" customHeight="1" x14ac:dyDescent="0.3">
      <c r="B28" s="508" t="s">
        <v>269</v>
      </c>
      <c r="C28" s="509"/>
      <c r="D28" s="510"/>
      <c r="E28" s="511">
        <f t="shared" si="1"/>
        <v>0</v>
      </c>
      <c r="F28" s="512"/>
      <c r="G28" s="513"/>
    </row>
    <row r="29" spans="2:12" ht="16.5" hidden="1" customHeight="1" x14ac:dyDescent="0.3">
      <c r="B29" s="517" t="s">
        <v>266</v>
      </c>
      <c r="C29" s="509"/>
      <c r="D29" s="510"/>
      <c r="E29" s="511">
        <f t="shared" si="1"/>
        <v>0</v>
      </c>
      <c r="F29" s="512" t="e">
        <f t="shared" si="2"/>
        <v>#DIV/0!</v>
      </c>
      <c r="G29" s="513"/>
    </row>
    <row r="30" spans="2:12" ht="15" customHeight="1" x14ac:dyDescent="0.3">
      <c r="B30" s="428" t="s">
        <v>270</v>
      </c>
      <c r="C30" s="518">
        <f>SUM(C7:C29)</f>
        <v>7425511.370000001</v>
      </c>
      <c r="D30" s="519">
        <f>SUM(D7:D29)</f>
        <v>6504221.1099999994</v>
      </c>
      <c r="E30" s="519">
        <f>SUM(E7:E29)</f>
        <v>921290.25999999978</v>
      </c>
      <c r="F30" s="431">
        <f>E30/D30</f>
        <v>0.14164497860989844</v>
      </c>
      <c r="G30" s="520">
        <f>E30/D30</f>
        <v>0.14164497860989844</v>
      </c>
    </row>
    <row r="31" spans="2:12" ht="13.8" hidden="1" x14ac:dyDescent="0.3">
      <c r="B31" s="428" t="s">
        <v>271</v>
      </c>
      <c r="C31" s="468">
        <f>C30</f>
        <v>7425511.370000001</v>
      </c>
      <c r="D31" s="429">
        <f>D30</f>
        <v>6504221.1099999994</v>
      </c>
      <c r="E31" s="430" t="e">
        <f>E30-#REF!</f>
        <v>#REF!</v>
      </c>
      <c r="F31" s="431" t="e">
        <f>E31/D31</f>
        <v>#REF!</v>
      </c>
    </row>
    <row r="32" spans="2:12" ht="13.8" x14ac:dyDescent="0.3">
      <c r="C32" s="444"/>
      <c r="D32" s="444"/>
      <c r="E32" s="488"/>
      <c r="F32" s="432"/>
    </row>
    <row r="33" spans="2:7" ht="13.8" x14ac:dyDescent="0.3">
      <c r="B33" s="642" t="s">
        <v>316</v>
      </c>
      <c r="C33" s="534"/>
      <c r="D33" s="379"/>
      <c r="E33" s="379"/>
      <c r="F33" s="432"/>
      <c r="G33" s="433"/>
    </row>
    <row r="34" spans="2:7" ht="13.8" x14ac:dyDescent="0.3">
      <c r="B34" s="439" t="s">
        <v>272</v>
      </c>
      <c r="C34" s="478">
        <f>'Orçamentário e fin. 2024'!C23</f>
        <v>8994682.5800000001</v>
      </c>
      <c r="D34" s="379"/>
      <c r="E34" s="412"/>
      <c r="F34" s="432"/>
    </row>
    <row r="35" spans="2:7" ht="13.8" x14ac:dyDescent="0.3">
      <c r="B35" s="440" t="s">
        <v>273</v>
      </c>
      <c r="C35" s="479">
        <f>C8</f>
        <v>2008091.35</v>
      </c>
      <c r="D35" s="379"/>
      <c r="E35" s="413"/>
      <c r="F35" s="432"/>
    </row>
    <row r="36" spans="2:7" ht="13.8" x14ac:dyDescent="0.3">
      <c r="B36" s="441" t="s">
        <v>274</v>
      </c>
      <c r="C36" s="480">
        <f>C34-C35</f>
        <v>6986591.2300000004</v>
      </c>
      <c r="D36" s="379"/>
      <c r="E36" s="379"/>
      <c r="F36" s="432"/>
    </row>
    <row r="37" spans="2:7" ht="13.8" x14ac:dyDescent="0.3">
      <c r="B37" s="438" t="s">
        <v>275</v>
      </c>
      <c r="C37" s="481">
        <f>C7</f>
        <v>3742548.2399999998</v>
      </c>
      <c r="D37" s="473"/>
      <c r="E37" s="473"/>
    </row>
    <row r="38" spans="2:7" ht="13.8" x14ac:dyDescent="0.3">
      <c r="B38" s="442" t="s">
        <v>276</v>
      </c>
      <c r="C38" s="443">
        <f>C37/C36</f>
        <v>0.53567585633602322</v>
      </c>
      <c r="D38" s="379"/>
      <c r="E38" s="379"/>
    </row>
    <row r="39" spans="2:7" ht="13.8" x14ac:dyDescent="0.3">
      <c r="C39" s="437"/>
      <c r="D39" s="379"/>
      <c r="E39" s="379"/>
      <c r="F39" s="231"/>
    </row>
    <row r="40" spans="2:7" ht="13.8" x14ac:dyDescent="0.3">
      <c r="C40" s="388"/>
      <c r="D40" s="379"/>
      <c r="E40" s="379"/>
    </row>
    <row r="41" spans="2:7" ht="13.8" x14ac:dyDescent="0.3">
      <c r="B41" s="427" t="s">
        <v>144</v>
      </c>
      <c r="C41" s="467">
        <v>2024</v>
      </c>
      <c r="D41" s="379"/>
      <c r="E41" s="379"/>
    </row>
    <row r="42" spans="2:7" ht="13.8" x14ac:dyDescent="0.3">
      <c r="B42" s="414" t="s">
        <v>250</v>
      </c>
      <c r="C42" s="477">
        <f>C7</f>
        <v>3742548.2399999998</v>
      </c>
      <c r="D42" s="379"/>
      <c r="E42" s="379"/>
    </row>
    <row r="43" spans="2:7" ht="13.8" x14ac:dyDescent="0.3">
      <c r="B43" s="414" t="s">
        <v>251</v>
      </c>
      <c r="C43" s="477">
        <f>C8</f>
        <v>2008091.35</v>
      </c>
      <c r="D43" s="379"/>
      <c r="E43" s="379"/>
    </row>
    <row r="44" spans="2:7" ht="13.8" x14ac:dyDescent="0.3">
      <c r="B44" s="414" t="s">
        <v>254</v>
      </c>
      <c r="C44" s="477">
        <f>C11</f>
        <v>433966.73</v>
      </c>
      <c r="E44" s="379"/>
    </row>
    <row r="45" spans="2:7" ht="13.8" x14ac:dyDescent="0.3">
      <c r="B45" s="414" t="s">
        <v>257</v>
      </c>
      <c r="C45" s="477">
        <f>C14</f>
        <v>744817.84</v>
      </c>
      <c r="E45" s="379"/>
    </row>
    <row r="46" spans="2:7" ht="13.8" x14ac:dyDescent="0.3">
      <c r="B46" s="414" t="str">
        <f>B10</f>
        <v>Serviços de Terceiro - PF</v>
      </c>
      <c r="C46" s="477">
        <f>C10</f>
        <v>153264.01</v>
      </c>
    </row>
    <row r="47" spans="2:7" ht="13.8" x14ac:dyDescent="0.3">
      <c r="B47" s="414" t="s">
        <v>261</v>
      </c>
      <c r="C47" s="477">
        <f>C18</f>
        <v>114440.66</v>
      </c>
    </row>
    <row r="48" spans="2:7" ht="13.8" x14ac:dyDescent="0.3">
      <c r="B48" s="414"/>
      <c r="C48" s="477"/>
    </row>
    <row r="49" spans="2:3" ht="13.8" x14ac:dyDescent="0.3">
      <c r="B49" s="414"/>
      <c r="C49" s="477"/>
    </row>
  </sheetData>
  <mergeCells count="4">
    <mergeCell ref="B1:E1"/>
    <mergeCell ref="B5:E5"/>
    <mergeCell ref="B4:E4"/>
    <mergeCell ref="B33:C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showGridLines="0" showRowColHeaders="0" zoomScale="130" zoomScaleNormal="130" workbookViewId="0">
      <selection activeCell="E10" sqref="E10:E19"/>
    </sheetView>
  </sheetViews>
  <sheetFormatPr defaultColWidth="11.44140625" defaultRowHeight="13.2" x14ac:dyDescent="0.25"/>
  <cols>
    <col min="1" max="1" width="8.44140625" bestFit="1" customWidth="1"/>
    <col min="2" max="2" width="16.88671875" customWidth="1"/>
    <col min="3" max="3" width="16.109375" bestFit="1" customWidth="1"/>
    <col min="4" max="4" width="8.109375" customWidth="1"/>
    <col min="5" max="5" width="16.44140625" customWidth="1"/>
    <col min="6" max="6" width="8" customWidth="1"/>
    <col min="7" max="7" width="16" customWidth="1"/>
    <col min="8" max="8" width="9.33203125" customWidth="1"/>
    <col min="9" max="9" width="14.6640625" bestFit="1" customWidth="1"/>
    <col min="10" max="10" width="13.33203125" bestFit="1" customWidth="1"/>
    <col min="11" max="11" width="12.44140625" bestFit="1" customWidth="1"/>
    <col min="13" max="13" width="13" bestFit="1" customWidth="1"/>
    <col min="14" max="14" width="14.33203125" bestFit="1" customWidth="1"/>
  </cols>
  <sheetData>
    <row r="1" spans="1:11" ht="17.399999999999999" x14ac:dyDescent="0.3">
      <c r="A1" s="586" t="s">
        <v>196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</row>
    <row r="3" spans="1:11" s="98" customFormat="1" ht="15.6" x14ac:dyDescent="0.3">
      <c r="A3" s="5" t="s">
        <v>197</v>
      </c>
      <c r="B3" s="5"/>
      <c r="C3" s="6"/>
      <c r="D3" s="6"/>
      <c r="E3" s="6"/>
      <c r="F3" s="6"/>
      <c r="G3" s="6"/>
      <c r="H3" s="6"/>
      <c r="I3" s="6"/>
      <c r="J3" s="6"/>
      <c r="K3" s="5"/>
    </row>
    <row r="4" spans="1:11" ht="15.6" x14ac:dyDescent="0.3">
      <c r="A4" s="576" t="s">
        <v>277</v>
      </c>
      <c r="B4" s="576"/>
      <c r="C4" s="576"/>
      <c r="D4" s="576"/>
      <c r="E4" s="576"/>
      <c r="F4" s="576"/>
      <c r="G4" s="576"/>
      <c r="H4" s="576"/>
      <c r="I4" s="576"/>
      <c r="J4" s="576"/>
      <c r="K4" s="576"/>
    </row>
    <row r="6" spans="1:11" ht="16.2" thickBot="1" x14ac:dyDescent="0.35">
      <c r="A6" s="587" t="s">
        <v>142</v>
      </c>
      <c r="B6" s="588"/>
      <c r="C6" s="588"/>
      <c r="D6" s="588"/>
      <c r="E6" s="588"/>
      <c r="F6" s="588"/>
      <c r="G6" s="588"/>
      <c r="H6" s="589"/>
      <c r="I6" s="587" t="s">
        <v>199</v>
      </c>
      <c r="J6" s="588"/>
      <c r="K6" s="589"/>
    </row>
    <row r="7" spans="1:11" x14ac:dyDescent="0.25">
      <c r="A7" s="46"/>
      <c r="B7" s="63" t="s">
        <v>200</v>
      </c>
      <c r="C7" s="63" t="s">
        <v>201</v>
      </c>
      <c r="D7" s="52"/>
      <c r="E7" s="45" t="s">
        <v>4</v>
      </c>
      <c r="F7" s="52"/>
      <c r="G7" s="45" t="s">
        <v>202</v>
      </c>
      <c r="H7" s="52"/>
      <c r="I7" s="63" t="s">
        <v>6</v>
      </c>
      <c r="J7" s="371" t="s">
        <v>203</v>
      </c>
      <c r="K7" s="52" t="s">
        <v>202</v>
      </c>
    </row>
    <row r="8" spans="1:11" x14ac:dyDescent="0.25">
      <c r="A8" s="44" t="s">
        <v>204</v>
      </c>
      <c r="B8" s="64" t="s">
        <v>205</v>
      </c>
      <c r="C8" s="64" t="s">
        <v>206</v>
      </c>
      <c r="D8" s="53" t="s">
        <v>12</v>
      </c>
      <c r="E8" s="15" t="s">
        <v>10</v>
      </c>
      <c r="F8" s="53" t="s">
        <v>12</v>
      </c>
      <c r="G8" s="15" t="s">
        <v>207</v>
      </c>
      <c r="H8" s="53" t="s">
        <v>12</v>
      </c>
      <c r="I8" s="64" t="s">
        <v>208</v>
      </c>
      <c r="J8" s="372" t="s">
        <v>209</v>
      </c>
      <c r="K8" s="53" t="s">
        <v>210</v>
      </c>
    </row>
    <row r="9" spans="1:11" ht="13.8" thickBot="1" x14ac:dyDescent="0.3">
      <c r="A9" s="47"/>
      <c r="B9" s="89">
        <v>2023</v>
      </c>
      <c r="C9" s="89">
        <v>2023</v>
      </c>
      <c r="D9" s="54" t="s">
        <v>211</v>
      </c>
      <c r="E9" s="89">
        <v>2023</v>
      </c>
      <c r="F9" s="54" t="s">
        <v>211</v>
      </c>
      <c r="G9" s="89">
        <v>2023</v>
      </c>
      <c r="H9" s="54"/>
      <c r="I9" s="89">
        <v>2023</v>
      </c>
      <c r="J9" s="373">
        <v>2023</v>
      </c>
      <c r="K9" s="54">
        <v>2023</v>
      </c>
    </row>
    <row r="10" spans="1:11" x14ac:dyDescent="0.25">
      <c r="A10" s="48" t="s">
        <v>212</v>
      </c>
      <c r="B10" s="278">
        <v>10484500</v>
      </c>
      <c r="C10" s="466">
        <v>1585613.58</v>
      </c>
      <c r="D10" s="280">
        <f t="shared" ref="D10:D21" si="0">C10/8884500</f>
        <v>0.17846964713827454</v>
      </c>
      <c r="E10" s="279">
        <v>748934.95</v>
      </c>
      <c r="F10" s="280">
        <f>E10/B10</f>
        <v>7.1432586198674222E-2</v>
      </c>
      <c r="G10" s="276">
        <f t="shared" ref="G10:G21" si="1">C10-E10</f>
        <v>836678.63000000012</v>
      </c>
      <c r="H10" s="281">
        <f>G10/C10</f>
        <v>0.52766868331185712</v>
      </c>
      <c r="I10" s="278">
        <v>7978281.2000000002</v>
      </c>
      <c r="J10" s="276">
        <v>525978.54</v>
      </c>
      <c r="K10" s="282">
        <f>I10-J10</f>
        <v>7452302.6600000001</v>
      </c>
    </row>
    <row r="11" spans="1:11" x14ac:dyDescent="0.25">
      <c r="A11" s="48" t="s">
        <v>213</v>
      </c>
      <c r="B11" s="278">
        <v>10484500</v>
      </c>
      <c r="C11" s="434">
        <v>1681780.97</v>
      </c>
      <c r="D11" s="280">
        <f t="shared" si="0"/>
        <v>0.1892938229500816</v>
      </c>
      <c r="E11" s="276">
        <v>775655.05</v>
      </c>
      <c r="F11" s="280">
        <f t="shared" ref="F11:F21" si="2">E11/B11</f>
        <v>7.3981119748199722E-2</v>
      </c>
      <c r="G11" s="276">
        <f t="shared" si="1"/>
        <v>906125.91999999993</v>
      </c>
      <c r="H11" s="281">
        <f t="shared" ref="H11:H21" si="3">G11/C11</f>
        <v>0.53878949528130282</v>
      </c>
      <c r="I11" s="283">
        <v>8943135.6300000008</v>
      </c>
      <c r="J11" s="276">
        <v>566645.88</v>
      </c>
      <c r="K11" s="282">
        <f>I11-J11</f>
        <v>8376489.7500000009</v>
      </c>
    </row>
    <row r="12" spans="1:11" x14ac:dyDescent="0.25">
      <c r="A12" s="48" t="s">
        <v>214</v>
      </c>
      <c r="B12" s="278">
        <v>10484500</v>
      </c>
      <c r="C12" s="434">
        <v>1051497.8</v>
      </c>
      <c r="D12" s="280">
        <f t="shared" si="0"/>
        <v>0.11835193876976757</v>
      </c>
      <c r="E12" s="276">
        <v>621882.69999999995</v>
      </c>
      <c r="F12" s="280">
        <f t="shared" si="2"/>
        <v>5.9314483284849055E-2</v>
      </c>
      <c r="G12" s="276">
        <f t="shared" si="1"/>
        <v>429615.10000000009</v>
      </c>
      <c r="H12" s="281">
        <f t="shared" si="3"/>
        <v>0.40857441641817993</v>
      </c>
      <c r="I12" s="283">
        <v>9345908.1699999999</v>
      </c>
      <c r="J12" s="276">
        <v>519795.33</v>
      </c>
      <c r="K12" s="282">
        <f t="shared" ref="K12:K18" si="4">I12-J12</f>
        <v>8826112.8399999999</v>
      </c>
    </row>
    <row r="13" spans="1:11" x14ac:dyDescent="0.25">
      <c r="A13" s="48" t="s">
        <v>215</v>
      </c>
      <c r="B13" s="278">
        <v>10484500</v>
      </c>
      <c r="C13" s="434">
        <v>927341.01</v>
      </c>
      <c r="D13" s="280">
        <f t="shared" si="0"/>
        <v>0.10437739996623333</v>
      </c>
      <c r="E13" s="276">
        <v>598190.62</v>
      </c>
      <c r="F13" s="280">
        <f t="shared" si="2"/>
        <v>5.7054758929848827E-2</v>
      </c>
      <c r="G13" s="276">
        <f t="shared" si="1"/>
        <v>329150.39</v>
      </c>
      <c r="H13" s="281">
        <f t="shared" si="3"/>
        <v>0.35493996970974034</v>
      </c>
      <c r="I13" s="283">
        <v>9655931.0600000005</v>
      </c>
      <c r="J13" s="276">
        <v>535367.54</v>
      </c>
      <c r="K13" s="282">
        <f>I13-J13</f>
        <v>9120563.5199999996</v>
      </c>
    </row>
    <row r="14" spans="1:11" x14ac:dyDescent="0.25">
      <c r="A14" s="48" t="s">
        <v>216</v>
      </c>
      <c r="B14" s="278">
        <v>10484500</v>
      </c>
      <c r="C14" s="434">
        <v>760636.12</v>
      </c>
      <c r="D14" s="280">
        <f t="shared" si="0"/>
        <v>8.5613835331194779E-2</v>
      </c>
      <c r="E14" s="276">
        <v>623056.97</v>
      </c>
      <c r="F14" s="423">
        <f t="shared" si="2"/>
        <v>5.9426483857122417E-2</v>
      </c>
      <c r="G14" s="285">
        <f t="shared" si="1"/>
        <v>137579.15000000002</v>
      </c>
      <c r="H14" s="424">
        <f t="shared" si="3"/>
        <v>0.18087380599280511</v>
      </c>
      <c r="I14" s="283">
        <v>9790243.0299999993</v>
      </c>
      <c r="J14" s="276">
        <v>497800.11</v>
      </c>
      <c r="K14" s="286">
        <f>I14-J14</f>
        <v>9292442.9199999999</v>
      </c>
    </row>
    <row r="15" spans="1:11" x14ac:dyDescent="0.25">
      <c r="A15" s="48" t="s">
        <v>217</v>
      </c>
      <c r="B15" s="278">
        <v>10484500</v>
      </c>
      <c r="C15" s="434">
        <v>492970.05</v>
      </c>
      <c r="D15" s="280">
        <f t="shared" si="0"/>
        <v>5.5486527097754514E-2</v>
      </c>
      <c r="E15" s="276">
        <v>438391.13</v>
      </c>
      <c r="F15" s="423">
        <f t="shared" si="2"/>
        <v>4.181326052744528E-2</v>
      </c>
      <c r="G15" s="285">
        <f t="shared" si="1"/>
        <v>54578.919999999984</v>
      </c>
      <c r="H15" s="424">
        <f t="shared" si="3"/>
        <v>0.11071447443916722</v>
      </c>
      <c r="I15" s="283">
        <v>9823926.8300000001</v>
      </c>
      <c r="J15" s="276">
        <v>511522.51</v>
      </c>
      <c r="K15" s="286">
        <f>I15-J15</f>
        <v>9312404.3200000003</v>
      </c>
    </row>
    <row r="16" spans="1:11" x14ac:dyDescent="0.25">
      <c r="A16" s="48" t="s">
        <v>218</v>
      </c>
      <c r="B16" s="278">
        <v>10484500</v>
      </c>
      <c r="C16" s="435">
        <v>366125.75</v>
      </c>
      <c r="D16" s="280">
        <f t="shared" si="0"/>
        <v>4.1209494062693454E-2</v>
      </c>
      <c r="E16" s="276">
        <v>459671.79</v>
      </c>
      <c r="F16" s="423">
        <f t="shared" si="2"/>
        <v>4.3842986313128905E-2</v>
      </c>
      <c r="G16" s="285">
        <f t="shared" si="1"/>
        <v>-93546.039999999979</v>
      </c>
      <c r="H16" s="424">
        <f t="shared" si="3"/>
        <v>-0.25550248787472607</v>
      </c>
      <c r="I16" s="283">
        <v>9742004.3300000001</v>
      </c>
      <c r="J16" s="276">
        <v>556282.04</v>
      </c>
      <c r="K16" s="286">
        <f t="shared" si="4"/>
        <v>9185722.2899999991</v>
      </c>
    </row>
    <row r="17" spans="1:14" x14ac:dyDescent="0.25">
      <c r="A17" s="48" t="s">
        <v>219</v>
      </c>
      <c r="B17" s="278">
        <v>10484500</v>
      </c>
      <c r="C17" s="435">
        <v>412450.31</v>
      </c>
      <c r="D17" s="280">
        <f t="shared" si="0"/>
        <v>4.6423581518374696E-2</v>
      </c>
      <c r="E17" s="276">
        <v>455421.3</v>
      </c>
      <c r="F17" s="423">
        <f t="shared" si="2"/>
        <v>4.3437579283704515E-2</v>
      </c>
      <c r="G17" s="285">
        <f t="shared" si="1"/>
        <v>-42970.989999999991</v>
      </c>
      <c r="H17" s="424">
        <f t="shared" si="3"/>
        <v>-0.10418464711543068</v>
      </c>
      <c r="I17" s="283">
        <v>9703531.7799999993</v>
      </c>
      <c r="J17" s="276">
        <v>586258.59</v>
      </c>
      <c r="K17" s="286">
        <f>I17-J17</f>
        <v>9117273.1899999995</v>
      </c>
      <c r="M17" s="101"/>
    </row>
    <row r="18" spans="1:14" x14ac:dyDescent="0.25">
      <c r="A18" s="48" t="s">
        <v>220</v>
      </c>
      <c r="B18" s="278">
        <v>10484500</v>
      </c>
      <c r="C18" s="435">
        <v>410100.67</v>
      </c>
      <c r="D18" s="280">
        <f t="shared" si="0"/>
        <v>4.6159116438741626E-2</v>
      </c>
      <c r="E18" s="276">
        <v>558425.43999999994</v>
      </c>
      <c r="F18" s="280">
        <f t="shared" si="2"/>
        <v>5.3262000095378889E-2</v>
      </c>
      <c r="G18" s="285">
        <f t="shared" si="1"/>
        <v>-148324.76999999996</v>
      </c>
      <c r="H18" s="281">
        <f t="shared" si="3"/>
        <v>-0.36167892629875481</v>
      </c>
      <c r="I18" s="283">
        <v>9604146.2699999996</v>
      </c>
      <c r="J18" s="276">
        <v>654250.44999999995</v>
      </c>
      <c r="K18" s="286">
        <f t="shared" si="4"/>
        <v>8949895.8200000003</v>
      </c>
    </row>
    <row r="19" spans="1:14" x14ac:dyDescent="0.25">
      <c r="A19" s="48" t="s">
        <v>221</v>
      </c>
      <c r="B19" s="278">
        <v>10484500</v>
      </c>
      <c r="C19" s="435">
        <v>391257.5</v>
      </c>
      <c r="D19" s="280">
        <f t="shared" si="0"/>
        <v>4.403821261747988E-2</v>
      </c>
      <c r="E19" s="276">
        <v>528046.52</v>
      </c>
      <c r="F19" s="280">
        <f t="shared" si="2"/>
        <v>5.0364492345843864E-2</v>
      </c>
      <c r="G19" s="285">
        <f t="shared" si="1"/>
        <v>-136789.02000000002</v>
      </c>
      <c r="H19" s="281">
        <f t="shared" si="3"/>
        <v>-0.34961379654064145</v>
      </c>
      <c r="I19" s="283">
        <v>9438407.5800000001</v>
      </c>
      <c r="J19" s="276">
        <v>706804.63</v>
      </c>
      <c r="K19" s="286">
        <f>I19-J19</f>
        <v>8731602.9499999993</v>
      </c>
      <c r="N19" s="482"/>
    </row>
    <row r="20" spans="1:14" x14ac:dyDescent="0.25">
      <c r="A20" s="48" t="s">
        <v>222</v>
      </c>
      <c r="B20" s="278">
        <v>10484500</v>
      </c>
      <c r="C20" s="435">
        <v>286274.28000000003</v>
      </c>
      <c r="D20" s="280">
        <f t="shared" si="0"/>
        <v>3.2221765996960999E-2</v>
      </c>
      <c r="E20" s="276">
        <v>696544.64</v>
      </c>
      <c r="F20" s="280">
        <f t="shared" si="2"/>
        <v>6.6435656445228669E-2</v>
      </c>
      <c r="G20" s="285">
        <f t="shared" si="1"/>
        <v>-410270.36</v>
      </c>
      <c r="H20" s="281">
        <f t="shared" si="3"/>
        <v>-1.433137339477371</v>
      </c>
      <c r="I20" s="283">
        <v>9091765.1699999999</v>
      </c>
      <c r="J20" s="276">
        <v>800186.69</v>
      </c>
      <c r="K20" s="286">
        <f>I20-J20</f>
        <v>8291578.4800000004</v>
      </c>
    </row>
    <row r="21" spans="1:14" x14ac:dyDescent="0.25">
      <c r="A21" s="48" t="s">
        <v>223</v>
      </c>
      <c r="B21" s="278">
        <v>10484500</v>
      </c>
      <c r="C21" s="435">
        <v>299540.31</v>
      </c>
      <c r="D21" s="280">
        <f t="shared" si="0"/>
        <v>3.3714931622488606E-2</v>
      </c>
      <c r="E21" s="276">
        <v>708516.22</v>
      </c>
      <c r="F21" s="280">
        <f t="shared" si="2"/>
        <v>6.7577492488912205E-2</v>
      </c>
      <c r="G21" s="285">
        <f t="shared" si="1"/>
        <v>-408975.91</v>
      </c>
      <c r="H21" s="281">
        <f t="shared" si="3"/>
        <v>-1.3653451517092974</v>
      </c>
      <c r="I21" s="283">
        <v>8645587.2599999998</v>
      </c>
      <c r="J21" s="276">
        <v>640057.18000000005</v>
      </c>
      <c r="K21" s="286">
        <f>I21-J21</f>
        <v>8005530.0800000001</v>
      </c>
    </row>
    <row r="22" spans="1:14" ht="13.8" thickBot="1" x14ac:dyDescent="0.3">
      <c r="A22" s="49"/>
      <c r="B22" s="290"/>
      <c r="C22" s="435"/>
      <c r="D22" s="290"/>
      <c r="E22" s="291"/>
      <c r="F22" s="290"/>
      <c r="G22" s="292"/>
      <c r="H22" s="289"/>
      <c r="I22" s="475"/>
      <c r="J22" s="276"/>
      <c r="K22" s="293"/>
    </row>
    <row r="23" spans="1:14" ht="13.8" thickBot="1" x14ac:dyDescent="0.3">
      <c r="A23" s="72" t="s">
        <v>224</v>
      </c>
      <c r="B23" s="374">
        <v>10484500</v>
      </c>
      <c r="C23" s="74">
        <f>SUM(C10:C22)</f>
        <v>8665588.3499999996</v>
      </c>
      <c r="D23" s="75">
        <f>C23/8884500</f>
        <v>0.97536027351004551</v>
      </c>
      <c r="E23" s="374">
        <f>SUM(E10:E22)</f>
        <v>7212737.3299999982</v>
      </c>
      <c r="F23" s="75">
        <f>E23/B23</f>
        <v>0.68794289951833643</v>
      </c>
      <c r="G23" s="74">
        <f>C23-E23</f>
        <v>1452851.0200000014</v>
      </c>
      <c r="H23" s="75">
        <f>E23/C23</f>
        <v>0.83234248370452524</v>
      </c>
      <c r="I23" s="474">
        <f>I21</f>
        <v>8645587.2599999998</v>
      </c>
      <c r="J23" s="73">
        <f>J21</f>
        <v>640057.18000000005</v>
      </c>
      <c r="K23" s="74">
        <f>I23-J23</f>
        <v>8005530.0800000001</v>
      </c>
      <c r="L23" s="13"/>
    </row>
    <row r="24" spans="1:14" ht="13.8" thickBot="1" x14ac:dyDescent="0.3">
      <c r="A24" s="221"/>
      <c r="B24" s="223"/>
      <c r="C24" s="223"/>
      <c r="D24" s="224"/>
      <c r="E24" s="223"/>
      <c r="F24" s="224"/>
      <c r="G24" s="223"/>
      <c r="H24" s="224"/>
      <c r="I24" s="223"/>
      <c r="J24" s="223"/>
      <c r="K24" s="223"/>
      <c r="L24" s="13"/>
    </row>
    <row r="25" spans="1:14" ht="13.8" thickBot="1" x14ac:dyDescent="0.3">
      <c r="A25" s="28"/>
      <c r="C25" s="590" t="s">
        <v>225</v>
      </c>
      <c r="D25" s="591"/>
      <c r="E25" s="592" t="s">
        <v>226</v>
      </c>
      <c r="F25" s="593"/>
      <c r="G25" s="377" t="s">
        <v>227</v>
      </c>
      <c r="I25" s="246"/>
    </row>
    <row r="26" spans="1:14" ht="13.8" thickBot="1" x14ac:dyDescent="0.3">
      <c r="A26" s="603" t="s">
        <v>228</v>
      </c>
      <c r="B26" s="604"/>
      <c r="C26" s="643">
        <v>8884500</v>
      </c>
      <c r="D26" s="644"/>
      <c r="E26" s="607">
        <v>8884500</v>
      </c>
      <c r="F26" s="608"/>
      <c r="G26" s="645">
        <f>C27-E27</f>
        <v>1454841.0199999996</v>
      </c>
      <c r="I26" s="246"/>
    </row>
    <row r="27" spans="1:14" ht="18.75" customHeight="1" thickBot="1" x14ac:dyDescent="0.3">
      <c r="A27" s="603" t="s">
        <v>229</v>
      </c>
      <c r="B27" s="604"/>
      <c r="C27" s="469">
        <v>8665588.3499999996</v>
      </c>
      <c r="D27" s="484">
        <f>C27/C26</f>
        <v>0.97536027351004551</v>
      </c>
      <c r="E27" s="483">
        <v>7210747.3300000001</v>
      </c>
      <c r="F27" s="485">
        <f>E27/E26</f>
        <v>0.81160980696719009</v>
      </c>
      <c r="G27" s="646"/>
      <c r="I27" s="101"/>
      <c r="J27" s="249"/>
      <c r="K27" s="368"/>
      <c r="L27" s="248"/>
      <c r="M27" s="248"/>
      <c r="N27" s="248"/>
    </row>
    <row r="28" spans="1:14" x14ac:dyDescent="0.25">
      <c r="C28" s="99"/>
      <c r="E28" s="231"/>
      <c r="G28" s="231"/>
      <c r="I28" s="231"/>
    </row>
    <row r="29" spans="1:14" x14ac:dyDescent="0.25">
      <c r="A29" s="486"/>
      <c r="B29" s="486"/>
      <c r="C29" s="487"/>
      <c r="D29" s="486"/>
      <c r="E29" s="487"/>
      <c r="G29" s="246"/>
      <c r="I29" s="246"/>
      <c r="J29" s="101"/>
    </row>
    <row r="30" spans="1:14" x14ac:dyDescent="0.25">
      <c r="C30" s="25"/>
      <c r="E30" s="25"/>
      <c r="G30" s="246"/>
    </row>
    <row r="31" spans="1:14" x14ac:dyDescent="0.25">
      <c r="B31" s="246"/>
      <c r="C31" s="426"/>
      <c r="E31" s="376"/>
      <c r="G31" s="231"/>
      <c r="I31" s="231"/>
    </row>
    <row r="32" spans="1:14" x14ac:dyDescent="0.25">
      <c r="B32" s="246"/>
      <c r="G32" s="231"/>
    </row>
  </sheetData>
  <mergeCells count="11">
    <mergeCell ref="A26:B26"/>
    <mergeCell ref="C26:D26"/>
    <mergeCell ref="E26:F26"/>
    <mergeCell ref="G26:G27"/>
    <mergeCell ref="A27:B27"/>
    <mergeCell ref="A1:K1"/>
    <mergeCell ref="A4:K4"/>
    <mergeCell ref="A6:H6"/>
    <mergeCell ref="I6:K6"/>
    <mergeCell ref="C25:D25"/>
    <mergeCell ref="E25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4"/>
  <sheetViews>
    <sheetView showGridLines="0" zoomScale="120" zoomScaleNormal="120" workbookViewId="0">
      <selection activeCell="C12" sqref="C12"/>
    </sheetView>
  </sheetViews>
  <sheetFormatPr defaultRowHeight="13.2" x14ac:dyDescent="0.25"/>
  <cols>
    <col min="1" max="1" width="8.44140625" customWidth="1"/>
    <col min="2" max="2" width="14.44140625" customWidth="1"/>
    <col min="3" max="3" width="14.6640625" customWidth="1"/>
    <col min="4" max="4" width="13.6640625" customWidth="1"/>
    <col min="5" max="5" width="12.6640625" bestFit="1" customWidth="1"/>
    <col min="6" max="6" width="14.44140625" customWidth="1"/>
    <col min="7" max="9" width="16.33203125" bestFit="1" customWidth="1"/>
  </cols>
  <sheetData>
    <row r="1" spans="1:9" ht="20.399999999999999" x14ac:dyDescent="0.35">
      <c r="A1" s="611" t="s">
        <v>230</v>
      </c>
      <c r="B1" s="611"/>
      <c r="C1" s="611"/>
      <c r="D1" s="611"/>
      <c r="E1" s="611"/>
      <c r="F1" s="611"/>
      <c r="G1" s="611"/>
      <c r="H1" s="611"/>
      <c r="I1" s="611"/>
    </row>
    <row r="2" spans="1:9" ht="17.399999999999999" x14ac:dyDescent="0.3">
      <c r="A2" s="97"/>
      <c r="B2" s="97"/>
      <c r="C2" s="97"/>
      <c r="D2" s="97"/>
      <c r="E2" s="97"/>
      <c r="F2" s="97"/>
      <c r="G2" s="97"/>
      <c r="H2" s="97"/>
      <c r="I2" s="97"/>
    </row>
    <row r="3" spans="1:9" s="100" customFormat="1" ht="17.399999999999999" x14ac:dyDescent="0.3">
      <c r="A3" s="22" t="s">
        <v>231</v>
      </c>
      <c r="B3" s="22"/>
      <c r="C3" s="22"/>
      <c r="D3" s="22"/>
      <c r="E3" s="22"/>
      <c r="F3" s="22"/>
      <c r="G3" s="22"/>
      <c r="H3" s="22"/>
      <c r="I3" s="22"/>
    </row>
    <row r="4" spans="1:9" s="100" customFormat="1" ht="17.399999999999999" x14ac:dyDescent="0.3">
      <c r="A4" s="586" t="s">
        <v>278</v>
      </c>
      <c r="B4" s="586"/>
      <c r="C4" s="586"/>
      <c r="D4" s="586"/>
      <c r="E4" s="586"/>
      <c r="F4" s="586"/>
      <c r="G4" s="586"/>
      <c r="H4" s="586"/>
      <c r="I4" s="586"/>
    </row>
    <row r="5" spans="1:9" ht="13.8" thickBot="1" x14ac:dyDescent="0.3">
      <c r="A5" s="15"/>
      <c r="B5" s="15"/>
      <c r="C5" s="15"/>
      <c r="D5" s="15"/>
      <c r="E5" s="16"/>
      <c r="F5" s="13"/>
      <c r="G5" s="13"/>
      <c r="H5" s="13"/>
      <c r="I5" s="13"/>
    </row>
    <row r="6" spans="1:9" x14ac:dyDescent="0.25">
      <c r="A6" s="63"/>
      <c r="B6" s="612" t="s">
        <v>233</v>
      </c>
      <c r="C6" s="613"/>
      <c r="D6" s="613"/>
      <c r="E6" s="614"/>
      <c r="F6" s="612" t="s">
        <v>234</v>
      </c>
      <c r="G6" s="613"/>
      <c r="H6" s="613"/>
      <c r="I6" s="614"/>
    </row>
    <row r="7" spans="1:9" ht="13.8" thickBot="1" x14ac:dyDescent="0.3">
      <c r="A7" s="64"/>
      <c r="B7" s="615" t="s">
        <v>143</v>
      </c>
      <c r="C7" s="616"/>
      <c r="D7" s="617"/>
      <c r="E7" s="618"/>
      <c r="F7" s="619" t="s">
        <v>144</v>
      </c>
      <c r="G7" s="620"/>
      <c r="H7" s="621"/>
      <c r="I7" s="622"/>
    </row>
    <row r="8" spans="1:9" x14ac:dyDescent="0.25">
      <c r="A8" s="64" t="s">
        <v>235</v>
      </c>
      <c r="B8" s="63" t="s">
        <v>201</v>
      </c>
      <c r="C8" s="52" t="s">
        <v>201</v>
      </c>
      <c r="D8" s="119" t="s">
        <v>11</v>
      </c>
      <c r="E8" s="624" t="s">
        <v>12</v>
      </c>
      <c r="F8" s="52" t="s">
        <v>4</v>
      </c>
      <c r="G8" s="52" t="s">
        <v>4</v>
      </c>
      <c r="H8" s="119" t="s">
        <v>11</v>
      </c>
      <c r="I8" s="627" t="s">
        <v>12</v>
      </c>
    </row>
    <row r="9" spans="1:9" x14ac:dyDescent="0.25">
      <c r="A9" s="64"/>
      <c r="B9" s="64" t="s">
        <v>206</v>
      </c>
      <c r="C9" s="53" t="s">
        <v>206</v>
      </c>
      <c r="D9" s="119" t="s">
        <v>236</v>
      </c>
      <c r="E9" s="625"/>
      <c r="F9" s="53" t="s">
        <v>10</v>
      </c>
      <c r="G9" s="53" t="s">
        <v>10</v>
      </c>
      <c r="H9" s="119" t="s">
        <v>236</v>
      </c>
      <c r="I9" s="628"/>
    </row>
    <row r="10" spans="1:9" ht="13.8" thickBot="1" x14ac:dyDescent="0.3">
      <c r="A10" s="89"/>
      <c r="B10" s="89">
        <v>2022</v>
      </c>
      <c r="C10" s="54">
        <v>2023</v>
      </c>
      <c r="D10" s="120" t="s">
        <v>279</v>
      </c>
      <c r="E10" s="626"/>
      <c r="F10" s="54">
        <v>2022</v>
      </c>
      <c r="G10" s="54">
        <v>2023</v>
      </c>
      <c r="H10" s="120" t="s">
        <v>280</v>
      </c>
      <c r="I10" s="629"/>
    </row>
    <row r="11" spans="1:9" x14ac:dyDescent="0.25">
      <c r="A11" s="94" t="s">
        <v>237</v>
      </c>
      <c r="B11" s="36">
        <v>1545006.53</v>
      </c>
      <c r="C11" s="36">
        <f>'Orçamentário e fin. 2024'!C10</f>
        <v>2013121.81</v>
      </c>
      <c r="D11" s="36">
        <f t="shared" ref="D11:D22" si="0">C11-B11</f>
        <v>468115.28</v>
      </c>
      <c r="E11" s="90">
        <f t="shared" ref="E11:E22" si="1">D11/B11</f>
        <v>0.3029859556645369</v>
      </c>
      <c r="F11" s="36">
        <v>755471.54</v>
      </c>
      <c r="G11" s="86">
        <f>'Orçamentário e fin. 2024'!E10</f>
        <v>918804.85</v>
      </c>
      <c r="H11" s="79">
        <f>G11-F11</f>
        <v>163333.30999999994</v>
      </c>
      <c r="I11" s="108">
        <f t="shared" ref="I11:I22" si="2">H11/F11</f>
        <v>0.21620048056343716</v>
      </c>
    </row>
    <row r="12" spans="1:9" x14ac:dyDescent="0.25">
      <c r="A12" s="95" t="s">
        <v>238</v>
      </c>
      <c r="B12" s="36">
        <f>'Orçamentário e fin. 2022'!C11</f>
        <v>1559969.85</v>
      </c>
      <c r="C12" s="36">
        <f>'Orçamentário e fin. 2024'!C11</f>
        <v>1534663.4</v>
      </c>
      <c r="D12" s="36">
        <f t="shared" si="0"/>
        <v>-25306.450000000186</v>
      </c>
      <c r="E12" s="90">
        <f t="shared" si="1"/>
        <v>-1.6222396862349733E-2</v>
      </c>
      <c r="F12" s="36">
        <f>'Orçamentário e fin. 2022'!E11</f>
        <v>718684.35</v>
      </c>
      <c r="G12" s="55">
        <f>'Orçamentário e fin. 2024'!E11</f>
        <v>806666.92</v>
      </c>
      <c r="H12" s="79">
        <f t="shared" ref="H12:H22" si="3">G12-F12</f>
        <v>87982.570000000065</v>
      </c>
      <c r="I12" s="108">
        <f t="shared" si="2"/>
        <v>0.12242171406682234</v>
      </c>
    </row>
    <row r="13" spans="1:9" x14ac:dyDescent="0.25">
      <c r="A13" s="95" t="s">
        <v>239</v>
      </c>
      <c r="B13" s="36">
        <f>'Orçamentário e fin. 2022'!C12</f>
        <v>926375.44</v>
      </c>
      <c r="C13" s="36">
        <f>'Orçamentário e fin. 2024'!C12</f>
        <v>886837.2</v>
      </c>
      <c r="D13" s="36">
        <f t="shared" si="0"/>
        <v>-39538.239999999991</v>
      </c>
      <c r="E13" s="90">
        <f t="shared" si="1"/>
        <v>-4.2680578837452764E-2</v>
      </c>
      <c r="F13" s="36">
        <f>'Orçamentário e fin. 2022'!E12</f>
        <v>586698.89</v>
      </c>
      <c r="G13" s="55">
        <f>'Orçamentário e fin. 2024'!E12</f>
        <v>827534.5</v>
      </c>
      <c r="H13" s="79">
        <f t="shared" si="3"/>
        <v>240835.61</v>
      </c>
      <c r="I13" s="108">
        <f t="shared" si="2"/>
        <v>0.41049269754030043</v>
      </c>
    </row>
    <row r="14" spans="1:9" x14ac:dyDescent="0.25">
      <c r="A14" s="95" t="s">
        <v>240</v>
      </c>
      <c r="B14" s="36">
        <f>'Orçamentário e fin. 2022'!C13</f>
        <v>983453.79</v>
      </c>
      <c r="C14" s="36">
        <f>'Orçamentário e fin. 2024'!C13</f>
        <v>829113.25</v>
      </c>
      <c r="D14" s="36">
        <f t="shared" si="0"/>
        <v>-154340.54000000004</v>
      </c>
      <c r="E14" s="90">
        <f t="shared" si="1"/>
        <v>-0.15693725680796861</v>
      </c>
      <c r="F14" s="36">
        <f>'Orçamentário e fin. 2022'!E13</f>
        <v>607901.67000000004</v>
      </c>
      <c r="G14" s="55">
        <f>'Orçamentário e fin. 2024'!E13</f>
        <v>644038.03</v>
      </c>
      <c r="H14" s="79">
        <f t="shared" si="3"/>
        <v>36136.359999999986</v>
      </c>
      <c r="I14" s="108">
        <f t="shared" si="2"/>
        <v>5.9444416397145254E-2</v>
      </c>
    </row>
    <row r="15" spans="1:9" x14ac:dyDescent="0.25">
      <c r="A15" s="95" t="s">
        <v>241</v>
      </c>
      <c r="B15" s="36">
        <f>'Orçamentário e fin. 2022'!C14</f>
        <v>634046.57999999996</v>
      </c>
      <c r="C15" s="36">
        <f>'Orçamentário e fin. 2024'!C14</f>
        <v>838050.6</v>
      </c>
      <c r="D15" s="36">
        <f t="shared" si="0"/>
        <v>204004.02000000002</v>
      </c>
      <c r="E15" s="90">
        <f t="shared" si="1"/>
        <v>0.32174926327967895</v>
      </c>
      <c r="F15" s="36">
        <f>'Orçamentário e fin. 2022'!E14</f>
        <v>513537.23</v>
      </c>
      <c r="G15" s="55">
        <f>'Orçamentário e fin. 2024'!E14</f>
        <v>621749.6</v>
      </c>
      <c r="H15" s="79">
        <f t="shared" si="3"/>
        <v>108212.37</v>
      </c>
      <c r="I15" s="108">
        <f t="shared" si="2"/>
        <v>0.21071962007506251</v>
      </c>
    </row>
    <row r="16" spans="1:9" x14ac:dyDescent="0.25">
      <c r="A16" s="95" t="s">
        <v>242</v>
      </c>
      <c r="B16" s="36">
        <f>'Orçamentário e fin. 2022'!C15</f>
        <v>490560.63</v>
      </c>
      <c r="C16" s="36">
        <f>'Orçamentário e fin. 2024'!C15</f>
        <v>603408.84</v>
      </c>
      <c r="D16" s="36">
        <f t="shared" si="0"/>
        <v>112848.20999999996</v>
      </c>
      <c r="E16" s="90">
        <f t="shared" si="1"/>
        <v>0.23003927159829349</v>
      </c>
      <c r="F16" s="36">
        <f>'Orçamentário e fin. 2022'!E15</f>
        <v>437140.46</v>
      </c>
      <c r="G16" s="55">
        <f>'Orçamentário e fin. 2024'!E15</f>
        <v>597635.89</v>
      </c>
      <c r="H16" s="79">
        <f t="shared" si="3"/>
        <v>160495.43</v>
      </c>
      <c r="I16" s="108">
        <f t="shared" si="2"/>
        <v>0.36714842181389473</v>
      </c>
    </row>
    <row r="17" spans="1:11" x14ac:dyDescent="0.25">
      <c r="A17" s="95" t="s">
        <v>243</v>
      </c>
      <c r="B17" s="36">
        <f>'Comparativo 21 22'!C17</f>
        <v>387780.12</v>
      </c>
      <c r="C17" s="36">
        <f>'Orçamentário e fin. 2024'!C16</f>
        <v>610638.28</v>
      </c>
      <c r="D17" s="36">
        <f t="shared" si="0"/>
        <v>222858.16000000003</v>
      </c>
      <c r="E17" s="90">
        <f t="shared" si="1"/>
        <v>0.57470238546524777</v>
      </c>
      <c r="F17" s="36">
        <f>'Comparativo 21 22'!G17</f>
        <v>448223.23</v>
      </c>
      <c r="G17" s="56">
        <f>'Orçamentário e fin. 2024'!E16</f>
        <v>596458.84</v>
      </c>
      <c r="H17" s="79">
        <f t="shared" si="3"/>
        <v>148235.60999999999</v>
      </c>
      <c r="I17" s="108">
        <f t="shared" si="2"/>
        <v>0.33071826732407422</v>
      </c>
    </row>
    <row r="18" spans="1:11" x14ac:dyDescent="0.25">
      <c r="A18" s="95" t="s">
        <v>244</v>
      </c>
      <c r="B18" s="36">
        <f>'Orçamentário e fin. 2022'!C17</f>
        <v>397717.71</v>
      </c>
      <c r="C18" s="36">
        <f>'Orçamentário e fin. 2024'!C17</f>
        <v>478634.26</v>
      </c>
      <c r="D18" s="36">
        <f t="shared" si="0"/>
        <v>80916.549999999988</v>
      </c>
      <c r="E18" s="90">
        <f t="shared" si="1"/>
        <v>0.20345221740314251</v>
      </c>
      <c r="F18" s="36">
        <f>'Orçamentário e fin. 2022'!E17</f>
        <v>492269.7</v>
      </c>
      <c r="G18" s="56">
        <f>'Orçamentário e fin. 2024'!E17</f>
        <v>496275.54</v>
      </c>
      <c r="H18" s="79">
        <f t="shared" si="3"/>
        <v>4005.8399999999674</v>
      </c>
      <c r="I18" s="108">
        <f t="shared" si="2"/>
        <v>8.137490485398486E-3</v>
      </c>
    </row>
    <row r="19" spans="1:11" x14ac:dyDescent="0.25">
      <c r="A19" s="95" t="s">
        <v>245</v>
      </c>
      <c r="B19" s="36">
        <f>'Orçamentário e fin. 2022'!C18</f>
        <v>317838.92</v>
      </c>
      <c r="C19" s="36">
        <f>'Orçamentário e fin. 2024'!C18</f>
        <v>436226.72</v>
      </c>
      <c r="D19" s="36">
        <f t="shared" si="0"/>
        <v>118387.79999999999</v>
      </c>
      <c r="E19" s="90">
        <f t="shared" si="1"/>
        <v>0.37247735425227341</v>
      </c>
      <c r="F19" s="36">
        <f>'Orçamentário e fin. 2022'!E18</f>
        <v>409073.48</v>
      </c>
      <c r="G19" s="87">
        <f>'Orçamentário e fin. 2024'!E18</f>
        <v>583393.49</v>
      </c>
      <c r="H19" s="79">
        <f t="shared" si="3"/>
        <v>174320.01</v>
      </c>
      <c r="I19" s="108">
        <f t="shared" si="2"/>
        <v>0.42613373519104691</v>
      </c>
    </row>
    <row r="20" spans="1:11" x14ac:dyDescent="0.25">
      <c r="A20" s="95" t="s">
        <v>246</v>
      </c>
      <c r="B20" s="36">
        <f>'Orçamentário e fin. 2022'!C19</f>
        <v>233340.7</v>
      </c>
      <c r="C20" s="36">
        <f>'Orçamentário e fin. 2024'!C19</f>
        <v>437245.75</v>
      </c>
      <c r="D20" s="36">
        <f t="shared" si="0"/>
        <v>203905.05</v>
      </c>
      <c r="E20" s="90">
        <f t="shared" si="1"/>
        <v>0.873851196983638</v>
      </c>
      <c r="F20" s="36">
        <f>'Orçamentário e fin. 2022'!E19</f>
        <v>383967.38</v>
      </c>
      <c r="G20" s="87">
        <f>'Orçamentário e fin. 2024'!E19</f>
        <v>671012.78</v>
      </c>
      <c r="H20" s="79">
        <f t="shared" si="3"/>
        <v>287045.40000000002</v>
      </c>
      <c r="I20" s="108">
        <f t="shared" si="2"/>
        <v>0.7475775676569193</v>
      </c>
    </row>
    <row r="21" spans="1:11" x14ac:dyDescent="0.25">
      <c r="A21" s="95" t="s">
        <v>247</v>
      </c>
      <c r="B21" s="36">
        <f>'Orçamentário e fin. 2022'!C20</f>
        <v>240809.01</v>
      </c>
      <c r="C21" s="36">
        <f>'Orçamentário e fin. 2024'!C20</f>
        <v>326742.46999999997</v>
      </c>
      <c r="D21" s="36">
        <f t="shared" si="0"/>
        <v>85933.459999999963</v>
      </c>
      <c r="E21" s="90">
        <f t="shared" si="1"/>
        <v>0.35685317588407495</v>
      </c>
      <c r="F21" s="36">
        <f>'Orçamentário e fin. 2022'!E20</f>
        <v>455511.07</v>
      </c>
      <c r="G21" s="87">
        <f>'Orçamentário e fin. 2024'!E20</f>
        <v>661940.93000000005</v>
      </c>
      <c r="H21" s="79">
        <f t="shared" si="3"/>
        <v>206429.86000000004</v>
      </c>
      <c r="I21" s="108">
        <f t="shared" si="2"/>
        <v>0.45318297094294557</v>
      </c>
    </row>
    <row r="22" spans="1:11" x14ac:dyDescent="0.25">
      <c r="A22" s="95" t="s">
        <v>248</v>
      </c>
      <c r="B22" s="36">
        <v>281190.09000000003</v>
      </c>
      <c r="C22" s="36">
        <f>'Orçamentário e fin. 2024'!C21</f>
        <v>0</v>
      </c>
      <c r="D22" s="36">
        <f t="shared" si="0"/>
        <v>-281190.09000000003</v>
      </c>
      <c r="E22" s="90">
        <f t="shared" si="1"/>
        <v>-1</v>
      </c>
      <c r="F22" s="36">
        <v>475463.26</v>
      </c>
      <c r="G22" s="87">
        <f>'Orçamentário e fin. 2024'!E21</f>
        <v>0</v>
      </c>
      <c r="H22" s="79">
        <f t="shared" si="3"/>
        <v>-475463.26</v>
      </c>
      <c r="I22" s="108">
        <f t="shared" si="2"/>
        <v>-1</v>
      </c>
    </row>
    <row r="23" spans="1:11" ht="13.8" thickBot="1" x14ac:dyDescent="0.3">
      <c r="A23" s="96"/>
      <c r="B23" s="36"/>
      <c r="C23" s="36"/>
      <c r="D23" s="36"/>
      <c r="E23" s="110"/>
      <c r="F23" s="110"/>
      <c r="G23" s="36"/>
      <c r="H23" s="111"/>
      <c r="I23" s="112"/>
    </row>
    <row r="24" spans="1:11" ht="13.8" thickBot="1" x14ac:dyDescent="0.3">
      <c r="A24" s="127" t="s">
        <v>224</v>
      </c>
      <c r="B24" s="113">
        <f>SUM(B11:B23)</f>
        <v>7998089.3699999992</v>
      </c>
      <c r="C24" s="113">
        <f>SUM(C11:C23)</f>
        <v>8994682.5800000001</v>
      </c>
      <c r="D24" s="125">
        <f>C24-B24</f>
        <v>996593.21000000089</v>
      </c>
      <c r="E24" s="126">
        <f>D24/B24</f>
        <v>0.12460391024612932</v>
      </c>
      <c r="F24" s="113">
        <f>SUM(F11:F23)</f>
        <v>6283942.2600000007</v>
      </c>
      <c r="G24" s="113">
        <f>SUM(G11:G23)</f>
        <v>7425511.3700000001</v>
      </c>
      <c r="H24" s="121">
        <f>G24-F24</f>
        <v>1141569.1099999994</v>
      </c>
      <c r="I24" s="122">
        <f>H24/F24</f>
        <v>0.18166448111189348</v>
      </c>
    </row>
    <row r="25" spans="1:11" x14ac:dyDescent="0.25">
      <c r="A25" s="248"/>
      <c r="B25" s="248"/>
      <c r="C25" s="248"/>
      <c r="D25" s="249"/>
      <c r="E25" s="13"/>
      <c r="F25" s="13"/>
      <c r="G25" s="13"/>
      <c r="H25" s="13"/>
      <c r="I25" s="13"/>
      <c r="J25" s="13"/>
      <c r="K25" s="13"/>
    </row>
    <row r="26" spans="1:11" x14ac:dyDescent="0.25">
      <c r="A26" s="630"/>
      <c r="B26" s="631"/>
      <c r="C26" s="632"/>
      <c r="D26" s="632"/>
      <c r="E26" s="222"/>
      <c r="F26" s="222"/>
      <c r="G26" s="220"/>
      <c r="H26" s="223"/>
      <c r="I26" s="224"/>
      <c r="J26" s="13"/>
      <c r="K26" s="13"/>
    </row>
    <row r="27" spans="1:11" x14ac:dyDescent="0.25">
      <c r="A27" s="631"/>
      <c r="B27" s="631"/>
      <c r="C27" s="632"/>
      <c r="D27" s="632"/>
      <c r="E27" s="221"/>
      <c r="F27" s="476"/>
      <c r="G27" s="310"/>
      <c r="H27" s="15"/>
      <c r="I27" s="13"/>
      <c r="J27" s="13"/>
      <c r="K27" s="13"/>
    </row>
    <row r="28" spans="1:11" x14ac:dyDescent="0.25">
      <c r="A28" s="248"/>
      <c r="B28" s="248"/>
      <c r="C28" s="623"/>
      <c r="D28" s="623"/>
      <c r="E28" s="13"/>
      <c r="F28" s="118"/>
      <c r="G28" s="13"/>
      <c r="H28" s="13"/>
      <c r="I28" s="13"/>
      <c r="J28" s="13"/>
      <c r="K28" s="13"/>
    </row>
    <row r="29" spans="1:11" x14ac:dyDescent="0.25">
      <c r="A29" s="248"/>
      <c r="B29" s="248"/>
      <c r="C29" s="385"/>
      <c r="D29" s="248"/>
      <c r="E29" s="13"/>
      <c r="F29" s="118"/>
      <c r="G29" s="13"/>
      <c r="H29" s="13"/>
      <c r="I29" s="13"/>
      <c r="J29" s="13"/>
      <c r="K29" s="13"/>
    </row>
    <row r="30" spans="1:11" x14ac:dyDescent="0.25">
      <c r="A30" s="248"/>
      <c r="B30" s="385"/>
      <c r="C30" s="248"/>
      <c r="D30" s="249"/>
      <c r="E30" s="13"/>
      <c r="F30" s="13"/>
      <c r="G30" s="13"/>
      <c r="H30" s="380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18"/>
      <c r="I31" s="13"/>
      <c r="J31" s="13"/>
      <c r="K31" s="13"/>
    </row>
    <row r="32" spans="1:11" x14ac:dyDescent="0.25">
      <c r="D32" s="101"/>
    </row>
    <row r="33" spans="7:7" x14ac:dyDescent="0.25">
      <c r="G33" s="78"/>
    </row>
    <row r="34" spans="7:7" x14ac:dyDescent="0.25">
      <c r="G34" s="244"/>
    </row>
  </sheetData>
  <mergeCells count="13">
    <mergeCell ref="C28:D28"/>
    <mergeCell ref="E8:E10"/>
    <mergeCell ref="I8:I10"/>
    <mergeCell ref="A26:B26"/>
    <mergeCell ref="C26:D26"/>
    <mergeCell ref="A27:B27"/>
    <mergeCell ref="C27:D27"/>
    <mergeCell ref="A1:I1"/>
    <mergeCell ref="A4:I4"/>
    <mergeCell ref="B6:E6"/>
    <mergeCell ref="F6:I6"/>
    <mergeCell ref="B7:E7"/>
    <mergeCell ref="F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3</vt:i4>
      </vt:variant>
    </vt:vector>
  </HeadingPairs>
  <TitlesOfParts>
    <vt:vector size="28" baseType="lpstr">
      <vt:lpstr>Fixa set</vt:lpstr>
      <vt:lpstr>RELATÓRIO DA DESPESA 2020</vt:lpstr>
      <vt:lpstr>RELATÓRIO DA RECEITA  2020</vt:lpstr>
      <vt:lpstr>RESULTADO</vt:lpstr>
      <vt:lpstr>Orçamentário e fin. 2024</vt:lpstr>
      <vt:lpstr>Comparativo 23 24</vt:lpstr>
      <vt:lpstr>Despesas por categoria 2024</vt:lpstr>
      <vt:lpstr>Orçamentário e fin. 2023 </vt:lpstr>
      <vt:lpstr>Comparativo 22 23</vt:lpstr>
      <vt:lpstr>Orçamentário e fin. 2022</vt:lpstr>
      <vt:lpstr>Comparativo 21 22</vt:lpstr>
      <vt:lpstr>Orçamentário e Fin. 2021</vt:lpstr>
      <vt:lpstr>Comparativo 20 21 </vt:lpstr>
      <vt:lpstr>Orçamentário e Fin. 2020</vt:lpstr>
      <vt:lpstr>Comparativo 19 20</vt:lpstr>
      <vt:lpstr>ORCAMENTÁRIO E FIN. 2019</vt:lpstr>
      <vt:lpstr>Comparativo 17 18</vt:lpstr>
      <vt:lpstr>Orçamentário e Fin. 2018</vt:lpstr>
      <vt:lpstr>Comparativo 16 17</vt:lpstr>
      <vt:lpstr>Orçamentário e Fin. 2017</vt:lpstr>
      <vt:lpstr>Orçamentário e Finc. 2016</vt:lpstr>
      <vt:lpstr>Comparativo 15 16</vt:lpstr>
      <vt:lpstr>Orçamentário e Finc. 2015</vt:lpstr>
      <vt:lpstr>Comparativo 13 14 15</vt:lpstr>
      <vt:lpstr>12 13 14 </vt:lpstr>
      <vt:lpstr>DESPESAS_POR_CATEGORIA__rubrica__EXERCÍCIO_DE_2024</vt:lpstr>
      <vt:lpstr>Despesas_por_categoria_2024</vt:lpstr>
      <vt:lpstr>RESULTADO</vt:lpstr>
    </vt:vector>
  </TitlesOfParts>
  <Manager/>
  <Company>ATA CONTABILIDADE E AUDITORIA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VILMAR AUGUSTO DE MEDEIROS</dc:creator>
  <cp:keywords/>
  <dc:description/>
  <cp:lastModifiedBy>matheus ramos</cp:lastModifiedBy>
  <cp:revision/>
  <dcterms:created xsi:type="dcterms:W3CDTF">2004-02-10T16:39:16Z</dcterms:created>
  <dcterms:modified xsi:type="dcterms:W3CDTF">2025-01-28T06:35:26Z</dcterms:modified>
  <cp:category/>
  <cp:contentStatus/>
</cp:coreProperties>
</file>