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Z:\SGQ\INDICADORES\QUALIDADE\ELOHIM\2024\"/>
    </mc:Choice>
  </mc:AlternateContent>
  <xr:revisionPtr revIDLastSave="0" documentId="13_ncr:1_{839DADC0-84CA-4C53-B797-1FEA65977BB7}" xr6:coauthVersionLast="47" xr6:coauthVersionMax="47" xr10:uidLastSave="{00000000-0000-0000-0000-000000000000}"/>
  <bookViews>
    <workbookView xWindow="-120" yWindow="-120" windowWidth="21840" windowHeight="13140" tabRatio="915" activeTab="4" xr2:uid="{00000000-000D-0000-FFFF-FFFF00000000}"/>
  </bookViews>
  <sheets>
    <sheet name="MENU PRINCIPAL" sheetId="36" r:id="rId1"/>
    <sheet name="Custo NC " sheetId="30" r:id="rId2"/>
    <sheet name="Multa Atraso" sheetId="27" r:id="rId3"/>
    <sheet name="Custo NC Total" sheetId="34" r:id="rId4"/>
    <sheet name="Refugo Produto x R$" sheetId="32" r:id="rId5"/>
    <sheet name="Retrabalho Produto x R$" sheetId="23" r:id="rId6"/>
    <sheet name="NC - INT. Nº DE PEÇAS" sheetId="33" r:id="rId7"/>
    <sheet name="NC - EXT. Nº DE PEÇAS" sheetId="31" r:id="rId8"/>
    <sheet name="NC - INTERNAS" sheetId="37" r:id="rId9"/>
    <sheet name="NC - EXTERNAS" sheetId="38" r:id="rId10"/>
    <sheet name="DADOS" sheetId="35" r:id="rId11"/>
  </sheets>
  <definedNames>
    <definedName name="_xlnm.Print_Area" localSheetId="1">'Custo NC '!$A$2:$B$15</definedName>
    <definedName name="_xlnm.Print_Area" localSheetId="3">'Custo NC Total'!$D$2:$AL$49</definedName>
    <definedName name="_xlnm.Print_Area" localSheetId="2">'Multa Atraso'!$A$2:$Z$25</definedName>
    <definedName name="_xlnm.Print_Area" localSheetId="4">'Refugo Produto x R$'!$A$3:$B$16</definedName>
    <definedName name="_xlnm.Print_Area" localSheetId="5">'Retrabalho Produto x R$'!$A$3:$B$16</definedName>
    <definedName name="Excel_BuiltIn_Print_Area_10" localSheetId="1">#REF!</definedName>
    <definedName name="Excel_BuiltIn_Print_Area_10" localSheetId="4">#REF!</definedName>
    <definedName name="Excel_BuiltIn_Print_Area_10">#REF!</definedName>
    <definedName name="Excel_BuiltIn_Print_Area_2_1" localSheetId="1">#REF!</definedName>
    <definedName name="Excel_BuiltIn_Print_Area_2_1" localSheetId="4">#REF!</definedName>
    <definedName name="Excel_BuiltIn_Print_Area_2_1">#REF!</definedName>
    <definedName name="Excel_BuiltIn_Print_Area_3" localSheetId="1">#REF!</definedName>
    <definedName name="Excel_BuiltIn_Print_Area_3" localSheetId="4">#REF!</definedName>
    <definedName name="Excel_BuiltIn_Print_Area_3">#REF!</definedName>
    <definedName name="Excel_BuiltIn_Print_Area_4" localSheetId="1">#REF!</definedName>
    <definedName name="Excel_BuiltIn_Print_Area_4" localSheetId="4">#REF!</definedName>
    <definedName name="Excel_BuiltIn_Print_Area_4">#REF!</definedName>
    <definedName name="Excel_BuiltIn_Print_Area_6" localSheetId="1">#REF!</definedName>
    <definedName name="Excel_BuiltIn_Print_Area_6" localSheetId="4">#REF!</definedName>
    <definedName name="Excel_BuiltIn_Print_Area_6">#REF!</definedName>
    <definedName name="Excel_BuiltIn_Print_Area_7" localSheetId="1">#REF!</definedName>
    <definedName name="Excel_BuiltIn_Print_Area_7" localSheetId="4">#REF!</definedName>
    <definedName name="Excel_BuiltIn_Print_Area_7">#REF!</definedName>
    <definedName name="Excel_BuiltIn_Print_Area_8" localSheetId="1">#REF!</definedName>
    <definedName name="Excel_BuiltIn_Print_Area_8" localSheetId="4">#REF!</definedName>
    <definedName name="Excel_BuiltIn_Print_Area_8">#REF!</definedName>
    <definedName name="Excel_BuiltIn_Print_Area_9" localSheetId="1">#REF!</definedName>
    <definedName name="Excel_BuiltIn_Print_Area_9" localSheetId="4">#REF!</definedName>
    <definedName name="Excel_BuiltIn_Print_Area_9">#REF!</definedName>
  </definedNames>
  <calcPr calcId="181029"/>
</workbook>
</file>

<file path=xl/calcChain.xml><?xml version="1.0" encoding="utf-8"?>
<calcChain xmlns="http://schemas.openxmlformats.org/spreadsheetml/2006/main">
  <c r="G14" i="37" l="1"/>
  <c r="D14" i="37"/>
  <c r="C14" i="37"/>
  <c r="C16" i="33"/>
  <c r="D16" i="33"/>
  <c r="F16" i="33"/>
  <c r="H16" i="33"/>
  <c r="K16" i="33"/>
  <c r="M16" i="33"/>
  <c r="O16" i="33"/>
  <c r="P16" i="33"/>
  <c r="Q13" i="33"/>
  <c r="L13" i="33"/>
  <c r="D13" i="33"/>
  <c r="T13" i="33"/>
  <c r="T16" i="33" s="1"/>
  <c r="K13" i="33"/>
  <c r="G13" i="33"/>
  <c r="B13" i="33"/>
  <c r="J13" i="33"/>
  <c r="R13" i="33"/>
  <c r="C13" i="33"/>
  <c r="N13" i="33"/>
  <c r="N16" i="33" s="1"/>
  <c r="E13" i="33"/>
  <c r="E16" i="33" s="1"/>
  <c r="B13" i="23"/>
  <c r="B13" i="32"/>
  <c r="C12" i="30"/>
  <c r="F14" i="38"/>
  <c r="D14" i="38"/>
  <c r="C13" i="31"/>
  <c r="B12" i="30"/>
  <c r="B12" i="23" l="1"/>
  <c r="C11" i="30"/>
  <c r="C10" i="30" l="1"/>
  <c r="B11" i="23"/>
  <c r="B12" i="32"/>
  <c r="F13" i="38" l="1"/>
  <c r="D13" i="37"/>
  <c r="C13" i="37"/>
  <c r="G13" i="37" s="1"/>
  <c r="L12" i="33"/>
  <c r="G12" i="33" l="1"/>
  <c r="C11" i="37" l="1"/>
  <c r="C12" i="37"/>
  <c r="F12" i="38" l="1"/>
  <c r="G12" i="37"/>
  <c r="N12" i="31"/>
  <c r="N13" i="31"/>
  <c r="N14" i="31"/>
  <c r="N15" i="31"/>
  <c r="C11" i="31"/>
  <c r="N11" i="31" s="1"/>
  <c r="F11" i="31"/>
  <c r="R11" i="33"/>
  <c r="R16" i="33" s="1"/>
  <c r="I11" i="33"/>
  <c r="I16" i="33" s="1"/>
  <c r="B11" i="32"/>
  <c r="B10" i="30"/>
  <c r="C9" i="30" l="1"/>
  <c r="C7" i="30"/>
  <c r="C6" i="30"/>
  <c r="C4" i="30" l="1"/>
  <c r="B4" i="30"/>
  <c r="B3" i="30"/>
  <c r="B10" i="33" l="1"/>
  <c r="J10" i="33"/>
  <c r="B10" i="23"/>
  <c r="C3" i="30" l="1"/>
  <c r="D11" i="38" l="1"/>
  <c r="D11" i="37"/>
  <c r="C10" i="31"/>
  <c r="N10" i="31" s="1"/>
  <c r="B9" i="30"/>
  <c r="B10" i="32" l="1"/>
  <c r="G11" i="37" l="1"/>
  <c r="F11" i="38"/>
  <c r="S10" i="33"/>
  <c r="C8" i="30" l="1"/>
  <c r="B9" i="23"/>
  <c r="N9" i="31" l="1"/>
  <c r="D10" i="38"/>
  <c r="F10" i="38" s="1"/>
  <c r="C10" i="37"/>
  <c r="D10" i="37"/>
  <c r="G10" i="37" s="1"/>
  <c r="C9" i="31"/>
  <c r="U9" i="33"/>
  <c r="B8" i="30"/>
  <c r="B9" i="32" l="1"/>
  <c r="B8" i="32"/>
  <c r="D8" i="37" l="1"/>
  <c r="U8" i="33"/>
  <c r="U16" i="33" s="1"/>
  <c r="S8" i="33"/>
  <c r="S16" i="33" s="1"/>
  <c r="C8" i="31"/>
  <c r="C7" i="31"/>
  <c r="G7" i="33"/>
  <c r="J6" i="33"/>
  <c r="Y6" i="33" l="1"/>
  <c r="Y7" i="33"/>
  <c r="B7" i="30" l="1"/>
  <c r="B6" i="30"/>
  <c r="B8" i="23" l="1"/>
  <c r="L4" i="33" l="1"/>
  <c r="B4" i="33"/>
  <c r="C9" i="37"/>
  <c r="N8" i="31" l="1"/>
  <c r="F9" i="38"/>
  <c r="F6" i="38"/>
  <c r="F7" i="38"/>
  <c r="F8" i="38"/>
  <c r="N5" i="31"/>
  <c r="N6" i="31"/>
  <c r="N7" i="31"/>
  <c r="G9" i="37" l="1"/>
  <c r="B7" i="23" l="1"/>
  <c r="C8" i="37" l="1"/>
  <c r="G8" i="37" l="1"/>
  <c r="B7" i="33"/>
  <c r="B7" i="32"/>
  <c r="B6" i="32" l="1"/>
  <c r="C5" i="30"/>
  <c r="C15" i="30" s="1"/>
  <c r="C7" i="37" l="1"/>
  <c r="B6" i="33"/>
  <c r="B6" i="23"/>
  <c r="B5" i="23" l="1"/>
  <c r="Q6" i="33" l="1"/>
  <c r="Q16" i="33" s="1"/>
  <c r="G7" i="37" l="1"/>
  <c r="B5" i="32" l="1"/>
  <c r="L5" i="33" l="1"/>
  <c r="L16" i="33" s="1"/>
  <c r="G6" i="37" l="1"/>
  <c r="G5" i="33" l="1"/>
  <c r="G16" i="33" s="1"/>
  <c r="B5" i="33" l="1"/>
  <c r="B16" i="33" s="1"/>
  <c r="D5" i="32" l="1"/>
  <c r="E5" i="32" s="1"/>
  <c r="D6" i="32"/>
  <c r="E6" i="32" s="1"/>
  <c r="D7" i="32"/>
  <c r="E7" i="32" s="1"/>
  <c r="D8" i="32"/>
  <c r="E8" i="32" s="1"/>
  <c r="D9" i="32"/>
  <c r="E9" i="32" s="1"/>
  <c r="D10" i="32"/>
  <c r="E10" i="32" s="1"/>
  <c r="D11" i="32"/>
  <c r="E11" i="32" s="1"/>
  <c r="D12" i="32"/>
  <c r="E12" i="32" s="1"/>
  <c r="D13" i="32"/>
  <c r="E13" i="32" s="1"/>
  <c r="D14" i="32"/>
  <c r="E14" i="32" s="1"/>
  <c r="D15" i="32"/>
  <c r="E15" i="32" s="1"/>
  <c r="D16" i="32"/>
  <c r="E16" i="32" s="1"/>
  <c r="D4" i="32"/>
  <c r="E4" i="32" s="1"/>
  <c r="J4" i="33"/>
  <c r="J16" i="33" s="1"/>
  <c r="B4" i="23"/>
  <c r="B16" i="23" s="1"/>
  <c r="G5" i="37" l="1"/>
  <c r="F5" i="38"/>
  <c r="C4" i="31"/>
  <c r="N4" i="31" s="1"/>
  <c r="B4" i="32"/>
  <c r="B16" i="32" s="1"/>
  <c r="B15" i="30"/>
  <c r="Q10" i="31" l="1"/>
  <c r="O10" i="31" s="1"/>
  <c r="C16" i="31" l="1"/>
  <c r="D16" i="31"/>
  <c r="E16" i="31"/>
  <c r="F16" i="31"/>
  <c r="G16" i="31"/>
  <c r="H16" i="31"/>
  <c r="I16" i="31"/>
  <c r="J16" i="31"/>
  <c r="K16" i="31"/>
  <c r="M16" i="31"/>
  <c r="B16" i="31" l="1"/>
  <c r="Y15" i="33"/>
  <c r="Y14" i="33"/>
  <c r="Y13" i="33"/>
  <c r="Y12" i="33"/>
  <c r="Y11" i="33"/>
  <c r="Y10" i="33"/>
  <c r="Y9" i="33"/>
  <c r="Y8" i="33"/>
  <c r="Y5" i="33"/>
  <c r="Y4" i="33"/>
  <c r="Y16" i="33" l="1"/>
  <c r="Q15" i="31"/>
  <c r="Q14" i="31"/>
  <c r="Q13" i="31"/>
  <c r="Q12" i="31"/>
  <c r="Q11" i="31"/>
  <c r="Q9" i="31"/>
  <c r="Q8" i="31"/>
  <c r="Q7" i="31"/>
  <c r="Q6" i="31"/>
  <c r="O6" i="31" s="1"/>
  <c r="Q5" i="31"/>
  <c r="Q4" i="31"/>
  <c r="D15" i="23"/>
  <c r="D14" i="23"/>
  <c r="D13" i="23"/>
  <c r="D12" i="23"/>
  <c r="D11" i="23"/>
  <c r="E11" i="23" s="1"/>
  <c r="D10" i="23"/>
  <c r="D9" i="23"/>
  <c r="D8" i="23"/>
  <c r="D7" i="23"/>
  <c r="E7" i="23" s="1"/>
  <c r="D6" i="23"/>
  <c r="D5" i="23"/>
  <c r="D4" i="23"/>
  <c r="E4" i="23" s="1"/>
  <c r="B3" i="34"/>
  <c r="C3" i="34"/>
  <c r="C4" i="34"/>
  <c r="C5" i="34"/>
  <c r="C6" i="34"/>
  <c r="C7" i="34"/>
  <c r="C8" i="34"/>
  <c r="C9" i="34"/>
  <c r="C10" i="34"/>
  <c r="C11" i="34"/>
  <c r="C12" i="34"/>
  <c r="C13" i="34"/>
  <c r="C14" i="34"/>
  <c r="B4" i="34"/>
  <c r="B5" i="34"/>
  <c r="B6" i="34"/>
  <c r="B7" i="34"/>
  <c r="B8" i="34"/>
  <c r="B9" i="34"/>
  <c r="B10" i="34"/>
  <c r="B11" i="34"/>
  <c r="B12" i="34"/>
  <c r="B13" i="34"/>
  <c r="B14" i="34"/>
  <c r="Q16" i="31" l="1"/>
  <c r="V15" i="33" l="1"/>
  <c r="W15" i="33" s="1"/>
  <c r="V14" i="33"/>
  <c r="W14" i="33" s="1"/>
  <c r="V13" i="33"/>
  <c r="W13" i="33" s="1"/>
  <c r="V12" i="33"/>
  <c r="W12" i="33" s="1"/>
  <c r="V11" i="33"/>
  <c r="W11" i="33" s="1"/>
  <c r="V10" i="33"/>
  <c r="W10" i="33" s="1"/>
  <c r="V9" i="33"/>
  <c r="W9" i="33" s="1"/>
  <c r="V8" i="33"/>
  <c r="W8" i="33" s="1"/>
  <c r="V7" i="33"/>
  <c r="W7" i="33" s="1"/>
  <c r="V6" i="33"/>
  <c r="W6" i="33" s="1"/>
  <c r="V5" i="33"/>
  <c r="W5" i="33" s="1"/>
  <c r="V4" i="33"/>
  <c r="V18" i="33" l="1"/>
  <c r="V16" i="33"/>
  <c r="W16" i="33" s="1"/>
  <c r="W4" i="33"/>
  <c r="W18" i="33" s="1"/>
  <c r="O11" i="31"/>
  <c r="O14" i="31" l="1"/>
  <c r="O15" i="31"/>
  <c r="O12" i="31"/>
  <c r="O13" i="31" l="1"/>
  <c r="O8" i="31" l="1"/>
  <c r="O7" i="31"/>
  <c r="O9" i="31" l="1"/>
  <c r="N16" i="31"/>
  <c r="O16" i="31" s="1"/>
  <c r="O5" i="31"/>
  <c r="N18" i="31"/>
  <c r="O4" i="31"/>
  <c r="C15" i="34"/>
  <c r="B15" i="34"/>
  <c r="B16" i="34" l="1"/>
  <c r="O18" i="31"/>
  <c r="E15" i="23"/>
  <c r="E14" i="23"/>
  <c r="E13" i="23"/>
  <c r="E12" i="23"/>
  <c r="E10" i="23"/>
  <c r="E9" i="23"/>
  <c r="E8" i="23"/>
  <c r="E6" i="23"/>
  <c r="E5" i="23"/>
</calcChain>
</file>

<file path=xl/sharedStrings.xml><?xml version="1.0" encoding="utf-8"?>
<sst xmlns="http://schemas.openxmlformats.org/spreadsheetml/2006/main" count="119" uniqueCount="82">
  <si>
    <t>Total</t>
  </si>
  <si>
    <t>Meta</t>
  </si>
  <si>
    <t>MÉDIA</t>
  </si>
  <si>
    <t>Mês</t>
  </si>
  <si>
    <t>MÊS</t>
  </si>
  <si>
    <t>TOTAL</t>
  </si>
  <si>
    <t>Mês / Ano</t>
  </si>
  <si>
    <t>Total NC</t>
  </si>
  <si>
    <t>Valor R$</t>
  </si>
  <si>
    <t>Cliente</t>
  </si>
  <si>
    <t>Faturamento</t>
  </si>
  <si>
    <t>Ideal: 1% do faturamento</t>
  </si>
  <si>
    <t>BALTEAU</t>
  </si>
  <si>
    <t>GE</t>
  </si>
  <si>
    <t>WEG ENERGIA</t>
  </si>
  <si>
    <t>WEG ITAJAÍ</t>
  </si>
  <si>
    <t>WEG JARAGUÁ</t>
  </si>
  <si>
    <t>Custo Anual</t>
  </si>
  <si>
    <t xml:space="preserve">CUSTO DE NC EXTERNA </t>
  </si>
  <si>
    <t xml:space="preserve">CUSTO DE NC INTERNA </t>
  </si>
  <si>
    <t>Qtde. NC Disposição</t>
  </si>
  <si>
    <t>Anual</t>
  </si>
  <si>
    <t>Permissível (R$)</t>
  </si>
  <si>
    <t>Valor (R$)</t>
  </si>
  <si>
    <t>REFUGO - 2022</t>
  </si>
  <si>
    <t>Qtde. peças Produzidas</t>
  </si>
  <si>
    <t>RETRABALHO - 2022</t>
  </si>
  <si>
    <t>NC's Total</t>
  </si>
  <si>
    <r>
      <t xml:space="preserve">CUSTO DE NC </t>
    </r>
    <r>
      <rPr>
        <b/>
        <sz val="9"/>
        <color theme="0" tint="-0.34998626667073579"/>
        <rFont val="Arial"/>
        <family val="2"/>
      </rPr>
      <t xml:space="preserve">EXTERNA </t>
    </r>
  </si>
  <si>
    <r>
      <t xml:space="preserve">CUSTO DE NC </t>
    </r>
    <r>
      <rPr>
        <b/>
        <sz val="9"/>
        <color theme="0" tint="-0.34998626667073579"/>
        <rFont val="Arial"/>
        <family val="2"/>
      </rPr>
      <t xml:space="preserve">INTERNA </t>
    </r>
  </si>
  <si>
    <t>CORTE 1</t>
  </si>
  <si>
    <t>DOBRA 1</t>
  </si>
  <si>
    <t>CNC's</t>
  </si>
  <si>
    <t>TORNEARIA. C</t>
  </si>
  <si>
    <t>CURVA 1</t>
  </si>
  <si>
    <t>PRENSAS</t>
  </si>
  <si>
    <t>FURAÇÃO</t>
  </si>
  <si>
    <t>SOLDA 1</t>
  </si>
  <si>
    <t>ACABAMENTO</t>
  </si>
  <si>
    <t>SOLDA 2</t>
  </si>
  <si>
    <t>CORTE 3</t>
  </si>
  <si>
    <t>EXPEDIÇÃO</t>
  </si>
  <si>
    <t>NC's Internas -  (Em número de peças / Setor)</t>
  </si>
  <si>
    <t>Anual / Setor</t>
  </si>
  <si>
    <t>TOTAL / MÊS</t>
  </si>
  <si>
    <t>NC's de Clientes -  (Em número de Peças)</t>
  </si>
  <si>
    <t>INDICADORES</t>
  </si>
  <si>
    <t>GE SP</t>
  </si>
  <si>
    <t>WEG BLUMENAU</t>
  </si>
  <si>
    <t>WEG BETIM</t>
  </si>
  <si>
    <t>HITACHI</t>
  </si>
  <si>
    <t>OUTROS CLIENTES</t>
  </si>
  <si>
    <t>WEG SÃO BERNARDO</t>
  </si>
  <si>
    <t>Essa informação voce precisa que a Carol passe. É só inser mesmo vou deixa esse modelo aqui</t>
  </si>
  <si>
    <t>Nº DE NC'S EXTERNAS POR CLIENTE</t>
  </si>
  <si>
    <t>WEG</t>
  </si>
  <si>
    <t>OUTROS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</si>
  <si>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</si>
  <si>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</si>
  <si>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</si>
  <si>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</si>
  <si>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</si>
  <si>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</si>
  <si>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</si>
  <si>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</si>
  <si>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</si>
  <si>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</si>
  <si>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</si>
  <si>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</si>
  <si>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Nº DE NC'S INTERNAS POR CLIENTE</t>
  </si>
  <si>
    <t>DGQ</t>
  </si>
  <si>
    <t>TAVRIDA</t>
  </si>
  <si>
    <t>ACM/24</t>
  </si>
  <si>
    <t>ENGENHARIA</t>
  </si>
  <si>
    <t>-</t>
  </si>
  <si>
    <t>FRESAMENTO</t>
  </si>
  <si>
    <t>LASER</t>
  </si>
  <si>
    <t>PLASMA</t>
  </si>
  <si>
    <t>COMPRAS</t>
  </si>
  <si>
    <t>MONTAGEM</t>
  </si>
  <si>
    <t>SHAMAH</t>
  </si>
  <si>
    <t>GILHOTINA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</si>
</sst>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dd/mm/yy;@"/>
    <numFmt numFmtId="166" formatCode="000\ 00\ 000"/>
    <numFmt numFmtId="167" formatCode="00###"/>
    <numFmt numFmtId="168" formatCode="0.0000%"/>
    <numFmt numFmtId="169" formatCode="&quot;R$&quot;\ #,##0.00"/>
    <numFmt numFmtId="170" formatCode="0.000%"/>
    <numFmt numFmtId="171" formatCode="0.0%"/>
  </numFmts>
  <fonts count="3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color indexed="10"/>
      <name val="Arial"/>
      <family val="2"/>
    </font>
    <font>
      <b/>
      <sz val="14"/>
      <name val="Arial"/>
      <family val="2"/>
    </font>
    <font>
      <sz val="10"/>
      <color rgb="FF0000FF"/>
      <name val="Arial"/>
      <family val="2"/>
    </font>
    <font>
      <sz val="8"/>
      <color indexed="8"/>
      <name val="Arial"/>
      <family val="2"/>
    </font>
    <font>
      <sz val="8"/>
      <color rgb="FF0000FF"/>
      <name val="Arial"/>
      <family val="2"/>
    </font>
    <font>
      <sz val="10"/>
      <color indexed="8"/>
      <name val="Arial"/>
      <family val="2"/>
    </font>
    <font>
      <b/>
      <sz val="14"/>
      <color rgb="FFC00000"/>
      <name val="Arial"/>
      <family val="2"/>
    </font>
    <font>
      <sz val="11"/>
      <name val="Arial Black"/>
      <family val="2"/>
    </font>
    <font>
      <b/>
      <sz val="11"/>
      <name val="Arial Black"/>
      <family val="2"/>
    </font>
    <font>
      <b/>
      <sz val="11"/>
      <color theme="0"/>
      <name val="Arial Black"/>
      <family val="2"/>
    </font>
    <font>
      <b/>
      <sz val="14"/>
      <color theme="0"/>
      <name val="Arial"/>
      <family val="2"/>
    </font>
    <font>
      <b/>
      <sz val="14"/>
      <color theme="9" tint="-0.249977111117893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/>
      <name val="Arial"/>
      <family val="2"/>
    </font>
    <font>
      <b/>
      <sz val="14"/>
      <color theme="7"/>
      <name val="Arial"/>
      <family val="2"/>
    </font>
    <font>
      <b/>
      <sz val="20"/>
      <name val="Arial"/>
      <family val="2"/>
    </font>
    <font>
      <b/>
      <sz val="14"/>
      <color theme="5" tint="0.79998168889431442"/>
      <name val="Arial"/>
      <family val="2"/>
    </font>
    <font>
      <sz val="200"/>
      <color rgb="FF0070C0"/>
      <name val="Bahnschrift SemiBold SemiConden"/>
      <family val="2"/>
    </font>
    <font>
      <b/>
      <sz val="18"/>
      <color theme="0"/>
      <name val="Arial"/>
      <family val="2"/>
    </font>
    <font>
      <sz val="11"/>
      <color theme="0"/>
      <name val="Arial Black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name val="Arial"/>
      <family val="2"/>
    </font>
    <font>
      <sz val="10"/>
      <name val="Arial Black"/>
      <family val="2"/>
    </font>
    <font>
      <b/>
      <sz val="10"/>
      <name val="Arial Black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201">
    <xf numFmtId="0" fontId="0" fillId="0" borderId="0" xfId="0"/>
    <xf numFmtId="2" fontId="4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167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center" vertical="center" wrapText="1"/>
    </xf>
    <xf numFmtId="9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/>
    <xf numFmtId="49" fontId="1" fillId="0" borderId="0" xfId="0" applyNumberFormat="1" applyFont="1"/>
    <xf numFmtId="17" fontId="1" fillId="0" borderId="0" xfId="0" applyNumberFormat="1" applyFont="1"/>
    <xf numFmtId="0" fontId="1" fillId="0" borderId="0" xfId="0" applyFont="1" applyAlignment="1">
      <alignment wrapText="1"/>
    </xf>
    <xf numFmtId="16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169" fontId="12" fillId="0" borderId="1" xfId="0" applyNumberFormat="1" applyFont="1" applyBorder="1" applyAlignment="1">
      <alignment horizontal="center"/>
    </xf>
    <xf numFmtId="0" fontId="13" fillId="0" borderId="0" xfId="0" applyFont="1"/>
    <xf numFmtId="0" fontId="14" fillId="2" borderId="0" xfId="0" applyFont="1" applyFill="1" applyAlignment="1">
      <alignment horizontal="center" vertical="center" wrapText="1"/>
    </xf>
    <xf numFmtId="1" fontId="14" fillId="2" borderId="0" xfId="0" applyNumberFormat="1" applyFont="1" applyFill="1" applyAlignment="1">
      <alignment horizontal="center"/>
    </xf>
    <xf numFmtId="165" fontId="14" fillId="2" borderId="0" xfId="0" applyNumberFormat="1" applyFont="1" applyFill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wrapText="1"/>
    </xf>
    <xf numFmtId="0" fontId="1" fillId="0" borderId="8" xfId="0" applyFont="1" applyBorder="1" applyAlignment="1">
      <alignment wrapText="1"/>
    </xf>
    <xf numFmtId="165" fontId="1" fillId="0" borderId="8" xfId="0" applyNumberFormat="1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165" fontId="1" fillId="0" borderId="5" xfId="0" applyNumberFormat="1" applyFont="1" applyBorder="1" applyAlignment="1">
      <alignment horizontal="center" wrapText="1"/>
    </xf>
    <xf numFmtId="0" fontId="1" fillId="0" borderId="4" xfId="0" applyFont="1" applyBorder="1"/>
    <xf numFmtId="0" fontId="1" fillId="0" borderId="9" xfId="0" applyFont="1" applyBorder="1"/>
    <xf numFmtId="0" fontId="1" fillId="0" borderId="11" xfId="0" applyFont="1" applyBorder="1"/>
    <xf numFmtId="165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 wrapText="1"/>
    </xf>
    <xf numFmtId="165" fontId="1" fillId="0" borderId="9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9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9" fillId="0" borderId="4" xfId="0" applyNumberFormat="1" applyFont="1" applyBorder="1" applyAlignment="1">
      <alignment horizontal="center"/>
    </xf>
    <xf numFmtId="9" fontId="1" fillId="0" borderId="9" xfId="0" applyNumberFormat="1" applyFont="1" applyBorder="1" applyAlignment="1">
      <alignment horizontal="center"/>
    </xf>
    <xf numFmtId="9" fontId="1" fillId="0" borderId="11" xfId="0" applyNumberFormat="1" applyFont="1" applyBorder="1" applyAlignment="1">
      <alignment horizontal="center"/>
    </xf>
    <xf numFmtId="0" fontId="1" fillId="0" borderId="3" xfId="0" applyFont="1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1" xfId="0" applyBorder="1"/>
    <xf numFmtId="0" fontId="0" fillId="0" borderId="3" xfId="0" applyBorder="1"/>
    <xf numFmtId="0" fontId="22" fillId="2" borderId="0" xfId="0" applyFont="1" applyFill="1" applyAlignment="1">
      <alignment horizontal="center" vertical="center" wrapText="1"/>
    </xf>
    <xf numFmtId="17" fontId="22" fillId="2" borderId="0" xfId="0" applyNumberFormat="1" applyFont="1" applyFill="1" applyAlignment="1">
      <alignment horizontal="center" vertical="center"/>
    </xf>
    <xf numFmtId="43" fontId="22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/>
    </xf>
    <xf numFmtId="43" fontId="23" fillId="2" borderId="0" xfId="0" applyNumberFormat="1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7" fontId="0" fillId="0" borderId="0" xfId="0" applyNumberFormat="1"/>
    <xf numFmtId="0" fontId="7" fillId="0" borderId="0" xfId="0" applyFont="1"/>
    <xf numFmtId="17" fontId="7" fillId="7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 vertical="center" wrapText="1"/>
    </xf>
    <xf numFmtId="17" fontId="7" fillId="8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17" fontId="19" fillId="7" borderId="1" xfId="0" applyNumberFormat="1" applyFont="1" applyFill="1" applyBorder="1" applyAlignment="1">
      <alignment horizontal="center" vertical="center"/>
    </xf>
    <xf numFmtId="169" fontId="19" fillId="7" borderId="1" xfId="0" applyNumberFormat="1" applyFont="1" applyFill="1" applyBorder="1" applyAlignment="1">
      <alignment horizontal="center" vertical="center"/>
    </xf>
    <xf numFmtId="169" fontId="19" fillId="5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1" fontId="19" fillId="5" borderId="1" xfId="0" applyNumberFormat="1" applyFont="1" applyFill="1" applyBorder="1" applyAlignment="1">
      <alignment horizontal="center" vertical="center" wrapText="1"/>
    </xf>
    <xf numFmtId="1" fontId="19" fillId="7" borderId="1" xfId="0" applyNumberFormat="1" applyFont="1" applyFill="1" applyBorder="1" applyAlignment="1">
      <alignment horizontal="center" vertical="center" wrapText="1"/>
    </xf>
    <xf numFmtId="0" fontId="1" fillId="0" borderId="10" xfId="0" applyFont="1" applyBorder="1"/>
    <xf numFmtId="0" fontId="1" fillId="0" borderId="5" xfId="0" applyFont="1" applyBorder="1"/>
    <xf numFmtId="0" fontId="1" fillId="2" borderId="0" xfId="0" applyFont="1" applyFill="1"/>
    <xf numFmtId="0" fontId="15" fillId="2" borderId="0" xfId="0" applyFont="1" applyFill="1" applyAlignment="1">
      <alignment horizontal="center" vertical="center" wrapText="1"/>
    </xf>
    <xf numFmtId="1" fontId="15" fillId="2" borderId="0" xfId="0" applyNumberFormat="1" applyFont="1" applyFill="1" applyAlignment="1">
      <alignment horizontal="center" vertical="center" wrapText="1"/>
    </xf>
    <xf numFmtId="1" fontId="15" fillId="2" borderId="0" xfId="0" applyNumberFormat="1" applyFont="1" applyFill="1" applyAlignment="1">
      <alignment horizontal="center"/>
    </xf>
    <xf numFmtId="0" fontId="15" fillId="0" borderId="0" xfId="0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 vertical="center" wrapText="1"/>
    </xf>
    <xf numFmtId="0" fontId="0" fillId="0" borderId="12" xfId="0" applyBorder="1"/>
    <xf numFmtId="0" fontId="1" fillId="0" borderId="12" xfId="0" applyFont="1" applyBorder="1"/>
    <xf numFmtId="2" fontId="4" fillId="0" borderId="4" xfId="0" applyNumberFormat="1" applyFont="1" applyBorder="1" applyAlignment="1">
      <alignment horizontal="center"/>
    </xf>
    <xf numFmtId="0" fontId="24" fillId="2" borderId="0" xfId="0" applyFont="1" applyFill="1"/>
    <xf numFmtId="0" fontId="24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 wrapText="1"/>
    </xf>
    <xf numFmtId="49" fontId="21" fillId="2" borderId="0" xfId="0" applyNumberFormat="1" applyFont="1" applyFill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27" fillId="7" borderId="0" xfId="0" applyFont="1" applyFill="1" applyAlignment="1">
      <alignment horizontal="center" vertical="center" wrapText="1"/>
    </xf>
    <xf numFmtId="169" fontId="27" fillId="7" borderId="0" xfId="0" applyNumberFormat="1" applyFont="1" applyFill="1" applyAlignment="1">
      <alignment horizontal="center" vertical="center"/>
    </xf>
    <xf numFmtId="169" fontId="27" fillId="7" borderId="0" xfId="1" applyNumberFormat="1" applyFont="1" applyFill="1" applyBorder="1" applyAlignment="1">
      <alignment horizontal="center" vertical="center"/>
    </xf>
    <xf numFmtId="0" fontId="27" fillId="7" borderId="0" xfId="0" applyFont="1" applyFill="1"/>
    <xf numFmtId="169" fontId="25" fillId="0" borderId="7" xfId="0" applyNumberFormat="1" applyFont="1" applyBorder="1" applyAlignment="1">
      <alignment horizontal="center"/>
    </xf>
    <xf numFmtId="1" fontId="14" fillId="7" borderId="1" xfId="0" applyNumberFormat="1" applyFont="1" applyFill="1" applyBorder="1" applyAlignment="1">
      <alignment horizontal="center"/>
    </xf>
    <xf numFmtId="1" fontId="14" fillId="6" borderId="1" xfId="0" applyNumberFormat="1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 wrapText="1"/>
    </xf>
    <xf numFmtId="17" fontId="14" fillId="9" borderId="1" xfId="0" applyNumberFormat="1" applyFont="1" applyFill="1" applyBorder="1" applyAlignment="1">
      <alignment horizontal="center"/>
    </xf>
    <xf numFmtId="1" fontId="14" fillId="3" borderId="1" xfId="0" applyNumberFormat="1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17" fontId="14" fillId="5" borderId="1" xfId="0" applyNumberFormat="1" applyFont="1" applyFill="1" applyBorder="1" applyAlignment="1">
      <alignment horizontal="center"/>
    </xf>
    <xf numFmtId="167" fontId="1" fillId="0" borderId="11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left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wrapText="1"/>
    </xf>
    <xf numFmtId="17" fontId="7" fillId="4" borderId="1" xfId="0" applyNumberFormat="1" applyFont="1" applyFill="1" applyBorder="1" applyAlignment="1">
      <alignment horizontal="center"/>
    </xf>
    <xf numFmtId="43" fontId="17" fillId="0" borderId="1" xfId="3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6" fillId="11" borderId="1" xfId="0" applyFont="1" applyFill="1" applyBorder="1" applyAlignment="1">
      <alignment horizontal="center" vertical="center" wrapText="1"/>
    </xf>
    <xf numFmtId="166" fontId="16" fillId="11" borderId="1" xfId="0" applyNumberFormat="1" applyFont="1" applyFill="1" applyBorder="1" applyAlignment="1">
      <alignment horizontal="center" vertical="center"/>
    </xf>
    <xf numFmtId="1" fontId="16" fillId="11" borderId="1" xfId="0" applyNumberFormat="1" applyFont="1" applyFill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" fontId="10" fillId="0" borderId="8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165" fontId="10" fillId="0" borderId="8" xfId="0" applyNumberFormat="1" applyFont="1" applyBorder="1" applyAlignment="1">
      <alignment horizontal="center" vertical="center"/>
    </xf>
    <xf numFmtId="17" fontId="16" fillId="11" borderId="1" xfId="0" applyNumberFormat="1" applyFont="1" applyFill="1" applyBorder="1" applyAlignment="1">
      <alignment horizontal="center" vertical="center"/>
    </xf>
    <xf numFmtId="169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9" fontId="11" fillId="0" borderId="4" xfId="0" applyNumberFormat="1" applyFont="1" applyBorder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1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167" fontId="29" fillId="2" borderId="0" xfId="0" applyNumberFormat="1" applyFont="1" applyFill="1" applyAlignment="1">
      <alignment horizontal="center" vertical="center"/>
    </xf>
    <xf numFmtId="0" fontId="30" fillId="0" borderId="0" xfId="0" applyFont="1"/>
    <xf numFmtId="0" fontId="30" fillId="2" borderId="0" xfId="0" applyFont="1" applyFill="1"/>
    <xf numFmtId="0" fontId="15" fillId="2" borderId="0" xfId="0" applyFont="1" applyFill="1" applyAlignment="1">
      <alignment horizontal="center" vertical="center"/>
    </xf>
    <xf numFmtId="169" fontId="19" fillId="7" borderId="7" xfId="1" applyNumberFormat="1" applyFont="1" applyFill="1" applyBorder="1" applyAlignment="1">
      <alignment horizontal="center"/>
    </xf>
    <xf numFmtId="169" fontId="7" fillId="8" borderId="13" xfId="1" applyNumberFormat="1" applyFont="1" applyFill="1" applyBorder="1" applyAlignment="1">
      <alignment horizontal="center"/>
    </xf>
    <xf numFmtId="169" fontId="32" fillId="8" borderId="1" xfId="0" applyNumberFormat="1" applyFont="1" applyFill="1" applyBorder="1" applyAlignment="1">
      <alignment horizontal="center" vertical="center"/>
    </xf>
    <xf numFmtId="0" fontId="31" fillId="8" borderId="1" xfId="0" applyFont="1" applyFill="1" applyBorder="1" applyAlignment="1">
      <alignment horizontal="center" vertical="center"/>
    </xf>
    <xf numFmtId="167" fontId="5" fillId="6" borderId="0" xfId="0" applyNumberFormat="1" applyFont="1" applyFill="1" applyAlignment="1">
      <alignment vertical="center"/>
    </xf>
    <xf numFmtId="168" fontId="14" fillId="6" borderId="0" xfId="0" applyNumberFormat="1" applyFont="1" applyFill="1" applyAlignment="1">
      <alignment horizontal="center" vertical="center" wrapText="1"/>
    </xf>
    <xf numFmtId="168" fontId="14" fillId="6" borderId="0" xfId="0" applyNumberFormat="1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 wrapText="1"/>
    </xf>
    <xf numFmtId="10" fontId="14" fillId="6" borderId="0" xfId="0" applyNumberFormat="1" applyFont="1" applyFill="1" applyAlignment="1">
      <alignment horizontal="center"/>
    </xf>
    <xf numFmtId="9" fontId="14" fillId="6" borderId="0" xfId="0" applyNumberFormat="1" applyFont="1" applyFill="1" applyAlignment="1">
      <alignment horizontal="center"/>
    </xf>
    <xf numFmtId="1" fontId="14" fillId="6" borderId="0" xfId="0" applyNumberFormat="1" applyFont="1" applyFill="1" applyAlignment="1">
      <alignment horizontal="center" vertical="center" wrapText="1"/>
    </xf>
    <xf numFmtId="170" fontId="14" fillId="6" borderId="0" xfId="0" applyNumberFormat="1" applyFont="1" applyFill="1" applyAlignment="1">
      <alignment horizontal="center"/>
    </xf>
    <xf numFmtId="1" fontId="14" fillId="6" borderId="0" xfId="0" applyNumberFormat="1" applyFont="1" applyFill="1" applyAlignment="1">
      <alignment horizontal="center"/>
    </xf>
    <xf numFmtId="168" fontId="14" fillId="6" borderId="0" xfId="0" applyNumberFormat="1" applyFont="1" applyFill="1" applyAlignment="1">
      <alignment horizontal="center"/>
    </xf>
    <xf numFmtId="0" fontId="34" fillId="12" borderId="2" xfId="0" applyFont="1" applyFill="1" applyBorder="1" applyAlignment="1">
      <alignment horizontal="center" vertical="center"/>
    </xf>
    <xf numFmtId="0" fontId="34" fillId="12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2" borderId="1" xfId="0" applyFont="1" applyFill="1" applyBorder="1" applyAlignment="1">
      <alignment vertical="center"/>
    </xf>
    <xf numFmtId="0" fontId="35" fillId="12" borderId="2" xfId="0" applyFont="1" applyFill="1" applyBorder="1" applyAlignment="1">
      <alignment horizontal="center" vertical="center"/>
    </xf>
    <xf numFmtId="0" fontId="35" fillId="1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vertical="center"/>
    </xf>
    <xf numFmtId="167" fontId="5" fillId="13" borderId="0" xfId="0" applyNumberFormat="1" applyFont="1" applyFill="1" applyAlignment="1">
      <alignment vertical="center"/>
    </xf>
    <xf numFmtId="0" fontId="0" fillId="13" borderId="0" xfId="0" applyFill="1"/>
    <xf numFmtId="0" fontId="15" fillId="13" borderId="0" xfId="0" applyFont="1" applyFill="1" applyAlignment="1">
      <alignment horizontal="center" vertical="center" wrapText="1"/>
    </xf>
    <xf numFmtId="168" fontId="15" fillId="13" borderId="0" xfId="0" applyNumberFormat="1" applyFont="1" applyFill="1" applyAlignment="1">
      <alignment horizontal="center" vertical="center" wrapText="1"/>
    </xf>
    <xf numFmtId="168" fontId="15" fillId="13" borderId="0" xfId="0" applyNumberFormat="1" applyFont="1" applyFill="1" applyAlignment="1">
      <alignment horizontal="center" vertical="center"/>
    </xf>
    <xf numFmtId="1" fontId="15" fillId="13" borderId="0" xfId="0" applyNumberFormat="1" applyFont="1" applyFill="1" applyAlignment="1">
      <alignment horizontal="center"/>
    </xf>
    <xf numFmtId="10" fontId="15" fillId="13" borderId="0" xfId="0" applyNumberFormat="1" applyFont="1" applyFill="1" applyAlignment="1">
      <alignment horizontal="center"/>
    </xf>
    <xf numFmtId="9" fontId="15" fillId="13" borderId="0" xfId="0" applyNumberFormat="1" applyFont="1" applyFill="1" applyAlignment="1">
      <alignment horizontal="center"/>
    </xf>
    <xf numFmtId="1" fontId="15" fillId="13" borderId="0" xfId="0" applyNumberFormat="1" applyFont="1" applyFill="1" applyAlignment="1">
      <alignment horizontal="center" vertical="center" wrapText="1"/>
    </xf>
    <xf numFmtId="168" fontId="15" fillId="13" borderId="0" xfId="0" applyNumberFormat="1" applyFont="1" applyFill="1" applyAlignment="1">
      <alignment horizontal="center"/>
    </xf>
    <xf numFmtId="2" fontId="15" fillId="13" borderId="0" xfId="0" applyNumberFormat="1" applyFont="1" applyFill="1" applyAlignment="1">
      <alignment horizontal="center" vertical="center" wrapText="1"/>
    </xf>
    <xf numFmtId="171" fontId="7" fillId="7" borderId="1" xfId="2" applyNumberFormat="1" applyFont="1" applyFill="1" applyBorder="1" applyAlignment="1">
      <alignment horizontal="center"/>
    </xf>
    <xf numFmtId="10" fontId="31" fillId="8" borderId="1" xfId="2" applyNumberFormat="1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 wrapText="1"/>
    </xf>
    <xf numFmtId="0" fontId="28" fillId="10" borderId="0" xfId="0" applyFont="1" applyFill="1" applyAlignment="1">
      <alignment horizontal="center" vertical="center"/>
    </xf>
    <xf numFmtId="0" fontId="6" fillId="0" borderId="4" xfId="0" applyFont="1" applyBorder="1" applyAlignment="1">
      <alignment horizontal="center" vertical="center" textRotation="90"/>
    </xf>
    <xf numFmtId="165" fontId="1" fillId="0" borderId="0" xfId="0" applyNumberFormat="1" applyFont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7" fontId="26" fillId="8" borderId="1" xfId="0" applyNumberFormat="1" applyFont="1" applyFill="1" applyBorder="1" applyAlignment="1">
      <alignment horizontal="center" vertical="center"/>
    </xf>
    <xf numFmtId="167" fontId="26" fillId="7" borderId="1" xfId="0" applyNumberFormat="1" applyFont="1" applyFill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/>
    </xf>
    <xf numFmtId="0" fontId="33" fillId="0" borderId="0" xfId="0" applyFont="1" applyAlignment="1">
      <alignment horizontal="center" wrapText="1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9" defaultPivotStyle="PivotStyleLight16"/>
  <colors>
    <mruColors>
      <color rgb="FFFDFECE"/>
      <color rgb="FFC7F1C7"/>
      <color rgb="FF9DE79D"/>
      <color rgb="FF66FFFF"/>
      <color rgb="FF3333CC"/>
      <color rgb="FF996633"/>
      <color rgb="FFFFFF00"/>
      <color rgb="FFFF66F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200"/>
              <a:t>Custo de Não Conformidade</a:t>
            </a:r>
            <a:br>
              <a:rPr lang="pt-BR" sz="1200"/>
            </a:br>
            <a:r>
              <a:rPr lang="pt-BR" sz="1100"/>
              <a:t>comparação de EXTERNA X INTERNA</a:t>
            </a:r>
          </a:p>
        </c:rich>
      </c:tx>
      <c:layout>
        <c:manualLayout>
          <c:xMode val="edge"/>
          <c:yMode val="edge"/>
          <c:x val="0.34840256594454594"/>
          <c:y val="1.6311088604622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950526793702395E-2"/>
          <c:y val="0.18121215790748366"/>
          <c:w val="0.89430833331298387"/>
          <c:h val="0.656522784150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'Custo NC '!$B$2</c:f>
              <c:strCache>
                <c:ptCount val="1"/>
                <c:pt idx="0">
                  <c:v>CUSTO DE NC EXTERNA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 NC '!$A$3:$A$15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Custo Anual</c:v>
                </c:pt>
              </c:strCache>
            </c:strRef>
          </c:cat>
          <c:val>
            <c:numRef>
              <c:f>'Custo NC '!$B$3:$B$15</c:f>
              <c:numCache>
                <c:formatCode>_(* #,##0.00_);_(* \(#,##0.00\);_(* "-"??_);_(@_)</c:formatCode>
                <c:ptCount val="13"/>
                <c:pt idx="0">
                  <c:v>450</c:v>
                </c:pt>
                <c:pt idx="1">
                  <c:v>550</c:v>
                </c:pt>
                <c:pt idx="2">
                  <c:v>200</c:v>
                </c:pt>
                <c:pt idx="3">
                  <c:v>600</c:v>
                </c:pt>
                <c:pt idx="4">
                  <c:v>400</c:v>
                </c:pt>
                <c:pt idx="5">
                  <c:v>800</c:v>
                </c:pt>
                <c:pt idx="6">
                  <c:v>600</c:v>
                </c:pt>
                <c:pt idx="7">
                  <c:v>200</c:v>
                </c:pt>
                <c:pt idx="8">
                  <c:v>200</c:v>
                </c:pt>
                <c:pt idx="9">
                  <c:v>400</c:v>
                </c:pt>
                <c:pt idx="12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B1F-990B-9EDE7F0B81DC}"/>
            </c:ext>
          </c:extLst>
        </c:ser>
        <c:ser>
          <c:idx val="1"/>
          <c:order val="1"/>
          <c:tx>
            <c:strRef>
              <c:f>'Custo NC '!$C$2</c:f>
              <c:strCache>
                <c:ptCount val="1"/>
                <c:pt idx="0">
                  <c:v>CUSTO DE NC INTERNA 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 NC '!$A$3:$A$15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Custo Anual</c:v>
                </c:pt>
              </c:strCache>
            </c:strRef>
          </c:cat>
          <c:val>
            <c:numRef>
              <c:f>'Custo NC '!$C$3:$C$15</c:f>
              <c:numCache>
                <c:formatCode>_(* #,##0.00_);_(* \(#,##0.00\);_(* "-"??_);_(@_)</c:formatCode>
                <c:ptCount val="13"/>
                <c:pt idx="0">
                  <c:v>4372.38</c:v>
                </c:pt>
                <c:pt idx="1">
                  <c:v>3533.76</c:v>
                </c:pt>
                <c:pt idx="2">
                  <c:v>2297.4999999999995</c:v>
                </c:pt>
                <c:pt idx="3">
                  <c:v>1920.0100000000002</c:v>
                </c:pt>
                <c:pt idx="4">
                  <c:v>1473.72</c:v>
                </c:pt>
                <c:pt idx="5">
                  <c:v>6333.52</c:v>
                </c:pt>
                <c:pt idx="6">
                  <c:v>2159.14</c:v>
                </c:pt>
                <c:pt idx="7">
                  <c:v>3533.7599999999998</c:v>
                </c:pt>
                <c:pt idx="8">
                  <c:v>1717.5300000000002</c:v>
                </c:pt>
                <c:pt idx="9">
                  <c:v>8452.3230000000003</c:v>
                </c:pt>
                <c:pt idx="12">
                  <c:v>35793.642999999996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B1F-990B-9EDE7F0B81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411329312"/>
        <c:axId val="-411328224"/>
      </c:barChart>
      <c:catAx>
        <c:axId val="-41132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-411328224"/>
        <c:crosses val="autoZero"/>
        <c:auto val="1"/>
        <c:lblAlgn val="ctr"/>
        <c:lblOffset val="100"/>
        <c:noMultiLvlLbl val="1"/>
      </c:catAx>
      <c:valAx>
        <c:axId val="-411328224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-4113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607045558366553"/>
          <c:y val="0.94012454406012147"/>
          <c:w val="0.35454512177788167"/>
          <c:h val="4.3254841953073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1"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NC's</a:t>
            </a:r>
            <a:r>
              <a:rPr lang="pt-BR" baseline="0"/>
              <a:t> Internas - Mensal por Setor</a:t>
            </a:r>
            <a:br>
              <a:rPr lang="pt-BR" baseline="0"/>
            </a:br>
            <a:r>
              <a:rPr lang="pt-BR" baseline="0"/>
              <a:t>(Quantidade de Peças NC / Setor)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'NC - INT. Nº DE PEÇAS'!$A$4</c:f>
              <c:strCache>
                <c:ptCount val="1"/>
                <c:pt idx="0">
                  <c:v>jan/24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GILHOTINA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PEÇAS'!$B$4:$V$4</c:f>
              <c:numCache>
                <c:formatCode>0</c:formatCode>
                <c:ptCount val="21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35</c:v>
                </c:pt>
                <c:pt idx="9">
                  <c:v>0</c:v>
                </c:pt>
                <c:pt idx="10">
                  <c:v>201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7CC-AE29-F7BEDCB3958C}"/>
            </c:ext>
          </c:extLst>
        </c:ser>
        <c:ser>
          <c:idx val="1"/>
          <c:order val="1"/>
          <c:tx>
            <c:strRef>
              <c:f>'NC - INT. Nº DE PEÇAS'!$A$5</c:f>
              <c:strCache>
                <c:ptCount val="1"/>
                <c:pt idx="0">
                  <c:v>fev/24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GILHOTINA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PEÇAS'!$B$5:$V$5</c:f>
              <c:numCache>
                <c:formatCode>0</c:formatCode>
                <c:ptCount val="21"/>
                <c:pt idx="0">
                  <c:v>13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72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D-47CC-AE29-F7BEDCB3958C}"/>
            </c:ext>
          </c:extLst>
        </c:ser>
        <c:ser>
          <c:idx val="2"/>
          <c:order val="2"/>
          <c:tx>
            <c:strRef>
              <c:f>'NC - INT. Nº DE PEÇAS'!$A$6</c:f>
              <c:strCache>
                <c:ptCount val="1"/>
                <c:pt idx="0">
                  <c:v>mar/24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GILHOTINA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PEÇAS'!$B$6:$V$6</c:f>
              <c:numCache>
                <c:formatCode>0</c:formatCode>
                <c:ptCount val="2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D-47CC-AE29-F7BEDCB3958C}"/>
            </c:ext>
          </c:extLst>
        </c:ser>
        <c:ser>
          <c:idx val="3"/>
          <c:order val="3"/>
          <c:tx>
            <c:strRef>
              <c:f>'NC - INT. Nº DE PEÇAS'!$A$7</c:f>
              <c:strCache>
                <c:ptCount val="1"/>
                <c:pt idx="0">
                  <c:v>abr/24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GILHOTINA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PEÇAS'!$B$7:$V$7</c:f>
              <c:numCache>
                <c:formatCode>0</c:formatCode>
                <c:ptCount val="21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D-47CC-AE29-F7BEDCB3958C}"/>
            </c:ext>
          </c:extLst>
        </c:ser>
        <c:ser>
          <c:idx val="4"/>
          <c:order val="4"/>
          <c:tx>
            <c:strRef>
              <c:f>'NC - INT. Nº DE PEÇAS'!$A$8</c:f>
              <c:strCache>
                <c:ptCount val="1"/>
                <c:pt idx="0">
                  <c:v>mai/24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GILHOTINA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PEÇAS'!$B$8:$V$8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60</c:v>
                </c:pt>
                <c:pt idx="16">
                  <c:v>0</c:v>
                </c:pt>
                <c:pt idx="17">
                  <c:v>13</c:v>
                </c:pt>
                <c:pt idx="18">
                  <c:v>0</c:v>
                </c:pt>
                <c:pt idx="19">
                  <c:v>36</c:v>
                </c:pt>
                <c:pt idx="2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D-47CC-AE29-F7BEDCB3958C}"/>
            </c:ext>
          </c:extLst>
        </c:ser>
        <c:ser>
          <c:idx val="5"/>
          <c:order val="5"/>
          <c:tx>
            <c:strRef>
              <c:f>'NC - INT. Nº DE PEÇAS'!$A$9</c:f>
              <c:strCache>
                <c:ptCount val="1"/>
                <c:pt idx="0">
                  <c:v>jun/24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GILHOTINA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PEÇAS'!$B$9:$V$9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</c:v>
                </c:pt>
                <c:pt idx="17">
                  <c:v>1</c:v>
                </c:pt>
                <c:pt idx="18">
                  <c:v>0</c:v>
                </c:pt>
                <c:pt idx="19">
                  <c:v>22</c:v>
                </c:pt>
                <c:pt idx="2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D-47CC-AE29-F7BEDCB3958C}"/>
            </c:ext>
          </c:extLst>
        </c:ser>
        <c:ser>
          <c:idx val="6"/>
          <c:order val="6"/>
          <c:tx>
            <c:strRef>
              <c:f>'NC - INT. Nº DE PEÇAS'!$A$10</c:f>
              <c:strCache>
                <c:ptCount val="1"/>
                <c:pt idx="0">
                  <c:v>jul/24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GILHOTINA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PEÇAS'!$B$10:$V$10</c:f>
              <c:numCache>
                <c:formatCode>0</c:formatCode>
                <c:ptCount val="2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</c:v>
                </c:pt>
                <c:pt idx="9">
                  <c:v>0</c:v>
                </c:pt>
                <c:pt idx="10">
                  <c:v>63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87</c:v>
                </c:pt>
                <c:pt idx="19">
                  <c:v>0</c:v>
                </c:pt>
                <c:pt idx="2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D-47CC-AE29-F7BEDCB3958C}"/>
            </c:ext>
          </c:extLst>
        </c:ser>
        <c:ser>
          <c:idx val="7"/>
          <c:order val="7"/>
          <c:tx>
            <c:strRef>
              <c:f>'NC - INT. Nº DE PEÇAS'!$A$11</c:f>
              <c:strCache>
                <c:ptCount val="1"/>
                <c:pt idx="0">
                  <c:v>ago/24</c:v>
                </c:pt>
              </c:strCache>
            </c:strRef>
          </c:tx>
          <c:spPr>
            <a:solidFill>
              <a:srgbClr val="996633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GILHOTINA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PEÇAS'!$B$11:$V$11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</c:v>
                </c:pt>
                <c:pt idx="8">
                  <c:v>4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D-47CC-AE29-F7BEDCB3958C}"/>
            </c:ext>
          </c:extLst>
        </c:ser>
        <c:ser>
          <c:idx val="8"/>
          <c:order val="8"/>
          <c:tx>
            <c:strRef>
              <c:f>'NC - INT. Nº DE PEÇAS'!$A$12</c:f>
              <c:strCache>
                <c:ptCount val="1"/>
                <c:pt idx="0">
                  <c:v>set/24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GILHOTINA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PEÇAS'!$B$12:$V$12</c:f>
              <c:numCache>
                <c:formatCode>0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</c:v>
                </c:pt>
                <c:pt idx="19">
                  <c:v>0</c:v>
                </c:pt>
                <c:pt idx="2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D-47CC-AE29-F7BEDCB3958C}"/>
            </c:ext>
          </c:extLst>
        </c:ser>
        <c:ser>
          <c:idx val="9"/>
          <c:order val="9"/>
          <c:tx>
            <c:strRef>
              <c:f>'NC - INT. Nº DE PEÇAS'!$A$13</c:f>
              <c:strCache>
                <c:ptCount val="1"/>
                <c:pt idx="0">
                  <c:v>out/24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GILHOTINA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PEÇAS'!$B$13:$V$13</c:f>
              <c:numCache>
                <c:formatCode>0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4</c:v>
                </c:pt>
                <c:pt idx="11">
                  <c:v>0</c:v>
                </c:pt>
                <c:pt idx="12">
                  <c:v>12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13</c:v>
                </c:pt>
                <c:pt idx="17">
                  <c:v>0</c:v>
                </c:pt>
                <c:pt idx="18">
                  <c:v>308</c:v>
                </c:pt>
                <c:pt idx="19">
                  <c:v>0</c:v>
                </c:pt>
                <c:pt idx="20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D-47CC-AE29-F7BEDCB3958C}"/>
            </c:ext>
          </c:extLst>
        </c:ser>
        <c:ser>
          <c:idx val="10"/>
          <c:order val="10"/>
          <c:tx>
            <c:strRef>
              <c:f>'NC - INT. Nº DE PEÇAS'!$A$14</c:f>
              <c:strCache>
                <c:ptCount val="1"/>
                <c:pt idx="0">
                  <c:v>nov/24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GILHOTINA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PEÇAS'!$B$14:$V$14</c:f>
              <c:numCache>
                <c:formatCode>0</c:formatCode>
                <c:ptCount val="21"/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D-47CC-AE29-F7BEDCB3958C}"/>
            </c:ext>
          </c:extLst>
        </c:ser>
        <c:ser>
          <c:idx val="11"/>
          <c:order val="11"/>
          <c:tx>
            <c:strRef>
              <c:f>'NC - INT. Nº DE PEÇAS'!$A$15</c:f>
              <c:strCache>
                <c:ptCount val="1"/>
                <c:pt idx="0">
                  <c:v>dez/24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GILHOTINA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PEÇAS'!$B$15:$V$15</c:f>
              <c:numCache>
                <c:formatCode>0</c:formatCode>
                <c:ptCount val="21"/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D-47CC-AE29-F7BEDCB39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3690512"/>
        <c:axId val="-53695952"/>
      </c:barChart>
      <c:catAx>
        <c:axId val="-5369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-53695952"/>
        <c:crosses val="autoZero"/>
        <c:auto val="1"/>
        <c:lblAlgn val="ctr"/>
        <c:lblOffset val="100"/>
        <c:noMultiLvlLbl val="0"/>
      </c:catAx>
      <c:valAx>
        <c:axId val="-536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-5369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31953613826953"/>
          <c:y val="0.90095757508270846"/>
          <c:w val="0.58690994768800142"/>
          <c:h val="8.3387246453393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Total de NC's</a:t>
            </a:r>
            <a:r>
              <a:rPr lang="pt-BR" baseline="0"/>
              <a:t> Internas - Anual </a:t>
            </a:r>
          </a:p>
          <a:p>
            <a:pPr>
              <a:defRPr/>
            </a:pPr>
            <a:r>
              <a:rPr lang="pt-BR" baseline="0"/>
              <a:t>Por Setor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INT. Nº DE PEÇAS'!$B$3:$U$3</c:f>
              <c:strCache>
                <c:ptCount val="20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GILHOTINA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</c:strCache>
            </c:strRef>
          </c:cat>
          <c:val>
            <c:numRef>
              <c:f>'NC - INT. Nº DE PEÇAS'!$B$16:$U$16</c:f>
              <c:numCache>
                <c:formatCode>0</c:formatCode>
                <c:ptCount val="20"/>
                <c:pt idx="0">
                  <c:v>75</c:v>
                </c:pt>
                <c:pt idx="1">
                  <c:v>1</c:v>
                </c:pt>
                <c:pt idx="2">
                  <c:v>7</c:v>
                </c:pt>
                <c:pt idx="3">
                  <c:v>8</c:v>
                </c:pt>
                <c:pt idx="4">
                  <c:v>0</c:v>
                </c:pt>
                <c:pt idx="5">
                  <c:v>76</c:v>
                </c:pt>
                <c:pt idx="6">
                  <c:v>0</c:v>
                </c:pt>
                <c:pt idx="7">
                  <c:v>18</c:v>
                </c:pt>
                <c:pt idx="8">
                  <c:v>80</c:v>
                </c:pt>
                <c:pt idx="9">
                  <c:v>13</c:v>
                </c:pt>
                <c:pt idx="10">
                  <c:v>361</c:v>
                </c:pt>
                <c:pt idx="11">
                  <c:v>0</c:v>
                </c:pt>
                <c:pt idx="12">
                  <c:v>24</c:v>
                </c:pt>
                <c:pt idx="13">
                  <c:v>0</c:v>
                </c:pt>
                <c:pt idx="14">
                  <c:v>31</c:v>
                </c:pt>
                <c:pt idx="15">
                  <c:v>79</c:v>
                </c:pt>
                <c:pt idx="16">
                  <c:v>43</c:v>
                </c:pt>
                <c:pt idx="17">
                  <c:v>22</c:v>
                </c:pt>
                <c:pt idx="18">
                  <c:v>407</c:v>
                </c:pt>
                <c:pt idx="1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4-4B76-9AF4-5071D5729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53689968"/>
        <c:axId val="-53121168"/>
      </c:barChart>
      <c:catAx>
        <c:axId val="-53689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pt-BR"/>
                  <a:t>Setor</a:t>
                </a:r>
              </a:p>
            </c:rich>
          </c:tx>
          <c:layout>
            <c:manualLayout>
              <c:xMode val="edge"/>
              <c:yMode val="edge"/>
              <c:x val="6.1042073754013519E-3"/>
              <c:y val="0.44103367277276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-53121168"/>
        <c:crosses val="autoZero"/>
        <c:auto val="1"/>
        <c:lblAlgn val="ctr"/>
        <c:lblOffset val="100"/>
        <c:noMultiLvlLbl val="0"/>
      </c:catAx>
      <c:valAx>
        <c:axId val="-5312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pt-BR"/>
                  <a:t>Somatório</a:t>
                </a:r>
                <a:r>
                  <a:rPr lang="pt-BR" baseline="0"/>
                  <a:t> Quantitativo Anual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45669487835852768"/>
              <c:y val="0.9415714716501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-5368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600"/>
              <a:t>Índice de Não Conformidades Internas</a:t>
            </a:r>
          </a:p>
          <a:p>
            <a:pPr>
              <a:defRPr/>
            </a:pPr>
            <a:r>
              <a:rPr lang="pt-BR" sz="1100"/>
              <a:t>Meta: Abaixo de 1% - Máximo de 1 Peças NC em 100 Peças Fabricadas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'NC - INT. Nº DE PEÇAS'!$W$3</c:f>
              <c:strCache>
                <c:ptCount val="1"/>
                <c:pt idx="0">
                  <c:v>Qtde. NC Disposição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INT. Nº DE PEÇAS'!$A$4:$A$16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 / Setor</c:v>
                </c:pt>
              </c:strCache>
            </c:strRef>
          </c:cat>
          <c:val>
            <c:numRef>
              <c:f>'NC - INT. Nº DE PEÇAS'!$W$4:$W$16</c:f>
              <c:numCache>
                <c:formatCode>0.00%</c:formatCode>
                <c:ptCount val="13"/>
                <c:pt idx="0">
                  <c:v>4.3999393111819149E-2</c:v>
                </c:pt>
                <c:pt idx="1">
                  <c:v>5.7941024314536987E-2</c:v>
                </c:pt>
                <c:pt idx="2">
                  <c:v>4.2449969678593083E-3</c:v>
                </c:pt>
                <c:pt idx="3">
                  <c:v>1.0495094684006388E-2</c:v>
                </c:pt>
                <c:pt idx="4">
                  <c:v>1.3170679045665551E-2</c:v>
                </c:pt>
                <c:pt idx="5">
                  <c:v>4.0677966101694916E-3</c:v>
                </c:pt>
                <c:pt idx="6">
                  <c:v>1.4735165272799682E-2</c:v>
                </c:pt>
                <c:pt idx="7">
                  <c:v>2.1991447770311544E-3</c:v>
                </c:pt>
                <c:pt idx="8">
                  <c:v>3.3809425239770922E-3</c:v>
                </c:pt>
                <c:pt idx="9">
                  <c:v>3.1350741457124437E-2</c:v>
                </c:pt>
                <c:pt idx="10">
                  <c:v>0</c:v>
                </c:pt>
                <c:pt idx="11">
                  <c:v>0</c:v>
                </c:pt>
                <c:pt idx="12" formatCode="0.0000%">
                  <c:v>1.3538467922649183E-2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D-4A73-B79A-374CDFB6F0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53115728"/>
        <c:axId val="-53118992"/>
      </c:barChart>
      <c:lineChart>
        <c:grouping val="standard"/>
        <c:varyColors val="0"/>
        <c:ser>
          <c:idx val="1"/>
          <c:order val="1"/>
          <c:tx>
            <c:strRef>
              <c:f>'NC - INT. Nº DE PEÇAS'!$X$3</c:f>
              <c:strCache>
                <c:ptCount val="1"/>
                <c:pt idx="0">
                  <c:v>Meta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" b="0" i="0" u="none" strike="noStrike" kern="1200" baseline="0">
                    <a:solidFill>
                      <a:srgbClr val="00B05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INT. Nº DE PEÇAS'!$A$4:$A$16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 / Setor</c:v>
                </c:pt>
              </c:strCache>
            </c:strRef>
          </c:cat>
          <c:val>
            <c:numRef>
              <c:f>'NC - INT. Nº DE PEÇAS'!$X$4:$X$16</c:f>
              <c:numCache>
                <c:formatCode>0%</c:formatCode>
                <c:ptCount val="1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D-4A73-B79A-374CDFB6F0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53115728"/>
        <c:axId val="-53118992"/>
      </c:lineChart>
      <c:catAx>
        <c:axId val="-531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-53118992"/>
        <c:crosses val="autoZero"/>
        <c:auto val="1"/>
        <c:lblAlgn val="ctr"/>
        <c:lblOffset val="100"/>
        <c:noMultiLvlLbl val="0"/>
      </c:catAx>
      <c:valAx>
        <c:axId val="-531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-531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Índice de Não Conformidades Externas</a:t>
            </a:r>
          </a:p>
          <a:p>
            <a:pPr>
              <a:defRPr/>
            </a:pPr>
            <a:r>
              <a:rPr lang="pt-BR" sz="1200"/>
              <a:t>Meta: Abaixo de 0,5% - Máximo de 5 Peças NC em 1000 Peças Fabricadas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1323460351624025E-2"/>
          <c:y val="0.12889876995450264"/>
          <c:w val="0.924062066214549"/>
          <c:h val="0.743680287867534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 - EXT. Nº DE PEÇAS'!$O$3</c:f>
              <c:strCache>
                <c:ptCount val="1"/>
                <c:pt idx="0">
                  <c:v>Qtde. NC Disposição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EXT. Nº DE PEÇAS'!$A$4:$A$16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Total NC</c:v>
                </c:pt>
              </c:strCache>
            </c:strRef>
          </c:cat>
          <c:val>
            <c:numRef>
              <c:f>'NC - EXT. Nº DE PEÇAS'!$O$4:$O$16</c:f>
              <c:numCache>
                <c:formatCode>0.00%</c:formatCode>
                <c:ptCount val="13"/>
                <c:pt idx="0">
                  <c:v>5.9171597633136093E-3</c:v>
                </c:pt>
                <c:pt idx="1">
                  <c:v>2.5866528711846869E-3</c:v>
                </c:pt>
                <c:pt idx="2">
                  <c:v>1.5160703456640388E-4</c:v>
                </c:pt>
                <c:pt idx="3">
                  <c:v>6.3883185033082367E-3</c:v>
                </c:pt>
                <c:pt idx="4">
                  <c:v>5.3978192810104722E-4</c:v>
                </c:pt>
                <c:pt idx="5">
                  <c:v>1.271186440677966E-3</c:v>
                </c:pt>
                <c:pt idx="6">
                  <c:v>1.0354440461967343E-3</c:v>
                </c:pt>
                <c:pt idx="7">
                  <c:v>8.5522296884544895E-4</c:v>
                </c:pt>
                <c:pt idx="8">
                  <c:v>8.2798592423928791E-4</c:v>
                </c:pt>
                <c:pt idx="9">
                  <c:v>3.7556415215989687E-2</c:v>
                </c:pt>
                <c:pt idx="10">
                  <c:v>0</c:v>
                </c:pt>
                <c:pt idx="11">
                  <c:v>0</c:v>
                </c:pt>
                <c:pt idx="12" formatCode="0.000%">
                  <c:v>6.203834343099012E-3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A-4AD7-8A2E-4B67A7AC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53122800"/>
        <c:axId val="-53118448"/>
      </c:barChart>
      <c:lineChart>
        <c:grouping val="standard"/>
        <c:varyColors val="0"/>
        <c:ser>
          <c:idx val="1"/>
          <c:order val="1"/>
          <c:tx>
            <c:strRef>
              <c:f>'NC - EXT. Nº DE PEÇAS'!$P$3</c:f>
              <c:strCache>
                <c:ptCount val="1"/>
                <c:pt idx="0">
                  <c:v>Meta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'NC - EXT. Nº DE PEÇAS'!$A$4:$A$16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Total NC</c:v>
                </c:pt>
              </c:strCache>
            </c:strRef>
          </c:cat>
          <c:val>
            <c:numRef>
              <c:f>'NC - EXT. Nº DE PEÇAS'!$P$4:$P$16</c:f>
              <c:numCache>
                <c:formatCode>0%</c:formatCode>
                <c:ptCount val="13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A-4AD7-8A2E-4B67A7AC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122800"/>
        <c:axId val="-53118448"/>
      </c:lineChart>
      <c:catAx>
        <c:axId val="-531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-53118448"/>
        <c:crosses val="autoZero"/>
        <c:auto val="1"/>
        <c:lblAlgn val="ctr"/>
        <c:lblOffset val="100"/>
        <c:noMultiLvlLbl val="0"/>
      </c:catAx>
      <c:valAx>
        <c:axId val="-5311844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-531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Quantidade de NC's Externa - Anual por Cliente (Em nº</a:t>
            </a:r>
            <a:r>
              <a:rPr lang="pt-BR" baseline="0"/>
              <a:t> de Peças)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'NC - EXT. Nº DE PEÇAS'!$A$16</c:f>
              <c:strCache>
                <c:ptCount val="1"/>
                <c:pt idx="0">
                  <c:v>Total NC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EXT. Nº DE PEÇAS'!$B$3:$N$3</c:f>
              <c:strCache>
                <c:ptCount val="13"/>
                <c:pt idx="0">
                  <c:v>BALTEAU</c:v>
                </c:pt>
                <c:pt idx="1">
                  <c:v>GE</c:v>
                </c:pt>
                <c:pt idx="2">
                  <c:v>GE SP</c:v>
                </c:pt>
                <c:pt idx="3">
                  <c:v>WEG ENERGIA</c:v>
                </c:pt>
                <c:pt idx="4">
                  <c:v>WEG ITAJAÍ</c:v>
                </c:pt>
                <c:pt idx="5">
                  <c:v>WEG JARAGUÁ</c:v>
                </c:pt>
                <c:pt idx="6">
                  <c:v>WEG BLUMENAU</c:v>
                </c:pt>
                <c:pt idx="7">
                  <c:v>WEG SÃO BERNARDO</c:v>
                </c:pt>
                <c:pt idx="8">
                  <c:v>WEG BETIM</c:v>
                </c:pt>
                <c:pt idx="9">
                  <c:v>HITACHI</c:v>
                </c:pt>
                <c:pt idx="10">
                  <c:v>SHAMAH</c:v>
                </c:pt>
                <c:pt idx="11">
                  <c:v>OUTROS CLIENTES</c:v>
                </c:pt>
                <c:pt idx="12">
                  <c:v>TOTAL</c:v>
                </c:pt>
              </c:strCache>
            </c:strRef>
          </c:cat>
          <c:val>
            <c:numRef>
              <c:f>'NC - EXT. Nº DE PEÇAS'!$B$16:$N$16</c:f>
              <c:numCache>
                <c:formatCode>0</c:formatCode>
                <c:ptCount val="13"/>
                <c:pt idx="0">
                  <c:v>0</c:v>
                </c:pt>
                <c:pt idx="1">
                  <c:v>113</c:v>
                </c:pt>
                <c:pt idx="2">
                  <c:v>0</c:v>
                </c:pt>
                <c:pt idx="3">
                  <c:v>0</c:v>
                </c:pt>
                <c:pt idx="4">
                  <c:v>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9-42EE-8A97-00E25480C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3120624"/>
        <c:axId val="-53113008"/>
      </c:barChart>
      <c:catAx>
        <c:axId val="-5312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-53113008"/>
        <c:crosses val="autoZero"/>
        <c:auto val="1"/>
        <c:lblAlgn val="ctr"/>
        <c:lblOffset val="100"/>
        <c:noMultiLvlLbl val="0"/>
      </c:catAx>
      <c:valAx>
        <c:axId val="-531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-5312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>
                <a:latin typeface="Arial Black" panose="020B0A04020102020204" pitchFamily="34" charset="0"/>
              </a:rPr>
              <a:t>NÃO</a:t>
            </a:r>
            <a:r>
              <a:rPr lang="en-US" baseline="0">
                <a:latin typeface="Arial Black" panose="020B0A04020102020204" pitchFamily="34" charset="0"/>
              </a:rPr>
              <a:t> CONFORMIDADES INTERNAS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'NC - INTERNAS'!$B$5:$B$17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ACM/24</c:v>
                </c:pt>
              </c:strCache>
            </c:strRef>
          </c:cat>
          <c:val>
            <c:numRef>
              <c:f>'NC - INTERNAS'!$B$5:$B$17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8-4CF4-8132-8E77B1B7FA85}"/>
            </c:ext>
          </c:extLst>
        </c:ser>
        <c:ser>
          <c:idx val="1"/>
          <c:order val="1"/>
          <c:tx>
            <c:v>Nº NC'S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'NC - INTERNAS'!$G$5:$G$17</c:f>
              <c:numCache>
                <c:formatCode>General</c:formatCode>
                <c:ptCount val="13"/>
                <c:pt idx="0">
                  <c:v>8</c:v>
                </c:pt>
                <c:pt idx="1">
                  <c:v>11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8-4CF4-8132-8E77B1B7FA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53119536"/>
        <c:axId val="-53114640"/>
      </c:barChart>
      <c:catAx>
        <c:axId val="-5311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-53114640"/>
        <c:crosses val="autoZero"/>
        <c:auto val="1"/>
        <c:lblAlgn val="ctr"/>
        <c:lblOffset val="100"/>
        <c:noMultiLvlLbl val="0"/>
      </c:catAx>
      <c:valAx>
        <c:axId val="-531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-5311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NÃO CONFORMIDADES EXTERNAS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'NC - EXTERNAS'!$B$5:$B$17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ACM/24</c:v>
                </c:pt>
              </c:strCache>
            </c:strRef>
          </c:cat>
          <c:val>
            <c:numRef>
              <c:f>'NC - EXTERNAS'!$B$5:$B$17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1-46F6-B42E-E3FA07D0D0AB}"/>
            </c:ext>
          </c:extLst>
        </c:ser>
        <c:ser>
          <c:idx val="1"/>
          <c:order val="1"/>
          <c:tx>
            <c:v>Nº NC'S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'NC - EXTERNAS'!$F$5:$F$17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1-46F6-B42E-E3FA07D0D0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53113552"/>
        <c:axId val="-53110288"/>
      </c:barChart>
      <c:catAx>
        <c:axId val="-5311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-53110288"/>
        <c:crosses val="autoZero"/>
        <c:auto val="1"/>
        <c:lblAlgn val="ctr"/>
        <c:lblOffset val="100"/>
        <c:noMultiLvlLbl val="0"/>
      </c:catAx>
      <c:valAx>
        <c:axId val="-531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-5311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886934979243"/>
          <c:y val="2.9354302012692322E-2"/>
          <c:w val="0.78979172879337267"/>
          <c:h val="0.74908445355847697"/>
        </c:manualLayout>
      </c:layout>
      <c:lineChart>
        <c:grouping val="standard"/>
        <c:varyColors val="0"/>
        <c:ser>
          <c:idx val="0"/>
          <c:order val="0"/>
          <c:tx>
            <c:strRef>
              <c:f>'Custo NC '!$C$2</c:f>
              <c:strCache>
                <c:ptCount val="1"/>
                <c:pt idx="0">
                  <c:v>CUSTO DE NC INTERNA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'Custo NC '!$A$3:$A$14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'Custo NC '!$C$3:$C$14</c:f>
              <c:numCache>
                <c:formatCode>_(* #,##0.00_);_(* \(#,##0.00\);_(* "-"??_);_(@_)</c:formatCode>
                <c:ptCount val="12"/>
                <c:pt idx="0">
                  <c:v>4372.38</c:v>
                </c:pt>
                <c:pt idx="1">
                  <c:v>3533.76</c:v>
                </c:pt>
                <c:pt idx="2">
                  <c:v>2297.4999999999995</c:v>
                </c:pt>
                <c:pt idx="3">
                  <c:v>1920.0100000000002</c:v>
                </c:pt>
                <c:pt idx="4">
                  <c:v>1473.72</c:v>
                </c:pt>
                <c:pt idx="5">
                  <c:v>6333.52</c:v>
                </c:pt>
                <c:pt idx="6">
                  <c:v>2159.14</c:v>
                </c:pt>
                <c:pt idx="7">
                  <c:v>3533.7599999999998</c:v>
                </c:pt>
                <c:pt idx="8">
                  <c:v>1717.5300000000002</c:v>
                </c:pt>
                <c:pt idx="9">
                  <c:v>8452.3230000000003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CF6-923F-AB918B1A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269472"/>
        <c:axId val="-189270560"/>
      </c:lineChart>
      <c:dateAx>
        <c:axId val="-18926947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-189270560"/>
        <c:crosses val="autoZero"/>
        <c:auto val="1"/>
        <c:lblOffset val="100"/>
        <c:baseTimeUnit val="months"/>
      </c:dateAx>
      <c:valAx>
        <c:axId val="-1892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-18926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CUSTO DE NC EXTERNA</a:t>
            </a:r>
            <a:br>
              <a:rPr lang="en-US"/>
            </a:br>
            <a:r>
              <a:rPr lang="en-US" sz="1200"/>
              <a:t>RETRABALHO, REFUGO E REJEIÇÃO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'Custo NC '!$B$2</c:f>
              <c:strCache>
                <c:ptCount val="1"/>
                <c:pt idx="0">
                  <c:v>CUSTO DE NC EXTERNA </c:v>
                </c:pt>
              </c:strCache>
            </c:strRef>
          </c:tx>
          <c:spPr>
            <a:ln w="1905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'Custo NC '!$A$3:$A$14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'Custo NC '!$B$3:$B$14</c:f>
              <c:numCache>
                <c:formatCode>_(* #,##0.00_);_(* \(#,##0.00\);_(* "-"??_);_(@_)</c:formatCode>
                <c:ptCount val="12"/>
                <c:pt idx="0">
                  <c:v>450</c:v>
                </c:pt>
                <c:pt idx="1">
                  <c:v>550</c:v>
                </c:pt>
                <c:pt idx="2">
                  <c:v>200</c:v>
                </c:pt>
                <c:pt idx="3">
                  <c:v>600</c:v>
                </c:pt>
                <c:pt idx="4">
                  <c:v>400</c:v>
                </c:pt>
                <c:pt idx="5">
                  <c:v>800</c:v>
                </c:pt>
                <c:pt idx="6">
                  <c:v>600</c:v>
                </c:pt>
                <c:pt idx="7">
                  <c:v>200</c:v>
                </c:pt>
                <c:pt idx="8">
                  <c:v>200</c:v>
                </c:pt>
                <c:pt idx="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B-498E-9CFB-B152C036E4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89276544"/>
        <c:axId val="-189275456"/>
      </c:lineChart>
      <c:dateAx>
        <c:axId val="-18927654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-189275456"/>
        <c:crosses val="autoZero"/>
        <c:auto val="1"/>
        <c:lblOffset val="100"/>
        <c:baseTimeUnit val="months"/>
      </c:dateAx>
      <c:valAx>
        <c:axId val="-189275456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-1892765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2000"/>
              <a:t>Valor de Multas por Atraso de Entrega </a:t>
            </a:r>
          </a:p>
          <a:p>
            <a:pPr algn="ctr" rtl="0">
              <a:defRPr/>
            </a:pPr>
            <a:r>
              <a:rPr lang="en-US"/>
              <a:t>Meta: R$ 0,00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848068929970786"/>
          <c:y val="0.24119721189960888"/>
          <c:w val="0.87663616100393182"/>
          <c:h val="0.595384215930415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'Multa Atraso'!$B$2</c:f>
              <c:strCache>
                <c:ptCount val="1"/>
                <c:pt idx="0">
                  <c:v>Valor R$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408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'Multa Atraso'!$A$3:$A$15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Total</c:v>
                </c:pt>
              </c:strCache>
            </c:strRef>
          </c:cat>
          <c:val>
            <c:numRef>
              <c:f>'Multa Atraso'!$B$3:$B$15</c:f>
              <c:numCache>
                <c:formatCode>"R$"\ #,##0.00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E-48F3-8051-088DB56728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411984464"/>
        <c:axId val="-53689424"/>
      </c:barChart>
      <c:catAx>
        <c:axId val="-41198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408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-53689424"/>
        <c:crosses val="autoZero"/>
        <c:auto val="1"/>
        <c:lblAlgn val="ctr"/>
        <c:lblOffset val="100"/>
        <c:noMultiLvlLbl val="0"/>
      </c:catAx>
      <c:valAx>
        <c:axId val="-53689424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-41198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2800"/>
              <a:t>Custo</a:t>
            </a:r>
            <a:r>
              <a:rPr lang="pt-BR" sz="2800" baseline="0"/>
              <a:t> Total da NC - Anual</a:t>
            </a:r>
            <a:br>
              <a:rPr lang="pt-BR" sz="2800" baseline="0"/>
            </a:br>
            <a:r>
              <a:rPr lang="pt-BR" sz="2000" baseline="0"/>
              <a:t>Custo Total de NC (Interna e Externa)</a:t>
            </a:r>
            <a:endParaRPr lang="pt-B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449364223123153"/>
          <c:y val="0.22485311163515728"/>
          <c:w val="0.84442346048065986"/>
          <c:h val="0.686645829169830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 NC Total'!$A$16</c:f>
              <c:strCache>
                <c:ptCount val="1"/>
                <c:pt idx="0">
                  <c:v>NC's Total</c:v>
                </c:pt>
              </c:strCache>
            </c:strRef>
          </c:cat>
          <c:val>
            <c:numRef>
              <c:f>'Custo NC Total'!$B$16</c:f>
              <c:numCache>
                <c:formatCode>_(* #,##0.00_);_(* \(#,##0.00\);_(* "-"??_);_(@_)</c:formatCode>
                <c:ptCount val="1"/>
                <c:pt idx="0">
                  <c:v>40193.642999999996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6-45EB-BDBF-3EC4898A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3687792"/>
        <c:axId val="-53688880"/>
      </c:barChart>
      <c:catAx>
        <c:axId val="-5368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-53688880"/>
        <c:crosses val="autoZero"/>
        <c:auto val="1"/>
        <c:lblAlgn val="ctr"/>
        <c:lblOffset val="100"/>
        <c:noMultiLvlLbl val="0"/>
      </c:catAx>
      <c:valAx>
        <c:axId val="-53688880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-5368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/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400"/>
              <a:t>Valor de Peças Refugadas</a:t>
            </a:r>
            <a:br>
              <a:rPr lang="pt-BR" sz="1400"/>
            </a:br>
            <a:r>
              <a:rPr lang="pt-BR" sz="1400"/>
              <a:t>Produto Não Conforme - Rejeição Interna</a:t>
            </a:r>
            <a:br>
              <a:rPr lang="pt-BR"/>
            </a:br>
            <a:r>
              <a:rPr lang="pt-BR" sz="1000"/>
              <a:t>Meta: Abaixo do Permissível (0,25% do Faturamento Bruto Mensal) </a:t>
            </a:r>
            <a:endParaRPr lang="pt-BR"/>
          </a:p>
        </c:rich>
      </c:tx>
      <c:layout>
        <c:manualLayout>
          <c:xMode val="edge"/>
          <c:yMode val="edge"/>
          <c:x val="0.29835379118797806"/>
          <c:y val="2.068423725273632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/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1008498451358962E-2"/>
          <c:y val="0.18250183892651026"/>
          <c:w val="0.88455573339269333"/>
          <c:h val="0.670569712346543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'Refugo Produto x R$'!$B$3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balanced" dir="t">
                <a:rot lat="0" lon="0" rev="8700000"/>
              </a:lightRig>
            </a:scene3d>
            <a:sp3d>
              <a:bevelT w="190500" h="38100"/>
            </a:sp3d>
          </c:spPr>
          <c:invertIfNegative val="0"/>
          <c:dLbls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'Refugo Produto x R$'!$A$4:$A$16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</c:v>
                </c:pt>
              </c:strCache>
            </c:strRef>
          </c:cat>
          <c:val>
            <c:numRef>
              <c:f>'Refugo Produto x R$'!$B$4:$B$16</c:f>
              <c:numCache>
                <c:formatCode>"R$"\ #,##0.00</c:formatCode>
                <c:ptCount val="13"/>
                <c:pt idx="0">
                  <c:v>663</c:v>
                </c:pt>
                <c:pt idx="1">
                  <c:v>849.76</c:v>
                </c:pt>
                <c:pt idx="2">
                  <c:v>1380.83</c:v>
                </c:pt>
                <c:pt idx="3">
                  <c:v>713.22</c:v>
                </c:pt>
                <c:pt idx="4">
                  <c:v>452.33</c:v>
                </c:pt>
                <c:pt idx="5">
                  <c:v>1062</c:v>
                </c:pt>
                <c:pt idx="6">
                  <c:v>288.73999999999995</c:v>
                </c:pt>
                <c:pt idx="7">
                  <c:v>1268.77</c:v>
                </c:pt>
                <c:pt idx="8">
                  <c:v>320.88</c:v>
                </c:pt>
                <c:pt idx="9">
                  <c:v>4403.6100000000006</c:v>
                </c:pt>
                <c:pt idx="12">
                  <c:v>11403.14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5-42B7-9472-DF647C8945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53686160"/>
        <c:axId val="-53687248"/>
      </c:barChart>
      <c:lineChart>
        <c:grouping val="standard"/>
        <c:varyColors val="0"/>
        <c:ser>
          <c:idx val="1"/>
          <c:order val="1"/>
          <c:tx>
            <c:strRef>
              <c:f>'Refugo Produto x R$'!$E$3</c:f>
              <c:strCache>
                <c:ptCount val="1"/>
                <c:pt idx="0">
                  <c:v>Permissível (R$)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'Refugo Produto x R$'!$A$4:$A$15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'Refugo Produto x R$'!$E$4:$E$15</c:f>
              <c:numCache>
                <c:formatCode>"R$"\ #,##0.00</c:formatCode>
                <c:ptCount val="12"/>
                <c:pt idx="0">
                  <c:v>3300.1824500000002</c:v>
                </c:pt>
                <c:pt idx="1">
                  <c:v>2141.4994500000003</c:v>
                </c:pt>
                <c:pt idx="2">
                  <c:v>2124.3079250000001</c:v>
                </c:pt>
                <c:pt idx="3">
                  <c:v>1356.7509500000001</c:v>
                </c:pt>
                <c:pt idx="4">
                  <c:v>3698.3869250000002</c:v>
                </c:pt>
                <c:pt idx="5">
                  <c:v>3681.3967499999999</c:v>
                </c:pt>
                <c:pt idx="6">
                  <c:v>3640.4254999999998</c:v>
                </c:pt>
                <c:pt idx="7">
                  <c:v>2592.0804000000003</c:v>
                </c:pt>
                <c:pt idx="8">
                  <c:v>1840.827225</c:v>
                </c:pt>
                <c:pt idx="9">
                  <c:v>3430.6619000000001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5-42B7-9472-DF647C8945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53686160"/>
        <c:axId val="-53687248"/>
      </c:lineChart>
      <c:catAx>
        <c:axId val="-5368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effectLst/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-53687248"/>
        <c:crosses val="autoZero"/>
        <c:auto val="1"/>
        <c:lblAlgn val="ctr"/>
        <c:lblOffset val="100"/>
        <c:noMultiLvlLbl val="1"/>
      </c:catAx>
      <c:valAx>
        <c:axId val="-53687248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effectLst/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-5368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39574423192838"/>
          <c:y val="0.93168934557399841"/>
          <c:w val="0.28637590237627847"/>
          <c:h val="6.6806475770085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effectLst/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>
          <a:solidFill>
            <a:sysClr val="windowText" lastClr="000000"/>
          </a:solidFill>
          <a:effectLst/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600" b="1" i="0" u="none" strike="noStrike" cap="all" normalizeH="0" baseline="0">
                <a:effectLst/>
              </a:rPr>
              <a:t>Valor de Peças Refugadas</a:t>
            </a:r>
            <a:br>
              <a:rPr lang="pt-BR" sz="1600" b="1" i="0" u="none" strike="noStrike" cap="all" normalizeH="0" baseline="0">
                <a:effectLst/>
              </a:rPr>
            </a:br>
            <a:r>
              <a:rPr lang="pt-BR" sz="1400" b="1" i="0" u="none" strike="noStrike" cap="all" normalizeH="0" baseline="0">
                <a:effectLst/>
              </a:rPr>
              <a:t>Produto Não Conforme - Rejeição Interna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'Refugo Produto x R$'!$B$3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36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'Refugo Produto x R$'!$A$4:$A$16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</c:v>
                </c:pt>
              </c:strCache>
            </c:strRef>
          </c:cat>
          <c:val>
            <c:numRef>
              <c:f>'Refugo Produto x R$'!$B$4:$B$16</c:f>
              <c:numCache>
                <c:formatCode>"R$"\ #,##0.00</c:formatCode>
                <c:ptCount val="13"/>
                <c:pt idx="0">
                  <c:v>663</c:v>
                </c:pt>
                <c:pt idx="1">
                  <c:v>849.76</c:v>
                </c:pt>
                <c:pt idx="2">
                  <c:v>1380.83</c:v>
                </c:pt>
                <c:pt idx="3">
                  <c:v>713.22</c:v>
                </c:pt>
                <c:pt idx="4">
                  <c:v>452.33</c:v>
                </c:pt>
                <c:pt idx="5">
                  <c:v>1062</c:v>
                </c:pt>
                <c:pt idx="6">
                  <c:v>288.73999999999995</c:v>
                </c:pt>
                <c:pt idx="7">
                  <c:v>1268.77</c:v>
                </c:pt>
                <c:pt idx="8">
                  <c:v>320.88</c:v>
                </c:pt>
                <c:pt idx="9">
                  <c:v>4403.6100000000006</c:v>
                </c:pt>
                <c:pt idx="12">
                  <c:v>11403.14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1-4F63-8252-EDF5D0E176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53685616"/>
        <c:axId val="-53692688"/>
      </c:barChart>
      <c:catAx>
        <c:axId val="-5368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C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C000"/>
            </a:solidFill>
            <a:round/>
          </a:ln>
          <a:effectLst/>
        </c:spPr>
        <c:txPr>
          <a:bodyPr rot="-33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-53692688"/>
        <c:crosses val="autoZero"/>
        <c:auto val="1"/>
        <c:lblAlgn val="ctr"/>
        <c:lblOffset val="100"/>
        <c:noMultiLvlLbl val="0"/>
      </c:catAx>
      <c:valAx>
        <c:axId val="-5369268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-5368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Valor de Peças Retrabalhadas</a:t>
            </a:r>
            <a:br>
              <a:rPr lang="pt-BR"/>
            </a:br>
            <a:r>
              <a:rPr lang="pt-BR"/>
              <a:t>Produto Não Conforme - Rejeição Interna</a:t>
            </a:r>
            <a:br>
              <a:rPr lang="pt-BR"/>
            </a:br>
            <a:r>
              <a:rPr lang="pt-BR" sz="1200"/>
              <a:t>Meta: Abaixo do Permissível (0,5% do Faturamento Bruto Mensal</a:t>
            </a:r>
            <a:r>
              <a:rPr lang="pt-BR"/>
              <a:t>) </a:t>
            </a:r>
          </a:p>
        </c:rich>
      </c:tx>
      <c:layout>
        <c:manualLayout>
          <c:xMode val="edge"/>
          <c:yMode val="edge"/>
          <c:x val="0.42953593806925294"/>
          <c:y val="1.53789363422568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894586794183052E-2"/>
          <c:y val="0.23595916100301623"/>
          <c:w val="0.91578103421312884"/>
          <c:h val="0.60037768504543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'Retrabalho Produto x R$'!$B$3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rgbClr val="FF0000"/>
            </a:solidFill>
            <a:ln w="57150">
              <a:solidFill>
                <a:srgbClr val="FF0000"/>
              </a:solidFill>
              <a:miter lim="800000"/>
            </a:ln>
            <a:effectLst>
              <a:outerShdw blurRad="1397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solidFill>
                <a:srgbClr val="FF0000"/>
              </a:solidFill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'Retrabalho Produto x R$'!$A$4:$A$16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</c:v>
                </c:pt>
              </c:strCache>
            </c:strRef>
          </c:cat>
          <c:val>
            <c:numRef>
              <c:f>'Retrabalho Produto x R$'!$B$4:$B$16</c:f>
              <c:numCache>
                <c:formatCode>"R$"\ #,##0.00</c:formatCode>
                <c:ptCount val="13"/>
                <c:pt idx="0">
                  <c:v>5647.65</c:v>
                </c:pt>
                <c:pt idx="1">
                  <c:v>2684</c:v>
                </c:pt>
                <c:pt idx="2">
                  <c:v>916.67</c:v>
                </c:pt>
                <c:pt idx="3">
                  <c:v>725.04</c:v>
                </c:pt>
                <c:pt idx="4">
                  <c:v>1381.3899999999999</c:v>
                </c:pt>
                <c:pt idx="5">
                  <c:v>5271.52</c:v>
                </c:pt>
                <c:pt idx="6">
                  <c:v>295.39999999999998</c:v>
                </c:pt>
                <c:pt idx="7">
                  <c:v>2264.9899999999998</c:v>
                </c:pt>
                <c:pt idx="8">
                  <c:v>1396.65</c:v>
                </c:pt>
                <c:pt idx="9">
                  <c:v>4048.7099999999996</c:v>
                </c:pt>
                <c:pt idx="12">
                  <c:v>24632.020000000004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E-4C87-A3F6-E11BA52D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698672"/>
        <c:axId val="-53691600"/>
      </c:barChart>
      <c:lineChart>
        <c:grouping val="standard"/>
        <c:varyColors val="0"/>
        <c:ser>
          <c:idx val="1"/>
          <c:order val="1"/>
          <c:tx>
            <c:strRef>
              <c:f>'Retrabalho Produto x R$'!$E$3</c:f>
              <c:strCache>
                <c:ptCount val="1"/>
                <c:pt idx="0">
                  <c:v>Permissível (R$)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solidFill>
                <a:srgbClr val="00B050"/>
              </a:solidFill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'Retrabalho Produto x R$'!$A$4:$A$15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'Retrabalho Produto x R$'!$E$4:$E$15</c:f>
              <c:numCache>
                <c:formatCode>"R$"\ #,##0.00</c:formatCode>
                <c:ptCount val="12"/>
                <c:pt idx="0">
                  <c:v>6600.3649000000005</c:v>
                </c:pt>
                <c:pt idx="1">
                  <c:v>4282.9989000000005</c:v>
                </c:pt>
                <c:pt idx="2">
                  <c:v>4248.6158500000001</c:v>
                </c:pt>
                <c:pt idx="3">
                  <c:v>2713.5019000000002</c:v>
                </c:pt>
                <c:pt idx="4">
                  <c:v>7396.7738500000005</c:v>
                </c:pt>
                <c:pt idx="5">
                  <c:v>7362.7934999999998</c:v>
                </c:pt>
                <c:pt idx="6">
                  <c:v>7280.8509999999997</c:v>
                </c:pt>
                <c:pt idx="7">
                  <c:v>5184.1608000000006</c:v>
                </c:pt>
                <c:pt idx="8">
                  <c:v>3681.65445</c:v>
                </c:pt>
                <c:pt idx="9">
                  <c:v>6861.3238000000001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E-4C87-A3F6-E11BA52D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698672"/>
        <c:axId val="-53691600"/>
      </c:lineChart>
      <c:catAx>
        <c:axId val="-5369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-53691600"/>
        <c:crosses val="autoZero"/>
        <c:auto val="1"/>
        <c:lblAlgn val="ctr"/>
        <c:lblOffset val="100"/>
        <c:noMultiLvlLbl val="1"/>
      </c:catAx>
      <c:valAx>
        <c:axId val="-53691600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-5369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451638544352972"/>
          <c:y val="0.91871777661402743"/>
          <c:w val="0.24827010076136191"/>
          <c:h val="7.321221071340929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Valor de Peças Retrabalhadas</a:t>
            </a:r>
            <a:br>
              <a:rPr lang="pt-BR"/>
            </a:br>
            <a:r>
              <a:rPr lang="pt-BR" sz="1400"/>
              <a:t>Produto Não Conforme - Rejeição Interna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'Retrabalho Produto x R$'!$B$3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94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'Retrabalho Produto x R$'!$A$4:$A$16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</c:v>
                </c:pt>
              </c:strCache>
            </c:strRef>
          </c:cat>
          <c:val>
            <c:numRef>
              <c:f>'Retrabalho Produto x R$'!$B$4:$B$16</c:f>
              <c:numCache>
                <c:formatCode>"R$"\ #,##0.00</c:formatCode>
                <c:ptCount val="13"/>
                <c:pt idx="0">
                  <c:v>5647.65</c:v>
                </c:pt>
                <c:pt idx="1">
                  <c:v>2684</c:v>
                </c:pt>
                <c:pt idx="2">
                  <c:v>916.67</c:v>
                </c:pt>
                <c:pt idx="3">
                  <c:v>725.04</c:v>
                </c:pt>
                <c:pt idx="4">
                  <c:v>1381.3899999999999</c:v>
                </c:pt>
                <c:pt idx="5">
                  <c:v>5271.52</c:v>
                </c:pt>
                <c:pt idx="6">
                  <c:v>295.39999999999998</c:v>
                </c:pt>
                <c:pt idx="7">
                  <c:v>2264.9899999999998</c:v>
                </c:pt>
                <c:pt idx="8">
                  <c:v>1396.65</c:v>
                </c:pt>
                <c:pt idx="9">
                  <c:v>4048.7099999999996</c:v>
                </c:pt>
                <c:pt idx="12">
                  <c:v>24632.020000000004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4-46EE-9E51-59674A39F7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53693776"/>
        <c:axId val="-53697040"/>
      </c:barChart>
      <c:catAx>
        <c:axId val="-5369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B050"/>
            </a:solidFill>
            <a:round/>
          </a:ln>
          <a:effectLst/>
        </c:spPr>
        <c:txPr>
          <a:bodyPr rot="-3240000" spcFirstLastPara="1" vertOverflow="ellipsis" wrap="square" anchor="ctr" anchorCtr="0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-53697040"/>
        <c:crosses val="autoZero"/>
        <c:auto val="1"/>
        <c:lblAlgn val="ctr"/>
        <c:lblOffset val="100"/>
        <c:noMultiLvlLbl val="0"/>
      </c:catAx>
      <c:valAx>
        <c:axId val="-5369704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-5369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MENU PRINCIPAL'!A1"/><Relationship Id="rId3" Type="http://schemas.openxmlformats.org/officeDocument/2006/relationships/hyperlink" Target="#'Refugo Produto x R$'!A1"/><Relationship Id="rId7" Type="http://schemas.openxmlformats.org/officeDocument/2006/relationships/hyperlink" Target="#'Custo NC Total'!A1"/><Relationship Id="rId2" Type="http://schemas.openxmlformats.org/officeDocument/2006/relationships/hyperlink" Target="#'Multa Atraso'!A1"/><Relationship Id="rId1" Type="http://schemas.openxmlformats.org/officeDocument/2006/relationships/hyperlink" Target="#'Custo NC '!A1"/><Relationship Id="rId6" Type="http://schemas.openxmlformats.org/officeDocument/2006/relationships/hyperlink" Target="#'NC - EXT'!A1"/><Relationship Id="rId5" Type="http://schemas.openxmlformats.org/officeDocument/2006/relationships/hyperlink" Target="#'NC - INT'!A1"/><Relationship Id="rId4" Type="http://schemas.openxmlformats.org/officeDocument/2006/relationships/hyperlink" Target="#'Retrabalho Produto x R$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NC - INT'!A1"/><Relationship Id="rId3" Type="http://schemas.openxmlformats.org/officeDocument/2006/relationships/chart" Target="../charts/chart3.xml"/><Relationship Id="rId7" Type="http://schemas.openxmlformats.org/officeDocument/2006/relationships/hyperlink" Target="#'Retrabalho Produto x R$'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'Refugo Produto x R$'!A1"/><Relationship Id="rId11" Type="http://schemas.openxmlformats.org/officeDocument/2006/relationships/hyperlink" Target="#'MENU PRINCIPAL'!A1"/><Relationship Id="rId5" Type="http://schemas.openxmlformats.org/officeDocument/2006/relationships/hyperlink" Target="#'Multa Atraso'!A1"/><Relationship Id="rId10" Type="http://schemas.openxmlformats.org/officeDocument/2006/relationships/hyperlink" Target="#'Custo NC Total'!A1"/><Relationship Id="rId4" Type="http://schemas.openxmlformats.org/officeDocument/2006/relationships/hyperlink" Target="#'Custo NC '!A1"/><Relationship Id="rId9" Type="http://schemas.openxmlformats.org/officeDocument/2006/relationships/hyperlink" Target="#'NC - EXT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Custo NC Total'!A1"/><Relationship Id="rId3" Type="http://schemas.openxmlformats.org/officeDocument/2006/relationships/hyperlink" Target="#'Multa Atraso'!A1"/><Relationship Id="rId7" Type="http://schemas.openxmlformats.org/officeDocument/2006/relationships/hyperlink" Target="#'NC - EXT'!A1"/><Relationship Id="rId2" Type="http://schemas.openxmlformats.org/officeDocument/2006/relationships/hyperlink" Target="#'Custo NC '!A1"/><Relationship Id="rId1" Type="http://schemas.openxmlformats.org/officeDocument/2006/relationships/chart" Target="../charts/chart4.xml"/><Relationship Id="rId6" Type="http://schemas.openxmlformats.org/officeDocument/2006/relationships/hyperlink" Target="#'NC - INT'!A1"/><Relationship Id="rId5" Type="http://schemas.openxmlformats.org/officeDocument/2006/relationships/hyperlink" Target="#'Retrabalho Produto x R$'!A1"/><Relationship Id="rId4" Type="http://schemas.openxmlformats.org/officeDocument/2006/relationships/hyperlink" Target="#'Refugo Produto x R$'!A1"/><Relationship Id="rId9" Type="http://schemas.openxmlformats.org/officeDocument/2006/relationships/hyperlink" Target="#'MENU PRINCIPAL'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Custo NC Total'!A1"/><Relationship Id="rId3" Type="http://schemas.openxmlformats.org/officeDocument/2006/relationships/hyperlink" Target="#'Multa Atraso'!A1"/><Relationship Id="rId7" Type="http://schemas.openxmlformats.org/officeDocument/2006/relationships/hyperlink" Target="#'NC - EXT'!A1"/><Relationship Id="rId2" Type="http://schemas.openxmlformats.org/officeDocument/2006/relationships/hyperlink" Target="#'Custo NC '!A1"/><Relationship Id="rId1" Type="http://schemas.openxmlformats.org/officeDocument/2006/relationships/chart" Target="../charts/chart5.xml"/><Relationship Id="rId6" Type="http://schemas.openxmlformats.org/officeDocument/2006/relationships/hyperlink" Target="#'NC - INT'!A1"/><Relationship Id="rId5" Type="http://schemas.openxmlformats.org/officeDocument/2006/relationships/hyperlink" Target="#'Retrabalho Produto x R$'!A1"/><Relationship Id="rId4" Type="http://schemas.openxmlformats.org/officeDocument/2006/relationships/hyperlink" Target="#'Refugo Produto x R$'!A1"/><Relationship Id="rId9" Type="http://schemas.openxmlformats.org/officeDocument/2006/relationships/hyperlink" Target="#'MENU PRINCIPAL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NC - EXT'!A1"/><Relationship Id="rId3" Type="http://schemas.openxmlformats.org/officeDocument/2006/relationships/hyperlink" Target="#'Custo NC '!A1"/><Relationship Id="rId7" Type="http://schemas.openxmlformats.org/officeDocument/2006/relationships/hyperlink" Target="#'NC - INT'!A1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hyperlink" Target="#'Retrabalho Produto x R$'!A1"/><Relationship Id="rId5" Type="http://schemas.openxmlformats.org/officeDocument/2006/relationships/hyperlink" Target="#'Refugo Produto x R$'!A1"/><Relationship Id="rId10" Type="http://schemas.openxmlformats.org/officeDocument/2006/relationships/hyperlink" Target="#'MENU PRINCIPAL'!A1"/><Relationship Id="rId4" Type="http://schemas.openxmlformats.org/officeDocument/2006/relationships/hyperlink" Target="#'Multa Atraso'!A1"/><Relationship Id="rId9" Type="http://schemas.openxmlformats.org/officeDocument/2006/relationships/hyperlink" Target="#'Custo NC Total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NC - EXT'!A1"/><Relationship Id="rId3" Type="http://schemas.openxmlformats.org/officeDocument/2006/relationships/hyperlink" Target="#'Custo NC '!A1"/><Relationship Id="rId7" Type="http://schemas.openxmlformats.org/officeDocument/2006/relationships/hyperlink" Target="#'NC - INT'!A1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hyperlink" Target="#'Retrabalho Produto x R$'!A1"/><Relationship Id="rId5" Type="http://schemas.openxmlformats.org/officeDocument/2006/relationships/hyperlink" Target="#'Refugo Produto x R$'!A1"/><Relationship Id="rId10" Type="http://schemas.openxmlformats.org/officeDocument/2006/relationships/hyperlink" Target="#'MENU PRINCIPAL'!A1"/><Relationship Id="rId4" Type="http://schemas.openxmlformats.org/officeDocument/2006/relationships/hyperlink" Target="#'Multa Atraso'!A1"/><Relationship Id="rId9" Type="http://schemas.openxmlformats.org/officeDocument/2006/relationships/hyperlink" Target="#'Custo NC Total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NC - INT'!A1"/><Relationship Id="rId3" Type="http://schemas.openxmlformats.org/officeDocument/2006/relationships/chart" Target="../charts/chart12.xml"/><Relationship Id="rId7" Type="http://schemas.openxmlformats.org/officeDocument/2006/relationships/hyperlink" Target="#'Retrabalho Produto x R$'!A1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hyperlink" Target="#'Refugo Produto x R$'!A1"/><Relationship Id="rId11" Type="http://schemas.openxmlformats.org/officeDocument/2006/relationships/hyperlink" Target="#'MENU PRINCIPAL'!A1"/><Relationship Id="rId5" Type="http://schemas.openxmlformats.org/officeDocument/2006/relationships/hyperlink" Target="#'Multa Atraso'!A1"/><Relationship Id="rId10" Type="http://schemas.openxmlformats.org/officeDocument/2006/relationships/hyperlink" Target="#'Custo NC Total'!A1"/><Relationship Id="rId4" Type="http://schemas.openxmlformats.org/officeDocument/2006/relationships/hyperlink" Target="#'Custo NC '!A1"/><Relationship Id="rId9" Type="http://schemas.openxmlformats.org/officeDocument/2006/relationships/hyperlink" Target="#'NC - EXT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NC - EXT'!A1"/><Relationship Id="rId3" Type="http://schemas.openxmlformats.org/officeDocument/2006/relationships/hyperlink" Target="#'Custo NC '!A1"/><Relationship Id="rId7" Type="http://schemas.openxmlformats.org/officeDocument/2006/relationships/hyperlink" Target="#'NC - INT'!A1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hyperlink" Target="#'Retrabalho Produto x R$'!A1"/><Relationship Id="rId5" Type="http://schemas.openxmlformats.org/officeDocument/2006/relationships/hyperlink" Target="#'Refugo Produto x R$'!A1"/><Relationship Id="rId10" Type="http://schemas.openxmlformats.org/officeDocument/2006/relationships/hyperlink" Target="#'MENU PRINCIPAL'!A1"/><Relationship Id="rId4" Type="http://schemas.openxmlformats.org/officeDocument/2006/relationships/hyperlink" Target="#'Multa Atraso'!A1"/><Relationship Id="rId9" Type="http://schemas.openxmlformats.org/officeDocument/2006/relationships/hyperlink" Target="#'Custo NC Total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1122268</xdr:colOff>
      <xdr:row>0</xdr:row>
      <xdr:rowOff>85725</xdr:rowOff>
    </xdr:from>
    <xdr:to>
      <xdr:col>1</xdr:col>
      <xdr:colOff>2409793</xdr:colOff>
      <xdr:row>5</xdr:row>
      <xdr:rowOff>153516</xdr:rowOff>
    </xdr:to>
    <xdr:sp macro="" textlink="">
      <xdr:nvSpPr>
        <xdr:cNvPr id="23" name="Retângulo Arredondado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 bwMode="auto">
        <a:xfrm>
          <a:off x="1731868" y="85725"/>
          <a:ext cx="128752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1</xdr:col>
      <xdr:colOff>2646268</xdr:colOff>
      <xdr:row>0</xdr:row>
      <xdr:rowOff>85725</xdr:rowOff>
    </xdr:from>
    <xdr:to>
      <xdr:col>1</xdr:col>
      <xdr:colOff>3921547</xdr:colOff>
      <xdr:row>5</xdr:row>
      <xdr:rowOff>153516</xdr:rowOff>
    </xdr:to>
    <xdr:sp macro="" textlink="">
      <xdr:nvSpPr>
        <xdr:cNvPr id="24" name="Retângulo Arredondado 2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 bwMode="auto">
        <a:xfrm>
          <a:off x="3255868" y="85725"/>
          <a:ext cx="1275279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1</xdr:col>
      <xdr:colOff>5705154</xdr:colOff>
      <xdr:row>0</xdr:row>
      <xdr:rowOff>91169</xdr:rowOff>
    </xdr:from>
    <xdr:to>
      <xdr:col>1</xdr:col>
      <xdr:colOff>6996761</xdr:colOff>
      <xdr:row>5</xdr:row>
      <xdr:rowOff>158960</xdr:rowOff>
    </xdr:to>
    <xdr:sp macro="" textlink="">
      <xdr:nvSpPr>
        <xdr:cNvPr id="25" name="Retângulo Arredondado 2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 bwMode="auto">
        <a:xfrm>
          <a:off x="6314754" y="91169"/>
          <a:ext cx="129160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1</xdr:col>
      <xdr:colOff>7271337</xdr:colOff>
      <xdr:row>0</xdr:row>
      <xdr:rowOff>77562</xdr:rowOff>
    </xdr:from>
    <xdr:to>
      <xdr:col>1</xdr:col>
      <xdr:colOff>8544965</xdr:colOff>
      <xdr:row>5</xdr:row>
      <xdr:rowOff>146478</xdr:rowOff>
    </xdr:to>
    <xdr:sp macro="" textlink="">
      <xdr:nvSpPr>
        <xdr:cNvPr id="26" name="Retângulo Arredondado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7880937" y="77562"/>
          <a:ext cx="1273628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</xdr:col>
      <xdr:colOff>8821189</xdr:colOff>
      <xdr:row>0</xdr:row>
      <xdr:rowOff>81643</xdr:rowOff>
    </xdr:from>
    <xdr:to>
      <xdr:col>1</xdr:col>
      <xdr:colOff>10101911</xdr:colOff>
      <xdr:row>5</xdr:row>
      <xdr:rowOff>149434</xdr:rowOff>
    </xdr:to>
    <xdr:sp macro="" textlink="">
      <xdr:nvSpPr>
        <xdr:cNvPr id="27" name="Retângulo Arredondado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 bwMode="auto">
        <a:xfrm>
          <a:off x="9430789" y="81643"/>
          <a:ext cx="1280722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</xdr:col>
      <xdr:colOff>10379207</xdr:colOff>
      <xdr:row>0</xdr:row>
      <xdr:rowOff>89807</xdr:rowOff>
    </xdr:from>
    <xdr:to>
      <xdr:col>2</xdr:col>
      <xdr:colOff>325179</xdr:colOff>
      <xdr:row>5</xdr:row>
      <xdr:rowOff>157598</xdr:rowOff>
    </xdr:to>
    <xdr:sp macro="" textlink="">
      <xdr:nvSpPr>
        <xdr:cNvPr id="28" name="Retângulo Arredondado 2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 bwMode="auto">
        <a:xfrm>
          <a:off x="10988807" y="89807"/>
          <a:ext cx="1280722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1</xdr:col>
      <xdr:colOff>4153939</xdr:colOff>
      <xdr:row>0</xdr:row>
      <xdr:rowOff>91168</xdr:rowOff>
    </xdr:from>
    <xdr:to>
      <xdr:col>1</xdr:col>
      <xdr:colOff>5431939</xdr:colOff>
      <xdr:row>5</xdr:row>
      <xdr:rowOff>158959</xdr:rowOff>
    </xdr:to>
    <xdr:sp macro="" textlink="">
      <xdr:nvSpPr>
        <xdr:cNvPr id="29" name="Retângulo Arredondado 2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 bwMode="auto">
        <a:xfrm>
          <a:off x="4763539" y="91168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236443</xdr:colOff>
      <xdr:row>0</xdr:row>
      <xdr:rowOff>76200</xdr:rowOff>
    </xdr:from>
    <xdr:to>
      <xdr:col>1</xdr:col>
      <xdr:colOff>904843</xdr:colOff>
      <xdr:row>5</xdr:row>
      <xdr:rowOff>143991</xdr:rowOff>
    </xdr:to>
    <xdr:sp macro="" textlink="">
      <xdr:nvSpPr>
        <xdr:cNvPr id="30" name="Retângulo Arredondado 2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 bwMode="auto">
        <a:xfrm>
          <a:off x="236443" y="7620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2</xdr:row>
      <xdr:rowOff>219074</xdr:rowOff>
    </xdr:from>
    <xdr:to>
      <xdr:col>17</xdr:col>
      <xdr:colOff>180975</xdr:colOff>
      <xdr:row>17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D85AFD-A5D3-EF15-7D80-2D8434DB3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</xdr:row>
      <xdr:rowOff>76200</xdr:rowOff>
    </xdr:from>
    <xdr:to>
      <xdr:col>16</xdr:col>
      <xdr:colOff>642257</xdr:colOff>
      <xdr:row>51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85044</xdr:colOff>
      <xdr:row>1</xdr:row>
      <xdr:rowOff>64928</xdr:rowOff>
    </xdr:from>
    <xdr:to>
      <xdr:col>9</xdr:col>
      <xdr:colOff>1006928</xdr:colOff>
      <xdr:row>14</xdr:row>
      <xdr:rowOff>182613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95250</xdr:colOff>
      <xdr:row>1</xdr:row>
      <xdr:rowOff>81644</xdr:rowOff>
    </xdr:from>
    <xdr:to>
      <xdr:col>16</xdr:col>
      <xdr:colOff>693964</xdr:colOff>
      <xdr:row>14</xdr:row>
      <xdr:rowOff>176894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381000</xdr:colOff>
      <xdr:row>1</xdr:row>
      <xdr:rowOff>173182</xdr:rowOff>
    </xdr:from>
    <xdr:to>
      <xdr:col>19</xdr:col>
      <xdr:colOff>796637</xdr:colOff>
      <xdr:row>10</xdr:row>
      <xdr:rowOff>17318</xdr:rowOff>
    </xdr:to>
    <xdr:sp macro="" textlink="">
      <xdr:nvSpPr>
        <xdr:cNvPr id="4" name="Fluxograma: Conector fora de Página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18720955" y="173182"/>
          <a:ext cx="1437409" cy="2112818"/>
        </a:xfrm>
        <a:prstGeom prst="flowChartOffpageConnector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9580</xdr:colOff>
      <xdr:row>0</xdr:row>
      <xdr:rowOff>148070</xdr:rowOff>
    </xdr:from>
    <xdr:to>
      <xdr:col>1</xdr:col>
      <xdr:colOff>1287580</xdr:colOff>
      <xdr:row>0</xdr:row>
      <xdr:rowOff>1377911</xdr:rowOff>
    </xdr:to>
    <xdr:sp macro="" textlink="">
      <xdr:nvSpPr>
        <xdr:cNvPr id="26" name="Retângulo Arredondado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 bwMode="auto">
        <a:xfrm>
          <a:off x="1776035" y="14807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1</xdr:col>
      <xdr:colOff>1524055</xdr:colOff>
      <xdr:row>0</xdr:row>
      <xdr:rowOff>148070</xdr:rowOff>
    </xdr:from>
    <xdr:to>
      <xdr:col>2</xdr:col>
      <xdr:colOff>741192</xdr:colOff>
      <xdr:row>0</xdr:row>
      <xdr:rowOff>1377911</xdr:rowOff>
    </xdr:to>
    <xdr:sp macro="" textlink="">
      <xdr:nvSpPr>
        <xdr:cNvPr id="27" name="Retângulo Arredondado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 bwMode="auto">
        <a:xfrm>
          <a:off x="3290510" y="14807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3</xdr:col>
      <xdr:colOff>467646</xdr:colOff>
      <xdr:row>0</xdr:row>
      <xdr:rowOff>167121</xdr:rowOff>
    </xdr:from>
    <xdr:to>
      <xdr:col>4</xdr:col>
      <xdr:colOff>931692</xdr:colOff>
      <xdr:row>0</xdr:row>
      <xdr:rowOff>1396962</xdr:rowOff>
    </xdr:to>
    <xdr:sp macro="" textlink="">
      <xdr:nvSpPr>
        <xdr:cNvPr id="28" name="Retângulo Arredondado 2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 bwMode="auto">
        <a:xfrm>
          <a:off x="6338510" y="167121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5</xdr:col>
      <xdr:colOff>271086</xdr:colOff>
      <xdr:row>0</xdr:row>
      <xdr:rowOff>167121</xdr:rowOff>
    </xdr:from>
    <xdr:to>
      <xdr:col>6</xdr:col>
      <xdr:colOff>612254</xdr:colOff>
      <xdr:row>0</xdr:row>
      <xdr:rowOff>1398087</xdr:rowOff>
    </xdr:to>
    <xdr:sp macro="" textlink="">
      <xdr:nvSpPr>
        <xdr:cNvPr id="29" name="Retângulo Arredondado 2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 bwMode="auto">
        <a:xfrm>
          <a:off x="7891086" y="167121"/>
          <a:ext cx="1276350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7</xdr:col>
      <xdr:colOff>74524</xdr:colOff>
      <xdr:row>0</xdr:row>
      <xdr:rowOff>157595</xdr:rowOff>
    </xdr:from>
    <xdr:to>
      <xdr:col>8</xdr:col>
      <xdr:colOff>538569</xdr:colOff>
      <xdr:row>0</xdr:row>
      <xdr:rowOff>1387436</xdr:rowOff>
    </xdr:to>
    <xdr:sp macro="" textlink="">
      <xdr:nvSpPr>
        <xdr:cNvPr id="30" name="Retângulo Arredondado 2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 bwMode="auto">
        <a:xfrm>
          <a:off x="9443660" y="15759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8</xdr:col>
      <xdr:colOff>813144</xdr:colOff>
      <xdr:row>0</xdr:row>
      <xdr:rowOff>155863</xdr:rowOff>
    </xdr:from>
    <xdr:to>
      <xdr:col>10</xdr:col>
      <xdr:colOff>168826</xdr:colOff>
      <xdr:row>0</xdr:row>
      <xdr:rowOff>1385704</xdr:rowOff>
    </xdr:to>
    <xdr:sp macro="" textlink="">
      <xdr:nvSpPr>
        <xdr:cNvPr id="31" name="Retângulo Arredondado 3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 bwMode="auto">
        <a:xfrm>
          <a:off x="10996235" y="155863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2</xdr:col>
      <xdr:colOff>968142</xdr:colOff>
      <xdr:row>0</xdr:row>
      <xdr:rowOff>167120</xdr:rowOff>
    </xdr:from>
    <xdr:to>
      <xdr:col>3</xdr:col>
      <xdr:colOff>202596</xdr:colOff>
      <xdr:row>0</xdr:row>
      <xdr:rowOff>1396961</xdr:rowOff>
    </xdr:to>
    <xdr:sp macro="" textlink="">
      <xdr:nvSpPr>
        <xdr:cNvPr id="32" name="Retângulo Arredondado 3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 bwMode="auto">
        <a:xfrm>
          <a:off x="4795460" y="16712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271085</xdr:colOff>
      <xdr:row>0</xdr:row>
      <xdr:rowOff>138545</xdr:rowOff>
    </xdr:from>
    <xdr:to>
      <xdr:col>0</xdr:col>
      <xdr:colOff>1549085</xdr:colOff>
      <xdr:row>0</xdr:row>
      <xdr:rowOff>1368386</xdr:rowOff>
    </xdr:to>
    <xdr:sp macro="" textlink="">
      <xdr:nvSpPr>
        <xdr:cNvPr id="33" name="Retângulo Arredondado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 bwMode="auto">
        <a:xfrm>
          <a:off x="271085" y="13854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54428</xdr:colOff>
      <xdr:row>1</xdr:row>
      <xdr:rowOff>100445</xdr:rowOff>
    </xdr:from>
    <xdr:to>
      <xdr:col>25</xdr:col>
      <xdr:colOff>171450</xdr:colOff>
      <xdr:row>24</xdr:row>
      <xdr:rowOff>108857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924964</xdr:colOff>
      <xdr:row>0</xdr:row>
      <xdr:rowOff>9525</xdr:rowOff>
    </xdr:from>
    <xdr:to>
      <xdr:col>2</xdr:col>
      <xdr:colOff>488464</xdr:colOff>
      <xdr:row>0</xdr:row>
      <xdr:rowOff>1239366</xdr:rowOff>
    </xdr:to>
    <xdr:sp macro="" textlink="">
      <xdr:nvSpPr>
        <xdr:cNvPr id="22" name="Retângulo Arredondado 2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 bwMode="auto">
        <a:xfrm>
          <a:off x="1741393" y="952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2</xdr:col>
      <xdr:colOff>724939</xdr:colOff>
      <xdr:row>0</xdr:row>
      <xdr:rowOff>9525</xdr:rowOff>
    </xdr:from>
    <xdr:to>
      <xdr:col>3</xdr:col>
      <xdr:colOff>506154</xdr:colOff>
      <xdr:row>0</xdr:row>
      <xdr:rowOff>1239366</xdr:rowOff>
    </xdr:to>
    <xdr:sp macro="" textlink="">
      <xdr:nvSpPr>
        <xdr:cNvPr id="23" name="Retângulo Arredondado 2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 bwMode="auto">
        <a:xfrm>
          <a:off x="3255868" y="952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6</xdr:col>
      <xdr:colOff>452797</xdr:colOff>
      <xdr:row>0</xdr:row>
      <xdr:rowOff>28576</xdr:rowOff>
    </xdr:from>
    <xdr:to>
      <xdr:col>8</xdr:col>
      <xdr:colOff>179582</xdr:colOff>
      <xdr:row>0</xdr:row>
      <xdr:rowOff>1258417</xdr:rowOff>
    </xdr:to>
    <xdr:sp macro="" textlink="">
      <xdr:nvSpPr>
        <xdr:cNvPr id="24" name="Retângulo Arredondado 2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 bwMode="auto">
        <a:xfrm>
          <a:off x="6303868" y="28576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9</xdr:col>
      <xdr:colOff>209230</xdr:colOff>
      <xdr:row>0</xdr:row>
      <xdr:rowOff>28576</xdr:rowOff>
    </xdr:from>
    <xdr:to>
      <xdr:col>11</xdr:col>
      <xdr:colOff>43223</xdr:colOff>
      <xdr:row>0</xdr:row>
      <xdr:rowOff>1259542</xdr:rowOff>
    </xdr:to>
    <xdr:sp macro="" textlink="">
      <xdr:nvSpPr>
        <xdr:cNvPr id="25" name="Retângulo Arredondado 2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 bwMode="auto">
        <a:xfrm>
          <a:off x="7856444" y="28576"/>
          <a:ext cx="1276350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11</xdr:col>
      <xdr:colOff>319447</xdr:colOff>
      <xdr:row>0</xdr:row>
      <xdr:rowOff>19050</xdr:rowOff>
    </xdr:from>
    <xdr:to>
      <xdr:col>13</xdr:col>
      <xdr:colOff>604125</xdr:colOff>
      <xdr:row>0</xdr:row>
      <xdr:rowOff>1248891</xdr:rowOff>
    </xdr:to>
    <xdr:sp macro="" textlink="">
      <xdr:nvSpPr>
        <xdr:cNvPr id="26" name="Retângulo Arredondado 2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 bwMode="auto">
        <a:xfrm>
          <a:off x="9409018" y="1905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13</xdr:col>
      <xdr:colOff>878700</xdr:colOff>
      <xdr:row>0</xdr:row>
      <xdr:rowOff>0</xdr:rowOff>
    </xdr:from>
    <xdr:to>
      <xdr:col>15</xdr:col>
      <xdr:colOff>170057</xdr:colOff>
      <xdr:row>0</xdr:row>
      <xdr:rowOff>1229841</xdr:rowOff>
    </xdr:to>
    <xdr:sp macro="" textlink="">
      <xdr:nvSpPr>
        <xdr:cNvPr id="27" name="Retângulo Arredondado 2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 bwMode="auto">
        <a:xfrm>
          <a:off x="10961593" y="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4</xdr:col>
      <xdr:colOff>147997</xdr:colOff>
      <xdr:row>0</xdr:row>
      <xdr:rowOff>28575</xdr:rowOff>
    </xdr:from>
    <xdr:to>
      <xdr:col>6</xdr:col>
      <xdr:colOff>187747</xdr:colOff>
      <xdr:row>0</xdr:row>
      <xdr:rowOff>1258416</xdr:rowOff>
    </xdr:to>
    <xdr:sp macro="" textlink="">
      <xdr:nvSpPr>
        <xdr:cNvPr id="28" name="Retângulo Arredondado 2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 bwMode="auto">
        <a:xfrm>
          <a:off x="4760818" y="2857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236443</xdr:colOff>
      <xdr:row>0</xdr:row>
      <xdr:rowOff>0</xdr:rowOff>
    </xdr:from>
    <xdr:to>
      <xdr:col>1</xdr:col>
      <xdr:colOff>698014</xdr:colOff>
      <xdr:row>0</xdr:row>
      <xdr:rowOff>1229841</xdr:rowOff>
    </xdr:to>
    <xdr:sp macro="" textlink="">
      <xdr:nvSpPr>
        <xdr:cNvPr id="29" name="Retângulo Arredondado 2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 bwMode="auto">
        <a:xfrm>
          <a:off x="236443" y="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1</xdr:row>
      <xdr:rowOff>28575</xdr:rowOff>
    </xdr:from>
    <xdr:to>
      <xdr:col>37</xdr:col>
      <xdr:colOff>533400</xdr:colOff>
      <xdr:row>48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543964</xdr:colOff>
      <xdr:row>0</xdr:row>
      <xdr:rowOff>28575</xdr:rowOff>
    </xdr:from>
    <xdr:to>
      <xdr:col>3</xdr:col>
      <xdr:colOff>216322</xdr:colOff>
      <xdr:row>0</xdr:row>
      <xdr:rowOff>1258416</xdr:rowOff>
    </xdr:to>
    <xdr:sp macro="" textlink="">
      <xdr:nvSpPr>
        <xdr:cNvPr id="45" name="Retângulo Arredondado 4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 bwMode="auto">
        <a:xfrm>
          <a:off x="1744114" y="28575"/>
          <a:ext cx="1272558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3</xdr:col>
      <xdr:colOff>452797</xdr:colOff>
      <xdr:row>0</xdr:row>
      <xdr:rowOff>28575</xdr:rowOff>
    </xdr:from>
    <xdr:to>
      <xdr:col>5</xdr:col>
      <xdr:colOff>506154</xdr:colOff>
      <xdr:row>0</xdr:row>
      <xdr:rowOff>1258416</xdr:rowOff>
    </xdr:to>
    <xdr:sp macro="" textlink="">
      <xdr:nvSpPr>
        <xdr:cNvPr id="46" name="Retângulo Arredondado 4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 bwMode="auto">
        <a:xfrm>
          <a:off x="3253147" y="28575"/>
          <a:ext cx="127255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8</xdr:col>
      <xdr:colOff>439189</xdr:colOff>
      <xdr:row>0</xdr:row>
      <xdr:rowOff>47626</xdr:rowOff>
    </xdr:from>
    <xdr:to>
      <xdr:col>10</xdr:col>
      <xdr:colOff>492547</xdr:colOff>
      <xdr:row>0</xdr:row>
      <xdr:rowOff>1277467</xdr:rowOff>
    </xdr:to>
    <xdr:sp macro="" textlink="">
      <xdr:nvSpPr>
        <xdr:cNvPr id="47" name="Retângulo Arredondado 4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 bwMode="auto">
        <a:xfrm>
          <a:off x="6287539" y="47626"/>
          <a:ext cx="1272558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11</xdr:col>
      <xdr:colOff>154801</xdr:colOff>
      <xdr:row>0</xdr:row>
      <xdr:rowOff>47626</xdr:rowOff>
    </xdr:from>
    <xdr:to>
      <xdr:col>13</xdr:col>
      <xdr:colOff>206508</xdr:colOff>
      <xdr:row>0</xdr:row>
      <xdr:rowOff>1278592</xdr:rowOff>
    </xdr:to>
    <xdr:sp macro="" textlink="">
      <xdr:nvSpPr>
        <xdr:cNvPr id="48" name="Retângulo Arredondado 4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 bwMode="auto">
        <a:xfrm>
          <a:off x="7831951" y="47626"/>
          <a:ext cx="1270907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13</xdr:col>
      <xdr:colOff>482732</xdr:colOff>
      <xdr:row>0</xdr:row>
      <xdr:rowOff>38100</xdr:rowOff>
    </xdr:from>
    <xdr:to>
      <xdr:col>15</xdr:col>
      <xdr:colOff>536089</xdr:colOff>
      <xdr:row>0</xdr:row>
      <xdr:rowOff>1267941</xdr:rowOff>
    </xdr:to>
    <xdr:sp macro="" textlink="">
      <xdr:nvSpPr>
        <xdr:cNvPr id="49" name="Retângulo Arredondado 4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 bwMode="auto">
        <a:xfrm>
          <a:off x="9379082" y="38100"/>
          <a:ext cx="127255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16</xdr:col>
      <xdr:colOff>198343</xdr:colOff>
      <xdr:row>0</xdr:row>
      <xdr:rowOff>19050</xdr:rowOff>
    </xdr:from>
    <xdr:to>
      <xdr:col>18</xdr:col>
      <xdr:colOff>251700</xdr:colOff>
      <xdr:row>0</xdr:row>
      <xdr:rowOff>1248891</xdr:rowOff>
    </xdr:to>
    <xdr:sp macro="" textlink="">
      <xdr:nvSpPr>
        <xdr:cNvPr id="50" name="Retângulo Arredondado 4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 bwMode="auto">
        <a:xfrm>
          <a:off x="10923493" y="19050"/>
          <a:ext cx="127255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6</xdr:col>
      <xdr:colOff>120782</xdr:colOff>
      <xdr:row>0</xdr:row>
      <xdr:rowOff>47625</xdr:rowOff>
    </xdr:from>
    <xdr:to>
      <xdr:col>8</xdr:col>
      <xdr:colOff>174139</xdr:colOff>
      <xdr:row>0</xdr:row>
      <xdr:rowOff>1277466</xdr:rowOff>
    </xdr:to>
    <xdr:sp macro="" textlink="">
      <xdr:nvSpPr>
        <xdr:cNvPr id="51" name="Retângulo Arredondado 5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 bwMode="auto">
        <a:xfrm>
          <a:off x="4749932" y="47625"/>
          <a:ext cx="127255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236443</xdr:colOff>
      <xdr:row>0</xdr:row>
      <xdr:rowOff>19050</xdr:rowOff>
    </xdr:from>
    <xdr:to>
      <xdr:col>1</xdr:col>
      <xdr:colOff>317014</xdr:colOff>
      <xdr:row>0</xdr:row>
      <xdr:rowOff>1248891</xdr:rowOff>
    </xdr:to>
    <xdr:sp macro="" textlink="">
      <xdr:nvSpPr>
        <xdr:cNvPr id="52" name="Retângulo Arredondado 5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 bwMode="auto">
        <a:xfrm>
          <a:off x="236443" y="19050"/>
          <a:ext cx="1280721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125185</xdr:rowOff>
    </xdr:from>
    <xdr:to>
      <xdr:col>26</xdr:col>
      <xdr:colOff>898838</xdr:colOff>
      <xdr:row>46</xdr:row>
      <xdr:rowOff>143885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49480</xdr:colOff>
      <xdr:row>2</xdr:row>
      <xdr:rowOff>40822</xdr:rowOff>
    </xdr:from>
    <xdr:to>
      <xdr:col>26</xdr:col>
      <xdr:colOff>914400</xdr:colOff>
      <xdr:row>16</xdr:row>
      <xdr:rowOff>13608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673938</xdr:colOff>
      <xdr:row>1</xdr:row>
      <xdr:rowOff>71887</xdr:rowOff>
    </xdr:from>
    <xdr:to>
      <xdr:col>11</xdr:col>
      <xdr:colOff>781769</xdr:colOff>
      <xdr:row>1</xdr:row>
      <xdr:rowOff>206674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 bwMode="auto">
        <a:xfrm>
          <a:off x="7655763" y="71887"/>
          <a:ext cx="784106" cy="134787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332476</xdr:colOff>
      <xdr:row>1</xdr:row>
      <xdr:rowOff>26957</xdr:rowOff>
    </xdr:from>
    <xdr:to>
      <xdr:col>10</xdr:col>
      <xdr:colOff>476250</xdr:colOff>
      <xdr:row>1</xdr:row>
      <xdr:rowOff>305519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 bwMode="auto">
        <a:xfrm>
          <a:off x="7371451" y="26957"/>
          <a:ext cx="143774" cy="278562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439189</xdr:colOff>
      <xdr:row>0</xdr:row>
      <xdr:rowOff>63953</xdr:rowOff>
    </xdr:from>
    <xdr:to>
      <xdr:col>1</xdr:col>
      <xdr:colOff>1726714</xdr:colOff>
      <xdr:row>0</xdr:row>
      <xdr:rowOff>1293794</xdr:rowOff>
    </xdr:to>
    <xdr:sp macro="" textlink="">
      <xdr:nvSpPr>
        <xdr:cNvPr id="33" name="Retângulo Arredondado 3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 bwMode="auto">
        <a:xfrm>
          <a:off x="1772689" y="63953"/>
          <a:ext cx="128752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2</xdr:col>
      <xdr:colOff>17368</xdr:colOff>
      <xdr:row>0</xdr:row>
      <xdr:rowOff>63953</xdr:rowOff>
    </xdr:from>
    <xdr:to>
      <xdr:col>2</xdr:col>
      <xdr:colOff>1295368</xdr:colOff>
      <xdr:row>0</xdr:row>
      <xdr:rowOff>1293794</xdr:rowOff>
    </xdr:to>
    <xdr:sp macro="" textlink="">
      <xdr:nvSpPr>
        <xdr:cNvPr id="34" name="Retângulo Arredondado 3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 bwMode="auto">
        <a:xfrm>
          <a:off x="3296689" y="63953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4</xdr:col>
      <xdr:colOff>126225</xdr:colOff>
      <xdr:row>0</xdr:row>
      <xdr:rowOff>69397</xdr:rowOff>
    </xdr:from>
    <xdr:to>
      <xdr:col>5</xdr:col>
      <xdr:colOff>274832</xdr:colOff>
      <xdr:row>0</xdr:row>
      <xdr:rowOff>1299238</xdr:rowOff>
    </xdr:to>
    <xdr:sp macro="" textlink="">
      <xdr:nvSpPr>
        <xdr:cNvPr id="35" name="Retângulo Arredondado 3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 bwMode="auto">
        <a:xfrm>
          <a:off x="6344689" y="69397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5</xdr:col>
      <xdr:colOff>549408</xdr:colOff>
      <xdr:row>0</xdr:row>
      <xdr:rowOff>55790</xdr:rowOff>
    </xdr:from>
    <xdr:to>
      <xdr:col>7</xdr:col>
      <xdr:colOff>70436</xdr:colOff>
      <xdr:row>0</xdr:row>
      <xdr:rowOff>1286756</xdr:rowOff>
    </xdr:to>
    <xdr:sp macro="" textlink="">
      <xdr:nvSpPr>
        <xdr:cNvPr id="36" name="Retângulo Arredondado 3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 bwMode="auto">
        <a:xfrm>
          <a:off x="7897265" y="55790"/>
          <a:ext cx="1276350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7</xdr:col>
      <xdr:colOff>346660</xdr:colOff>
      <xdr:row>0</xdr:row>
      <xdr:rowOff>59871</xdr:rowOff>
    </xdr:from>
    <xdr:to>
      <xdr:col>8</xdr:col>
      <xdr:colOff>808232</xdr:colOff>
      <xdr:row>0</xdr:row>
      <xdr:rowOff>1289712</xdr:rowOff>
    </xdr:to>
    <xdr:sp macro="" textlink="">
      <xdr:nvSpPr>
        <xdr:cNvPr id="37" name="Retângulo Arredondado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 bwMode="auto">
        <a:xfrm>
          <a:off x="9449839" y="59871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9</xdr:col>
      <xdr:colOff>266378</xdr:colOff>
      <xdr:row>0</xdr:row>
      <xdr:rowOff>68035</xdr:rowOff>
    </xdr:from>
    <xdr:to>
      <xdr:col>10</xdr:col>
      <xdr:colOff>727950</xdr:colOff>
      <xdr:row>0</xdr:row>
      <xdr:rowOff>1297876</xdr:rowOff>
    </xdr:to>
    <xdr:sp macro="" textlink="">
      <xdr:nvSpPr>
        <xdr:cNvPr id="38" name="Retângulo Arredondado 3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 bwMode="auto">
        <a:xfrm>
          <a:off x="11002414" y="6803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3</xdr:col>
      <xdr:colOff>175210</xdr:colOff>
      <xdr:row>0</xdr:row>
      <xdr:rowOff>69396</xdr:rowOff>
    </xdr:from>
    <xdr:to>
      <xdr:col>3</xdr:col>
      <xdr:colOff>1453210</xdr:colOff>
      <xdr:row>0</xdr:row>
      <xdr:rowOff>1299237</xdr:rowOff>
    </xdr:to>
    <xdr:sp macro="" textlink="">
      <xdr:nvSpPr>
        <xdr:cNvPr id="39" name="Retângulo Arredondado 3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 bwMode="auto">
        <a:xfrm>
          <a:off x="4801639" y="69396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277264</xdr:colOff>
      <xdr:row>0</xdr:row>
      <xdr:rowOff>54428</xdr:rowOff>
    </xdr:from>
    <xdr:to>
      <xdr:col>1</xdr:col>
      <xdr:colOff>221764</xdr:colOff>
      <xdr:row>0</xdr:row>
      <xdr:rowOff>1284269</xdr:rowOff>
    </xdr:to>
    <xdr:sp macro="" textlink="">
      <xdr:nvSpPr>
        <xdr:cNvPr id="40" name="Retângulo Arredondado 3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 bwMode="auto">
        <a:xfrm>
          <a:off x="277264" y="54428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53663</xdr:colOff>
      <xdr:row>17</xdr:row>
      <xdr:rowOff>51957</xdr:rowOff>
    </xdr:from>
    <xdr:to>
      <xdr:col>25</xdr:col>
      <xdr:colOff>1371600</xdr:colOff>
      <xdr:row>45</xdr:row>
      <xdr:rowOff>57151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82882</xdr:colOff>
      <xdr:row>2</xdr:row>
      <xdr:rowOff>115044</xdr:rowOff>
    </xdr:from>
    <xdr:to>
      <xdr:col>25</xdr:col>
      <xdr:colOff>1352550</xdr:colOff>
      <xdr:row>15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464993</xdr:colOff>
      <xdr:row>0</xdr:row>
      <xdr:rowOff>66675</xdr:rowOff>
    </xdr:from>
    <xdr:to>
      <xdr:col>1</xdr:col>
      <xdr:colOff>1757714</xdr:colOff>
      <xdr:row>0</xdr:row>
      <xdr:rowOff>1296516</xdr:rowOff>
    </xdr:to>
    <xdr:sp macro="" textlink="">
      <xdr:nvSpPr>
        <xdr:cNvPr id="14" name="Retângulo Arredondad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 bwMode="auto">
        <a:xfrm>
          <a:off x="1798493" y="66675"/>
          <a:ext cx="1292721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2</xdr:col>
      <xdr:colOff>45893</xdr:colOff>
      <xdr:row>0</xdr:row>
      <xdr:rowOff>66675</xdr:rowOff>
    </xdr:from>
    <xdr:to>
      <xdr:col>2</xdr:col>
      <xdr:colOff>1325625</xdr:colOff>
      <xdr:row>0</xdr:row>
      <xdr:rowOff>1296516</xdr:rowOff>
    </xdr:to>
    <xdr:sp macro="" textlink="">
      <xdr:nvSpPr>
        <xdr:cNvPr id="15" name="Retângulo Arredondado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 bwMode="auto">
        <a:xfrm>
          <a:off x="3322493" y="66675"/>
          <a:ext cx="1279732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4</xdr:col>
      <xdr:colOff>154998</xdr:colOff>
      <xdr:row>0</xdr:row>
      <xdr:rowOff>72119</xdr:rowOff>
    </xdr:from>
    <xdr:to>
      <xdr:col>4</xdr:col>
      <xdr:colOff>1439925</xdr:colOff>
      <xdr:row>0</xdr:row>
      <xdr:rowOff>1301960</xdr:rowOff>
    </xdr:to>
    <xdr:sp macro="" textlink="">
      <xdr:nvSpPr>
        <xdr:cNvPr id="16" name="Retângulo Arredondado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 bwMode="auto">
        <a:xfrm>
          <a:off x="6384348" y="72119"/>
          <a:ext cx="128492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5</xdr:col>
      <xdr:colOff>216478</xdr:colOff>
      <xdr:row>0</xdr:row>
      <xdr:rowOff>58512</xdr:rowOff>
    </xdr:from>
    <xdr:to>
      <xdr:col>6</xdr:col>
      <xdr:colOff>566306</xdr:colOff>
      <xdr:row>0</xdr:row>
      <xdr:rowOff>1289478</xdr:rowOff>
    </xdr:to>
    <xdr:sp macro="" textlink="">
      <xdr:nvSpPr>
        <xdr:cNvPr id="17" name="Retângulo Arredondado 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 bwMode="auto">
        <a:xfrm>
          <a:off x="7950778" y="58512"/>
          <a:ext cx="1283278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7</xdr:col>
      <xdr:colOff>30307</xdr:colOff>
      <xdr:row>0</xdr:row>
      <xdr:rowOff>62593</xdr:rowOff>
    </xdr:from>
    <xdr:to>
      <xdr:col>8</xdr:col>
      <xdr:colOff>496084</xdr:colOff>
      <xdr:row>0</xdr:row>
      <xdr:rowOff>1292434</xdr:rowOff>
    </xdr:to>
    <xdr:sp macro="" textlink="">
      <xdr:nvSpPr>
        <xdr:cNvPr id="18" name="Retângulo Arredondado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 bwMode="auto">
        <a:xfrm>
          <a:off x="9517207" y="62593"/>
          <a:ext cx="128492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8</xdr:col>
      <xdr:colOff>770659</xdr:colOff>
      <xdr:row>0</xdr:row>
      <xdr:rowOff>70757</xdr:rowOff>
    </xdr:from>
    <xdr:to>
      <xdr:col>10</xdr:col>
      <xdr:colOff>424214</xdr:colOff>
      <xdr:row>0</xdr:row>
      <xdr:rowOff>1300598</xdr:rowOff>
    </xdr:to>
    <xdr:sp macro="" textlink="">
      <xdr:nvSpPr>
        <xdr:cNvPr id="19" name="Retângulo Arredondado 1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 bwMode="auto">
        <a:xfrm>
          <a:off x="11076709" y="70757"/>
          <a:ext cx="129185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3</xdr:col>
      <xdr:colOff>200025</xdr:colOff>
      <xdr:row>0</xdr:row>
      <xdr:rowOff>72118</xdr:rowOff>
    </xdr:from>
    <xdr:to>
      <xdr:col>3</xdr:col>
      <xdr:colOff>1490148</xdr:colOff>
      <xdr:row>0</xdr:row>
      <xdr:rowOff>1301959</xdr:rowOff>
    </xdr:to>
    <xdr:sp macro="" textlink="">
      <xdr:nvSpPr>
        <xdr:cNvPr id="20" name="Retângulo Arredondado 1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 bwMode="auto">
        <a:xfrm>
          <a:off x="4829175" y="72118"/>
          <a:ext cx="1290123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304800</xdr:colOff>
      <xdr:row>0</xdr:row>
      <xdr:rowOff>57150</xdr:rowOff>
    </xdr:from>
    <xdr:to>
      <xdr:col>1</xdr:col>
      <xdr:colOff>247568</xdr:colOff>
      <xdr:row>0</xdr:row>
      <xdr:rowOff>1286991</xdr:rowOff>
    </xdr:to>
    <xdr:sp macro="" textlink="">
      <xdr:nvSpPr>
        <xdr:cNvPr id="21" name="Retângulo Arredondado 2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 bwMode="auto">
        <a:xfrm>
          <a:off x="304800" y="57150"/>
          <a:ext cx="1276268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673938</xdr:colOff>
      <xdr:row>1</xdr:row>
      <xdr:rowOff>71887</xdr:rowOff>
    </xdr:from>
    <xdr:to>
      <xdr:col>24</xdr:col>
      <xdr:colOff>781769</xdr:colOff>
      <xdr:row>1</xdr:row>
      <xdr:rowOff>206674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 bwMode="auto">
        <a:xfrm>
          <a:off x="7655763" y="71887"/>
          <a:ext cx="784106" cy="134787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332476</xdr:colOff>
      <xdr:row>1</xdr:row>
      <xdr:rowOff>26957</xdr:rowOff>
    </xdr:from>
    <xdr:to>
      <xdr:col>23</xdr:col>
      <xdr:colOff>476250</xdr:colOff>
      <xdr:row>1</xdr:row>
      <xdr:rowOff>305519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 bwMode="auto">
        <a:xfrm>
          <a:off x="7371451" y="26957"/>
          <a:ext cx="143774" cy="278562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155864</xdr:colOff>
      <xdr:row>19</xdr:row>
      <xdr:rowOff>108857</xdr:rowOff>
    </xdr:from>
    <xdr:to>
      <xdr:col>21</xdr:col>
      <xdr:colOff>176893</xdr:colOff>
      <xdr:row>50</xdr:row>
      <xdr:rowOff>81643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50222</xdr:colOff>
      <xdr:row>1</xdr:row>
      <xdr:rowOff>57150</xdr:rowOff>
    </xdr:from>
    <xdr:to>
      <xdr:col>38</xdr:col>
      <xdr:colOff>517814</xdr:colOff>
      <xdr:row>17</xdr:row>
      <xdr:rowOff>141575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95251</xdr:colOff>
      <xdr:row>19</xdr:row>
      <xdr:rowOff>86591</xdr:rowOff>
    </xdr:from>
    <xdr:to>
      <xdr:col>38</xdr:col>
      <xdr:colOff>467590</xdr:colOff>
      <xdr:row>50</xdr:row>
      <xdr:rowOff>86591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277141</xdr:colOff>
      <xdr:row>0</xdr:row>
      <xdr:rowOff>61481</xdr:rowOff>
    </xdr:from>
    <xdr:to>
      <xdr:col>3</xdr:col>
      <xdr:colOff>941212</xdr:colOff>
      <xdr:row>0</xdr:row>
      <xdr:rowOff>1291322</xdr:rowOff>
    </xdr:to>
    <xdr:sp macro="" textlink="">
      <xdr:nvSpPr>
        <xdr:cNvPr id="26" name="Retângulo Arredondado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 bwMode="auto">
        <a:xfrm>
          <a:off x="1783823" y="61481"/>
          <a:ext cx="128752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4</xdr:col>
      <xdr:colOff>86641</xdr:colOff>
      <xdr:row>0</xdr:row>
      <xdr:rowOff>61481</xdr:rowOff>
    </xdr:from>
    <xdr:to>
      <xdr:col>5</xdr:col>
      <xdr:colOff>585323</xdr:colOff>
      <xdr:row>0</xdr:row>
      <xdr:rowOff>1291322</xdr:rowOff>
    </xdr:to>
    <xdr:sp macro="" textlink="">
      <xdr:nvSpPr>
        <xdr:cNvPr id="27" name="Retângulo Arredondado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 bwMode="auto">
        <a:xfrm>
          <a:off x="3307823" y="61481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7</xdr:col>
      <xdr:colOff>329096</xdr:colOff>
      <xdr:row>0</xdr:row>
      <xdr:rowOff>66925</xdr:rowOff>
    </xdr:from>
    <xdr:to>
      <xdr:col>8</xdr:col>
      <xdr:colOff>775823</xdr:colOff>
      <xdr:row>0</xdr:row>
      <xdr:rowOff>1296766</xdr:rowOff>
    </xdr:to>
    <xdr:sp macro="" textlink="">
      <xdr:nvSpPr>
        <xdr:cNvPr id="28" name="Retângulo Arredondado 2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 bwMode="auto">
        <a:xfrm>
          <a:off x="6355823" y="6692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9</xdr:col>
      <xdr:colOff>219126</xdr:colOff>
      <xdr:row>0</xdr:row>
      <xdr:rowOff>53318</xdr:rowOff>
    </xdr:from>
    <xdr:to>
      <xdr:col>10</xdr:col>
      <xdr:colOff>664204</xdr:colOff>
      <xdr:row>0</xdr:row>
      <xdr:rowOff>1284284</xdr:rowOff>
    </xdr:to>
    <xdr:sp macro="" textlink="">
      <xdr:nvSpPr>
        <xdr:cNvPr id="29" name="Retângulo Arredondado 2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 bwMode="auto">
        <a:xfrm>
          <a:off x="7908399" y="53318"/>
          <a:ext cx="1276350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11</xdr:col>
      <xdr:colOff>109155</xdr:colOff>
      <xdr:row>0</xdr:row>
      <xdr:rowOff>57399</xdr:rowOff>
    </xdr:from>
    <xdr:to>
      <xdr:col>12</xdr:col>
      <xdr:colOff>555882</xdr:colOff>
      <xdr:row>0</xdr:row>
      <xdr:rowOff>1287240</xdr:rowOff>
    </xdr:to>
    <xdr:sp macro="" textlink="">
      <xdr:nvSpPr>
        <xdr:cNvPr id="30" name="Retângulo Arredondado 2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 bwMode="auto">
        <a:xfrm>
          <a:off x="9460973" y="57399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12</xdr:col>
      <xdr:colOff>830457</xdr:colOff>
      <xdr:row>0</xdr:row>
      <xdr:rowOff>65563</xdr:rowOff>
    </xdr:from>
    <xdr:to>
      <xdr:col>14</xdr:col>
      <xdr:colOff>445912</xdr:colOff>
      <xdr:row>0</xdr:row>
      <xdr:rowOff>1295404</xdr:rowOff>
    </xdr:to>
    <xdr:sp macro="" textlink="">
      <xdr:nvSpPr>
        <xdr:cNvPr id="31" name="Retângulo Arredondado 3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 bwMode="auto">
        <a:xfrm>
          <a:off x="11013548" y="65563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5</xdr:col>
      <xdr:colOff>812273</xdr:colOff>
      <xdr:row>0</xdr:row>
      <xdr:rowOff>66924</xdr:rowOff>
    </xdr:from>
    <xdr:to>
      <xdr:col>7</xdr:col>
      <xdr:colOff>64046</xdr:colOff>
      <xdr:row>0</xdr:row>
      <xdr:rowOff>1296765</xdr:rowOff>
    </xdr:to>
    <xdr:sp macro="" textlink="">
      <xdr:nvSpPr>
        <xdr:cNvPr id="32" name="Retângulo Arredondado 3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 bwMode="auto">
        <a:xfrm>
          <a:off x="4812773" y="66924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288398</xdr:colOff>
      <xdr:row>0</xdr:row>
      <xdr:rowOff>51956</xdr:rowOff>
    </xdr:from>
    <xdr:to>
      <xdr:col>2</xdr:col>
      <xdr:colOff>59716</xdr:colOff>
      <xdr:row>0</xdr:row>
      <xdr:rowOff>1281797</xdr:rowOff>
    </xdr:to>
    <xdr:sp macro="" textlink="">
      <xdr:nvSpPr>
        <xdr:cNvPr id="33" name="Retângulo Arredondado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 bwMode="auto">
        <a:xfrm>
          <a:off x="288398" y="51956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95249</xdr:colOff>
      <xdr:row>1</xdr:row>
      <xdr:rowOff>76201</xdr:rowOff>
    </xdr:from>
    <xdr:to>
      <xdr:col>38</xdr:col>
      <xdr:colOff>532555</xdr:colOff>
      <xdr:row>15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673938</xdr:colOff>
      <xdr:row>1</xdr:row>
      <xdr:rowOff>71887</xdr:rowOff>
    </xdr:from>
    <xdr:to>
      <xdr:col>16</xdr:col>
      <xdr:colOff>781769</xdr:colOff>
      <xdr:row>1</xdr:row>
      <xdr:rowOff>206674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 bwMode="auto">
        <a:xfrm>
          <a:off x="7646238" y="614812"/>
          <a:ext cx="993656" cy="134787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332476</xdr:colOff>
      <xdr:row>1</xdr:row>
      <xdr:rowOff>26957</xdr:rowOff>
    </xdr:from>
    <xdr:to>
      <xdr:col>15</xdr:col>
      <xdr:colOff>476250</xdr:colOff>
      <xdr:row>1</xdr:row>
      <xdr:rowOff>305519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 bwMode="auto">
        <a:xfrm>
          <a:off x="7304776" y="569882"/>
          <a:ext cx="143774" cy="278562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114300</xdr:colOff>
      <xdr:row>15</xdr:row>
      <xdr:rowOff>122959</xdr:rowOff>
    </xdr:from>
    <xdr:to>
      <xdr:col>38</xdr:col>
      <xdr:colOff>533400</xdr:colOff>
      <xdr:row>38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922193</xdr:colOff>
      <xdr:row>0</xdr:row>
      <xdr:rowOff>66675</xdr:rowOff>
    </xdr:from>
    <xdr:to>
      <xdr:col>3</xdr:col>
      <xdr:colOff>557564</xdr:colOff>
      <xdr:row>0</xdr:row>
      <xdr:rowOff>1296516</xdr:rowOff>
    </xdr:to>
    <xdr:sp macro="" textlink="">
      <xdr:nvSpPr>
        <xdr:cNvPr id="14" name="Retângulo Arredondad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 bwMode="auto">
        <a:xfrm>
          <a:off x="1779443" y="66675"/>
          <a:ext cx="1292721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4</xdr:col>
      <xdr:colOff>64943</xdr:colOff>
      <xdr:row>0</xdr:row>
      <xdr:rowOff>66675</xdr:rowOff>
    </xdr:from>
    <xdr:to>
      <xdr:col>5</xdr:col>
      <xdr:colOff>335025</xdr:colOff>
      <xdr:row>0</xdr:row>
      <xdr:rowOff>1296516</xdr:rowOff>
    </xdr:to>
    <xdr:sp macro="" textlink="">
      <xdr:nvSpPr>
        <xdr:cNvPr id="15" name="Retângulo Arredondado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 bwMode="auto">
        <a:xfrm>
          <a:off x="3303443" y="66675"/>
          <a:ext cx="1279732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7</xdr:col>
      <xdr:colOff>593148</xdr:colOff>
      <xdr:row>0</xdr:row>
      <xdr:rowOff>72119</xdr:rowOff>
    </xdr:from>
    <xdr:to>
      <xdr:col>8</xdr:col>
      <xdr:colOff>906525</xdr:colOff>
      <xdr:row>0</xdr:row>
      <xdr:rowOff>1301960</xdr:rowOff>
    </xdr:to>
    <xdr:sp macro="" textlink="">
      <xdr:nvSpPr>
        <xdr:cNvPr id="16" name="Retângulo Arredondado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 bwMode="auto">
        <a:xfrm>
          <a:off x="6365298" y="72119"/>
          <a:ext cx="128492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9</xdr:col>
      <xdr:colOff>159328</xdr:colOff>
      <xdr:row>0</xdr:row>
      <xdr:rowOff>58512</xdr:rowOff>
    </xdr:from>
    <xdr:to>
      <xdr:col>12</xdr:col>
      <xdr:colOff>51956</xdr:colOff>
      <xdr:row>0</xdr:row>
      <xdr:rowOff>1289478</xdr:rowOff>
    </xdr:to>
    <xdr:sp macro="" textlink="">
      <xdr:nvSpPr>
        <xdr:cNvPr id="17" name="Retângulo Arredondado 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 bwMode="auto">
        <a:xfrm>
          <a:off x="7931728" y="58512"/>
          <a:ext cx="1283278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12</xdr:col>
      <xdr:colOff>335107</xdr:colOff>
      <xdr:row>0</xdr:row>
      <xdr:rowOff>62593</xdr:rowOff>
    </xdr:from>
    <xdr:to>
      <xdr:col>14</xdr:col>
      <xdr:colOff>134134</xdr:colOff>
      <xdr:row>0</xdr:row>
      <xdr:rowOff>1292434</xdr:rowOff>
    </xdr:to>
    <xdr:sp macro="" textlink="">
      <xdr:nvSpPr>
        <xdr:cNvPr id="18" name="Retângulo Arredondado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 bwMode="auto">
        <a:xfrm>
          <a:off x="9498157" y="62593"/>
          <a:ext cx="128492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15</xdr:col>
      <xdr:colOff>199159</xdr:colOff>
      <xdr:row>0</xdr:row>
      <xdr:rowOff>70757</xdr:rowOff>
    </xdr:from>
    <xdr:to>
      <xdr:col>19</xdr:col>
      <xdr:colOff>214664</xdr:colOff>
      <xdr:row>0</xdr:row>
      <xdr:rowOff>1300598</xdr:rowOff>
    </xdr:to>
    <xdr:sp macro="" textlink="">
      <xdr:nvSpPr>
        <xdr:cNvPr id="19" name="Retângulo Arredondado 1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 bwMode="auto">
        <a:xfrm>
          <a:off x="11057659" y="70757"/>
          <a:ext cx="129185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5</xdr:col>
      <xdr:colOff>561975</xdr:colOff>
      <xdr:row>0</xdr:row>
      <xdr:rowOff>72118</xdr:rowOff>
    </xdr:from>
    <xdr:to>
      <xdr:col>7</xdr:col>
      <xdr:colOff>328098</xdr:colOff>
      <xdr:row>0</xdr:row>
      <xdr:rowOff>1301959</xdr:rowOff>
    </xdr:to>
    <xdr:sp macro="" textlink="">
      <xdr:nvSpPr>
        <xdr:cNvPr id="20" name="Retângulo Arredondado 1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 bwMode="auto">
        <a:xfrm>
          <a:off x="4810125" y="72118"/>
          <a:ext cx="1290123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285750</xdr:colOff>
      <xdr:row>0</xdr:row>
      <xdr:rowOff>57150</xdr:rowOff>
    </xdr:from>
    <xdr:to>
      <xdr:col>1</xdr:col>
      <xdr:colOff>704768</xdr:colOff>
      <xdr:row>0</xdr:row>
      <xdr:rowOff>1286991</xdr:rowOff>
    </xdr:to>
    <xdr:sp macro="" textlink="">
      <xdr:nvSpPr>
        <xdr:cNvPr id="21" name="Retângulo Arredondado 2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/>
      </xdr:nvSpPr>
      <xdr:spPr bwMode="auto">
        <a:xfrm>
          <a:off x="285750" y="57150"/>
          <a:ext cx="1276268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476248</xdr:colOff>
      <xdr:row>2</xdr:row>
      <xdr:rowOff>209550</xdr:rowOff>
    </xdr:from>
    <xdr:to>
      <xdr:col>17</xdr:col>
      <xdr:colOff>552449</xdr:colOff>
      <xdr:row>16</xdr:row>
      <xdr:rowOff>209550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A06EEC-3CFB-42E2-870A-3A538915B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X62"/>
  <sheetViews>
    <sheetView showGridLines="0" zoomScale="50" zoomScaleNormal="50" workbookViewId="0">
      <selection sqref="A1:X62"/>
    </sheetView>
  </sheetViews>
  <sheetFormatPr defaultRowHeight="12.75" x14ac:dyDescent="0.2"/>
  <cols>
    <col min="2" max="2" width="169.85546875" customWidth="1"/>
  </cols>
  <sheetData>
    <row r="1" spans="1:24" ht="13.5" customHeight="1" x14ac:dyDescent="0.2">
      <c r="A1" s="185" t="s">
        <v>46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</row>
    <row r="2" spans="1:24" ht="20.100000000000001" customHeight="1" x14ac:dyDescent="0.2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</row>
    <row r="3" spans="1:24" ht="20.100000000000001" customHeight="1" x14ac:dyDescent="0.2">
      <c r="A3" s="185"/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</row>
    <row r="4" spans="1:24" ht="20.100000000000001" customHeight="1" x14ac:dyDescent="0.2">
      <c r="A4" s="185"/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</row>
    <row r="5" spans="1:24" ht="20.100000000000001" customHeight="1" x14ac:dyDescent="0.2">
      <c r="A5" s="185"/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</row>
    <row r="6" spans="1:24" ht="20.100000000000001" customHeight="1" x14ac:dyDescent="0.2">
      <c r="A6" s="185"/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</row>
    <row r="7" spans="1:24" ht="20.100000000000001" customHeight="1" x14ac:dyDescent="0.2">
      <c r="A7" s="185"/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</row>
    <row r="8" spans="1:24" ht="20.100000000000001" customHeight="1" x14ac:dyDescent="0.2">
      <c r="A8" s="185"/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</row>
    <row r="9" spans="1:24" ht="20.100000000000001" customHeight="1" x14ac:dyDescent="0.2">
      <c r="A9" s="185"/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</row>
    <row r="10" spans="1:24" ht="20.100000000000001" customHeight="1" x14ac:dyDescent="0.2">
      <c r="A10" s="185"/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</row>
    <row r="11" spans="1:24" ht="20.100000000000001" customHeight="1" x14ac:dyDescent="0.2">
      <c r="A11" s="185"/>
      <c r="B11" s="185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</row>
    <row r="12" spans="1:24" ht="12.75" customHeight="1" x14ac:dyDescent="0.2">
      <c r="A12" s="185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</row>
    <row r="13" spans="1:24" ht="20.100000000000001" customHeight="1" x14ac:dyDescent="0.2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</row>
    <row r="14" spans="1:24" ht="20.100000000000001" customHeight="1" x14ac:dyDescent="0.2">
      <c r="A14" s="185"/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</row>
    <row r="15" spans="1:24" ht="20.100000000000001" customHeight="1" x14ac:dyDescent="0.2">
      <c r="A15" s="185"/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</row>
    <row r="16" spans="1:24" ht="20.100000000000001" customHeight="1" x14ac:dyDescent="0.2">
      <c r="A16" s="185"/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</row>
    <row r="17" spans="1:24" ht="20.100000000000001" customHeight="1" x14ac:dyDescent="0.2">
      <c r="A17" s="185"/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</row>
    <row r="18" spans="1:24" ht="20.100000000000001" customHeight="1" x14ac:dyDescent="0.2">
      <c r="A18" s="185"/>
      <c r="B18" s="185"/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</row>
    <row r="19" spans="1:24" ht="20.100000000000001" customHeight="1" x14ac:dyDescent="0.2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</row>
    <row r="20" spans="1:24" ht="12.75" customHeight="1" x14ac:dyDescent="0.2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</row>
    <row r="21" spans="1:24" ht="12.75" customHeight="1" x14ac:dyDescent="0.2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</row>
    <row r="22" spans="1:24" ht="12.75" customHeight="1" x14ac:dyDescent="0.2">
      <c r="A22" s="185"/>
      <c r="B22" s="185"/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</row>
    <row r="23" spans="1:24" ht="12.75" customHeight="1" x14ac:dyDescent="0.2">
      <c r="A23" s="185"/>
      <c r="B23" s="185"/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</row>
    <row r="24" spans="1:24" ht="12.75" customHeight="1" x14ac:dyDescent="0.2">
      <c r="A24" s="185"/>
      <c r="B24" s="185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</row>
    <row r="25" spans="1:24" ht="12.75" customHeight="1" x14ac:dyDescent="0.2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</row>
    <row r="26" spans="1:24" ht="13.5" customHeight="1" x14ac:dyDescent="0.2">
      <c r="A26" s="185"/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</row>
    <row r="27" spans="1:24" x14ac:dyDescent="0.2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</row>
    <row r="28" spans="1:24" x14ac:dyDescent="0.2">
      <c r="A28" s="185"/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</row>
    <row r="29" spans="1:24" x14ac:dyDescent="0.2">
      <c r="A29" s="185"/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</row>
    <row r="30" spans="1:24" x14ac:dyDescent="0.2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</row>
    <row r="31" spans="1:24" x14ac:dyDescent="0.2">
      <c r="A31" s="185"/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</row>
    <row r="32" spans="1:24" x14ac:dyDescent="0.2">
      <c r="A32" s="185"/>
      <c r="B32" s="185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</row>
    <row r="33" spans="1:24" x14ac:dyDescent="0.2">
      <c r="A33" s="185"/>
      <c r="B33" s="185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</row>
    <row r="34" spans="1:24" x14ac:dyDescent="0.2">
      <c r="A34" s="185"/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</row>
    <row r="35" spans="1:24" x14ac:dyDescent="0.2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</row>
    <row r="36" spans="1:24" x14ac:dyDescent="0.2">
      <c r="A36" s="185"/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</row>
    <row r="37" spans="1:24" x14ac:dyDescent="0.2">
      <c r="A37" s="185"/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</row>
    <row r="38" spans="1:24" x14ac:dyDescent="0.2">
      <c r="A38" s="185"/>
      <c r="B38" s="185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</row>
    <row r="39" spans="1:24" x14ac:dyDescent="0.2">
      <c r="A39" s="185"/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</row>
    <row r="40" spans="1:24" x14ac:dyDescent="0.2">
      <c r="A40" s="185"/>
      <c r="B40" s="185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</row>
    <row r="41" spans="1:24" x14ac:dyDescent="0.2">
      <c r="A41" s="185"/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</row>
    <row r="42" spans="1:24" x14ac:dyDescent="0.2">
      <c r="A42" s="185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</row>
    <row r="43" spans="1:24" x14ac:dyDescent="0.2">
      <c r="A43" s="185"/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</row>
    <row r="44" spans="1:24" x14ac:dyDescent="0.2">
      <c r="A44" s="185"/>
      <c r="B44" s="185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</row>
    <row r="45" spans="1:24" x14ac:dyDescent="0.2">
      <c r="A45" s="185"/>
      <c r="B45" s="185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</row>
    <row r="46" spans="1:24" x14ac:dyDescent="0.2">
      <c r="A46" s="185"/>
      <c r="B46" s="185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</row>
    <row r="47" spans="1:24" x14ac:dyDescent="0.2">
      <c r="A47" s="185"/>
      <c r="B47" s="185"/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</row>
    <row r="48" spans="1:24" x14ac:dyDescent="0.2">
      <c r="A48" s="185"/>
      <c r="B48" s="185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</row>
    <row r="49" spans="1:24" x14ac:dyDescent="0.2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</row>
    <row r="50" spans="1:24" x14ac:dyDescent="0.2">
      <c r="A50" s="185"/>
      <c r="B50" s="185"/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</row>
    <row r="51" spans="1:24" x14ac:dyDescent="0.2">
      <c r="A51" s="185"/>
      <c r="B51" s="185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</row>
    <row r="52" spans="1:24" x14ac:dyDescent="0.2">
      <c r="A52" s="185"/>
      <c r="B52" s="185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</row>
    <row r="53" spans="1:24" x14ac:dyDescent="0.2">
      <c r="A53" s="185"/>
      <c r="B53" s="185"/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</row>
    <row r="54" spans="1:24" x14ac:dyDescent="0.2">
      <c r="A54" s="185"/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</row>
    <row r="55" spans="1:24" x14ac:dyDescent="0.2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</row>
    <row r="56" spans="1:24" x14ac:dyDescent="0.2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</row>
    <row r="57" spans="1:24" x14ac:dyDescent="0.2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</row>
    <row r="58" spans="1:24" x14ac:dyDescent="0.2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</row>
    <row r="59" spans="1:24" x14ac:dyDescent="0.2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</row>
    <row r="60" spans="1:24" x14ac:dyDescent="0.2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</row>
    <row r="61" spans="1:24" x14ac:dyDescent="0.2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</row>
    <row r="62" spans="1:24" x14ac:dyDescent="0.2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</row>
  </sheetData>
  <mergeCells count="1">
    <mergeCell ref="A1:X62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59999389629810485"/>
  </sheetPr>
  <dimension ref="B3:F17"/>
  <sheetViews>
    <sheetView workbookViewId="0">
      <selection activeCell="E15" sqref="E15"/>
    </sheetView>
  </sheetViews>
  <sheetFormatPr defaultRowHeight="12.75" x14ac:dyDescent="0.2"/>
  <cols>
    <col min="2" max="6" width="15.7109375" customWidth="1"/>
  </cols>
  <sheetData>
    <row r="3" spans="2:6" ht="20.100000000000001" customHeight="1" x14ac:dyDescent="0.2">
      <c r="B3" s="199" t="s">
        <v>54</v>
      </c>
      <c r="C3" s="199"/>
      <c r="D3" s="199"/>
      <c r="E3" s="199"/>
      <c r="F3" s="199"/>
    </row>
    <row r="4" spans="2:6" ht="20.100000000000001" customHeight="1" x14ac:dyDescent="0.2">
      <c r="B4" s="161" t="s">
        <v>4</v>
      </c>
      <c r="C4" s="161" t="s">
        <v>55</v>
      </c>
      <c r="D4" s="161" t="s">
        <v>13</v>
      </c>
      <c r="E4" s="161" t="s">
        <v>56</v>
      </c>
      <c r="F4" s="162" t="s">
        <v>5</v>
      </c>
    </row>
    <row r="5" spans="2:6" ht="20.100000000000001" customHeight="1" x14ac:dyDescent="0.2">
      <c r="B5" s="163" t="s">
        <v>57</v>
      </c>
      <c r="C5" s="163">
        <v>0</v>
      </c>
      <c r="D5" s="163">
        <v>3</v>
      </c>
      <c r="E5" s="163">
        <v>0</v>
      </c>
      <c r="F5" s="164">
        <f>SUM(C5:E5)</f>
        <v>3</v>
      </c>
    </row>
    <row r="6" spans="2:6" ht="20.100000000000001" customHeight="1" x14ac:dyDescent="0.2">
      <c r="B6" s="162" t="s">
        <v>58</v>
      </c>
      <c r="C6" s="162">
        <v>0</v>
      </c>
      <c r="D6" s="162">
        <v>3</v>
      </c>
      <c r="E6" s="162">
        <v>0</v>
      </c>
      <c r="F6" s="164">
        <f t="shared" ref="F6:F14" si="0">SUM(C6:E6)</f>
        <v>3</v>
      </c>
    </row>
    <row r="7" spans="2:6" ht="20.100000000000001" customHeight="1" x14ac:dyDescent="0.2">
      <c r="B7" s="163" t="s">
        <v>59</v>
      </c>
      <c r="C7" s="162">
        <v>0</v>
      </c>
      <c r="D7" s="163">
        <v>1</v>
      </c>
      <c r="E7" s="162">
        <v>0</v>
      </c>
      <c r="F7" s="164">
        <f t="shared" si="0"/>
        <v>1</v>
      </c>
    </row>
    <row r="8" spans="2:6" ht="20.100000000000001" customHeight="1" x14ac:dyDescent="0.2">
      <c r="B8" s="162" t="s">
        <v>60</v>
      </c>
      <c r="C8" s="162">
        <v>1</v>
      </c>
      <c r="D8" s="162">
        <v>3</v>
      </c>
      <c r="E8" s="162">
        <v>0</v>
      </c>
      <c r="F8" s="164">
        <f t="shared" si="0"/>
        <v>4</v>
      </c>
    </row>
    <row r="9" spans="2:6" ht="20.100000000000001" customHeight="1" x14ac:dyDescent="0.2">
      <c r="B9" s="163" t="s">
        <v>61</v>
      </c>
      <c r="C9" s="163">
        <v>0</v>
      </c>
      <c r="D9" s="163">
        <v>2</v>
      </c>
      <c r="E9" s="163">
        <v>0</v>
      </c>
      <c r="F9" s="164">
        <f t="shared" si="0"/>
        <v>2</v>
      </c>
    </row>
    <row r="10" spans="2:6" ht="20.100000000000001" customHeight="1" x14ac:dyDescent="0.2">
      <c r="B10" s="162" t="s">
        <v>62</v>
      </c>
      <c r="C10" s="162">
        <v>0</v>
      </c>
      <c r="D10" s="162">
        <f>1+1+1+1</f>
        <v>4</v>
      </c>
      <c r="E10" s="162">
        <v>0</v>
      </c>
      <c r="F10" s="164">
        <f t="shared" si="0"/>
        <v>4</v>
      </c>
    </row>
    <row r="11" spans="2:6" ht="20.100000000000001" customHeight="1" x14ac:dyDescent="0.2">
      <c r="B11" s="163" t="s">
        <v>63</v>
      </c>
      <c r="C11" s="163">
        <v>0</v>
      </c>
      <c r="D11" s="163">
        <f>1+1+1</f>
        <v>3</v>
      </c>
      <c r="E11" s="163">
        <v>0</v>
      </c>
      <c r="F11" s="164">
        <f t="shared" si="0"/>
        <v>3</v>
      </c>
    </row>
    <row r="12" spans="2:6" ht="20.100000000000001" customHeight="1" x14ac:dyDescent="0.2">
      <c r="B12" s="162" t="s">
        <v>64</v>
      </c>
      <c r="C12" s="162">
        <v>1</v>
      </c>
      <c r="D12" s="162">
        <v>1</v>
      </c>
      <c r="E12" s="162">
        <v>0</v>
      </c>
      <c r="F12" s="164">
        <f t="shared" si="0"/>
        <v>2</v>
      </c>
    </row>
    <row r="13" spans="2:6" ht="20.100000000000001" customHeight="1" x14ac:dyDescent="0.2">
      <c r="B13" s="163" t="s">
        <v>65</v>
      </c>
      <c r="C13" s="163">
        <v>0</v>
      </c>
      <c r="D13" s="163">
        <v>1</v>
      </c>
      <c r="E13" s="163">
        <v>0</v>
      </c>
      <c r="F13" s="164">
        <f t="shared" si="0"/>
        <v>1</v>
      </c>
    </row>
    <row r="14" spans="2:6" ht="20.100000000000001" customHeight="1" x14ac:dyDescent="0.2">
      <c r="B14" s="162" t="s">
        <v>66</v>
      </c>
      <c r="C14" s="162">
        <v>0</v>
      </c>
      <c r="D14" s="162">
        <f>1+1</f>
        <v>2</v>
      </c>
      <c r="E14" s="162">
        <v>1</v>
      </c>
      <c r="F14" s="164">
        <f t="shared" si="0"/>
        <v>3</v>
      </c>
    </row>
    <row r="15" spans="2:6" ht="20.100000000000001" customHeight="1" x14ac:dyDescent="0.2">
      <c r="B15" s="163" t="s">
        <v>67</v>
      </c>
      <c r="C15" s="163"/>
      <c r="D15" s="163"/>
      <c r="E15" s="163"/>
      <c r="F15" s="164"/>
    </row>
    <row r="16" spans="2:6" ht="20.100000000000001" customHeight="1" x14ac:dyDescent="0.2">
      <c r="B16" s="162" t="s">
        <v>68</v>
      </c>
      <c r="C16" s="162"/>
      <c r="D16" s="162"/>
      <c r="E16" s="162"/>
      <c r="F16" s="162"/>
    </row>
    <row r="17" spans="2:6" ht="20.100000000000001" customHeight="1" x14ac:dyDescent="0.2">
      <c r="B17" s="163" t="s">
        <v>72</v>
      </c>
      <c r="C17" s="165"/>
      <c r="D17" s="165"/>
      <c r="E17" s="165"/>
      <c r="F17" s="164"/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B2:H15"/>
  <sheetViews>
    <sheetView workbookViewId="0">
      <selection activeCell="E26" sqref="E26"/>
    </sheetView>
  </sheetViews>
  <sheetFormatPr defaultRowHeight="12.75" x14ac:dyDescent="0.2"/>
  <cols>
    <col min="3" max="3" width="23" customWidth="1"/>
    <col min="5" max="5" width="27.85546875" bestFit="1" customWidth="1"/>
    <col min="8" max="8" width="57" customWidth="1"/>
  </cols>
  <sheetData>
    <row r="2" spans="2:8" ht="24.75" customHeight="1" x14ac:dyDescent="0.2">
      <c r="B2" s="74" t="s">
        <v>4</v>
      </c>
      <c r="C2" s="75" t="s">
        <v>10</v>
      </c>
      <c r="D2" s="4"/>
      <c r="E2" s="75" t="s">
        <v>25</v>
      </c>
    </row>
    <row r="3" spans="2:8" ht="15.75" x14ac:dyDescent="0.2">
      <c r="B3" s="71">
        <v>45292</v>
      </c>
      <c r="C3" s="72">
        <v>1320072.98</v>
      </c>
      <c r="D3" s="4"/>
      <c r="E3" s="77">
        <v>6591</v>
      </c>
    </row>
    <row r="4" spans="2:8" ht="15.75" x14ac:dyDescent="0.2">
      <c r="B4" s="71">
        <v>45323</v>
      </c>
      <c r="C4" s="73">
        <v>856599.78</v>
      </c>
      <c r="D4" s="4"/>
      <c r="E4" s="76">
        <v>1933</v>
      </c>
      <c r="H4" s="200" t="s">
        <v>53</v>
      </c>
    </row>
    <row r="5" spans="2:8" ht="15.75" x14ac:dyDescent="0.2">
      <c r="B5" s="71">
        <v>45352</v>
      </c>
      <c r="C5" s="72">
        <v>849723.17</v>
      </c>
      <c r="D5" s="4"/>
      <c r="E5" s="77">
        <v>6596</v>
      </c>
      <c r="H5" s="200"/>
    </row>
    <row r="6" spans="2:8" ht="15.75" x14ac:dyDescent="0.2">
      <c r="B6" s="71">
        <v>45383</v>
      </c>
      <c r="C6" s="73">
        <v>542700.38</v>
      </c>
      <c r="D6" s="4"/>
      <c r="E6" s="76">
        <v>4383</v>
      </c>
      <c r="H6" s="200"/>
    </row>
    <row r="7" spans="2:8" ht="15.75" x14ac:dyDescent="0.2">
      <c r="B7" s="71">
        <v>45413</v>
      </c>
      <c r="C7" s="72">
        <v>1479354.77</v>
      </c>
      <c r="D7" s="4"/>
      <c r="E7" s="77">
        <v>9263</v>
      </c>
      <c r="H7" s="200"/>
    </row>
    <row r="8" spans="2:8" ht="15.75" x14ac:dyDescent="0.2">
      <c r="B8" s="71">
        <v>45444</v>
      </c>
      <c r="C8" s="73">
        <v>1472558.7</v>
      </c>
      <c r="D8" s="4"/>
      <c r="E8" s="76">
        <v>11800</v>
      </c>
      <c r="H8" s="200"/>
    </row>
    <row r="9" spans="2:8" ht="15.75" x14ac:dyDescent="0.2">
      <c r="B9" s="71">
        <v>45474</v>
      </c>
      <c r="C9" s="72">
        <v>1456170.2</v>
      </c>
      <c r="D9" s="4"/>
      <c r="E9" s="77">
        <v>12555</v>
      </c>
      <c r="H9" s="200"/>
    </row>
    <row r="10" spans="2:8" ht="15.75" x14ac:dyDescent="0.2">
      <c r="B10" s="71">
        <v>45505</v>
      </c>
      <c r="C10" s="73">
        <v>1036832.16</v>
      </c>
      <c r="D10" s="4"/>
      <c r="E10" s="76">
        <v>16370</v>
      </c>
      <c r="H10" s="200"/>
    </row>
    <row r="11" spans="2:8" ht="15.75" x14ac:dyDescent="0.2">
      <c r="B11" s="71">
        <v>45536</v>
      </c>
      <c r="C11" s="72">
        <v>736330.89</v>
      </c>
      <c r="D11" s="4"/>
      <c r="E11" s="77">
        <v>14493</v>
      </c>
      <c r="H11" s="200"/>
    </row>
    <row r="12" spans="2:8" ht="15.75" x14ac:dyDescent="0.2">
      <c r="B12" s="71">
        <v>45566</v>
      </c>
      <c r="C12" s="73">
        <v>1372264.76</v>
      </c>
      <c r="D12" s="4"/>
      <c r="E12" s="76">
        <v>12408</v>
      </c>
      <c r="H12" s="200"/>
    </row>
    <row r="13" spans="2:8" ht="15.75" x14ac:dyDescent="0.2">
      <c r="B13" s="71">
        <v>45597</v>
      </c>
      <c r="C13" s="72"/>
      <c r="D13" s="4"/>
      <c r="E13" s="77"/>
      <c r="H13" s="200"/>
    </row>
    <row r="14" spans="2:8" ht="15.75" x14ac:dyDescent="0.2">
      <c r="B14" s="71">
        <v>45627</v>
      </c>
      <c r="C14" s="73"/>
      <c r="D14" s="4"/>
      <c r="E14" s="76"/>
      <c r="H14" s="200"/>
    </row>
    <row r="15" spans="2:8" ht="18" x14ac:dyDescent="0.25">
      <c r="B15" s="63"/>
      <c r="C15" s="64"/>
      <c r="H15" s="200"/>
    </row>
  </sheetData>
  <mergeCells count="1">
    <mergeCell ref="H4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AF52"/>
  <sheetViews>
    <sheetView showGridLines="0" zoomScale="70" zoomScaleNormal="70" workbookViewId="0">
      <selection activeCell="B13" sqref="B13"/>
    </sheetView>
  </sheetViews>
  <sheetFormatPr defaultColWidth="14.85546875" defaultRowHeight="12.75" x14ac:dyDescent="0.2"/>
  <cols>
    <col min="1" max="1" width="26.5703125" style="6" customWidth="1"/>
    <col min="2" max="2" width="30.85546875" style="6" customWidth="1"/>
    <col min="3" max="3" width="30.7109375" style="6" customWidth="1"/>
    <col min="4" max="4" width="12.28515625" style="6" customWidth="1"/>
    <col min="5" max="5" width="14" style="6" customWidth="1"/>
    <col min="6" max="6" width="14" style="2" customWidth="1"/>
    <col min="7" max="7" width="12.28515625" style="7" customWidth="1"/>
    <col min="8" max="9" width="12.28515625" style="2" customWidth="1"/>
    <col min="10" max="10" width="16.5703125" style="2" customWidth="1"/>
    <col min="11" max="11" width="13.5703125" style="2" customWidth="1"/>
    <col min="12" max="15" width="12.28515625" style="2" customWidth="1"/>
    <col min="16" max="16" width="19.7109375" style="3" customWidth="1"/>
    <col min="17" max="17" width="11.42578125" style="2" customWidth="1"/>
    <col min="18" max="18" width="12.28515625" style="2" customWidth="1"/>
    <col min="19" max="19" width="3.140625" style="2" customWidth="1"/>
    <col min="20" max="20" width="12.28515625" style="2" customWidth="1"/>
    <col min="21" max="21" width="12.85546875" style="3" customWidth="1"/>
    <col min="22" max="22" width="13.140625" style="2" bestFit="1" customWidth="1"/>
    <col min="23" max="23" width="11.7109375" style="4" customWidth="1"/>
    <col min="24" max="24" width="14.5703125" style="4" bestFit="1" customWidth="1"/>
    <col min="25" max="25" width="12.7109375" style="3" customWidth="1"/>
    <col min="26" max="26" width="16.42578125" style="3" bestFit="1" customWidth="1"/>
    <col min="27" max="27" width="15.28515625" style="3" customWidth="1"/>
    <col min="28" max="28" width="15.28515625" style="4" customWidth="1"/>
    <col min="29" max="31" width="15.28515625" style="3" customWidth="1"/>
    <col min="32" max="32" width="15" style="3" customWidth="1"/>
    <col min="33" max="16384" width="14.85546875" style="4"/>
  </cols>
  <sheetData>
    <row r="1" spans="1:32" ht="121.5" customHeight="1" x14ac:dyDescent="0.2"/>
    <row r="2" spans="1:32" s="14" customFormat="1" ht="36" x14ac:dyDescent="0.25">
      <c r="A2" s="113" t="s">
        <v>6</v>
      </c>
      <c r="B2" s="114" t="s">
        <v>18</v>
      </c>
      <c r="C2" s="114" t="s">
        <v>19</v>
      </c>
      <c r="D2" s="27"/>
      <c r="E2" s="28"/>
      <c r="F2" s="28"/>
      <c r="G2" s="28"/>
      <c r="H2" s="28"/>
      <c r="I2" s="28"/>
      <c r="J2" s="28"/>
      <c r="K2" s="38"/>
      <c r="L2" s="29"/>
      <c r="M2" s="29"/>
      <c r="N2" s="29"/>
      <c r="O2" s="29"/>
      <c r="P2" s="30"/>
      <c r="Q2" s="31"/>
      <c r="R2" s="15"/>
      <c r="S2" s="15"/>
      <c r="T2" s="15"/>
      <c r="U2" s="16"/>
      <c r="V2" s="15"/>
      <c r="Y2" s="16"/>
      <c r="Z2" s="16"/>
      <c r="AA2" s="16"/>
      <c r="AC2" s="16"/>
      <c r="AD2" s="16"/>
      <c r="AE2" s="16"/>
      <c r="AF2" s="16"/>
    </row>
    <row r="3" spans="1:32" ht="18" x14ac:dyDescent="0.25">
      <c r="A3" s="115">
        <v>45292</v>
      </c>
      <c r="B3" s="116">
        <f>150+150+150</f>
        <v>450</v>
      </c>
      <c r="C3" s="116">
        <f>470.5+1543.45+1543.45+192.5+122.48+500</f>
        <v>4372.38</v>
      </c>
      <c r="D3" s="186"/>
      <c r="E3" s="4"/>
      <c r="F3" s="4"/>
      <c r="G3" s="4"/>
      <c r="H3" s="4"/>
      <c r="I3" s="4"/>
      <c r="J3" s="4"/>
      <c r="K3" s="23"/>
      <c r="Q3" s="22"/>
    </row>
    <row r="4" spans="1:32" ht="18" x14ac:dyDescent="0.25">
      <c r="A4" s="115">
        <v>45323</v>
      </c>
      <c r="B4" s="116">
        <f>150+200+200</f>
        <v>550</v>
      </c>
      <c r="C4" s="116">
        <f>200+253.76+596+150+150+600+792+792</f>
        <v>3533.76</v>
      </c>
      <c r="D4" s="186"/>
      <c r="E4" s="4"/>
      <c r="F4" s="4"/>
      <c r="G4" s="4"/>
      <c r="H4" s="4"/>
      <c r="I4" s="4"/>
      <c r="J4" s="4"/>
      <c r="K4" s="23"/>
      <c r="Q4" s="22"/>
    </row>
    <row r="5" spans="1:32" ht="18" x14ac:dyDescent="0.25">
      <c r="A5" s="115">
        <v>45352</v>
      </c>
      <c r="B5" s="116">
        <v>200</v>
      </c>
      <c r="C5" s="116">
        <f>666.67+250+933.05+135.58+312.2</f>
        <v>2297.4999999999995</v>
      </c>
      <c r="D5" s="186"/>
      <c r="E5" s="4"/>
      <c r="F5" s="4"/>
      <c r="G5" s="4"/>
      <c r="H5" s="4"/>
      <c r="I5" s="4"/>
      <c r="J5" s="4"/>
      <c r="K5" s="23"/>
      <c r="Q5" s="22"/>
    </row>
    <row r="6" spans="1:32" ht="18" x14ac:dyDescent="0.25">
      <c r="A6" s="115">
        <v>45383</v>
      </c>
      <c r="B6" s="116">
        <f>200+200+200</f>
        <v>600</v>
      </c>
      <c r="C6" s="116">
        <f>356.61+453.61+271.43+121.75+360+356.61</f>
        <v>1920.0100000000002</v>
      </c>
      <c r="D6" s="186"/>
      <c r="E6" s="4"/>
      <c r="F6" s="4"/>
      <c r="G6" s="4"/>
      <c r="H6" s="4"/>
      <c r="I6" s="4"/>
      <c r="J6" s="4"/>
      <c r="K6" s="23"/>
      <c r="Q6" s="22"/>
    </row>
    <row r="7" spans="1:32" ht="18" x14ac:dyDescent="0.25">
      <c r="A7" s="115">
        <v>45413</v>
      </c>
      <c r="B7" s="116">
        <f>200+200</f>
        <v>400</v>
      </c>
      <c r="C7" s="116">
        <f>120+120+384+397.39+452.33</f>
        <v>1473.72</v>
      </c>
      <c r="D7" s="186"/>
      <c r="E7" s="4"/>
      <c r="F7" s="4"/>
      <c r="G7" s="4"/>
      <c r="H7" s="4"/>
      <c r="I7" s="4"/>
      <c r="J7" s="4"/>
      <c r="K7" s="23"/>
      <c r="Q7" s="22"/>
    </row>
    <row r="8" spans="1:32" ht="18" x14ac:dyDescent="0.25">
      <c r="A8" s="115">
        <v>45444</v>
      </c>
      <c r="B8" s="116">
        <f>200+200+200+200</f>
        <v>800</v>
      </c>
      <c r="C8" s="116">
        <f>540+151.52+50+1062+4530</f>
        <v>6333.52</v>
      </c>
      <c r="D8" s="186"/>
      <c r="E8" s="4"/>
      <c r="F8" s="4"/>
      <c r="G8" s="4"/>
      <c r="H8" s="4"/>
      <c r="I8" s="4"/>
      <c r="J8" s="4"/>
      <c r="K8" s="23"/>
      <c r="Q8" s="22"/>
    </row>
    <row r="9" spans="1:32" ht="18" x14ac:dyDescent="0.25">
      <c r="A9" s="115">
        <v>45474</v>
      </c>
      <c r="B9" s="116">
        <f>200+200+200</f>
        <v>600</v>
      </c>
      <c r="C9" s="116">
        <f>25.9+262.84+100+195.4+1575</f>
        <v>2159.14</v>
      </c>
      <c r="D9" s="32"/>
      <c r="E9" s="4"/>
      <c r="F9" s="4"/>
      <c r="G9" s="4"/>
      <c r="H9" s="4"/>
      <c r="I9" s="4"/>
      <c r="J9" s="4"/>
      <c r="K9" s="23"/>
      <c r="Q9" s="22"/>
    </row>
    <row r="10" spans="1:32" ht="18" x14ac:dyDescent="0.25">
      <c r="A10" s="115">
        <v>45505</v>
      </c>
      <c r="B10" s="116">
        <f>200</f>
        <v>200</v>
      </c>
      <c r="C10" s="116">
        <f>8.33+1268.77+1650+406.66+200</f>
        <v>3533.7599999999998</v>
      </c>
      <c r="D10" s="32"/>
      <c r="E10" s="4"/>
      <c r="F10" s="4"/>
      <c r="G10" s="4"/>
      <c r="H10" s="4"/>
      <c r="I10" s="4"/>
      <c r="J10" s="4"/>
      <c r="K10" s="23"/>
      <c r="Q10" s="22"/>
    </row>
    <row r="11" spans="1:32" ht="18" x14ac:dyDescent="0.25">
      <c r="A11" s="115">
        <v>45536</v>
      </c>
      <c r="B11" s="116">
        <v>200</v>
      </c>
      <c r="C11" s="116">
        <f>235+500+320.88+13.33+371.66+276.66</f>
        <v>1717.5300000000002</v>
      </c>
      <c r="D11" s="32"/>
      <c r="E11" s="4"/>
      <c r="F11" s="4"/>
      <c r="G11" s="4"/>
      <c r="H11" s="4"/>
      <c r="I11" s="4"/>
      <c r="J11" s="4"/>
      <c r="K11" s="23"/>
      <c r="Q11" s="22"/>
    </row>
    <row r="12" spans="1:32" ht="18" x14ac:dyDescent="0.25">
      <c r="A12" s="115">
        <v>45566</v>
      </c>
      <c r="B12" s="116">
        <f>200+200</f>
        <v>400</v>
      </c>
      <c r="C12" s="116">
        <f>300+100+300+196.66+2703.333+38.73+469.16+653.08+53.95+66.66+2578+49.56+150+50+210+133.33+0+0+0+263.2+0+50+50+36.66</f>
        <v>8452.3230000000003</v>
      </c>
      <c r="D12" s="32"/>
      <c r="E12" s="4"/>
      <c r="F12" s="4"/>
      <c r="G12" s="4"/>
      <c r="H12" s="4"/>
      <c r="I12" s="4"/>
      <c r="J12" s="4"/>
      <c r="K12" s="23"/>
      <c r="Q12" s="22"/>
    </row>
    <row r="13" spans="1:32" ht="18" x14ac:dyDescent="0.25">
      <c r="A13" s="115">
        <v>45597</v>
      </c>
      <c r="B13" s="116"/>
      <c r="C13" s="116"/>
      <c r="D13" s="32"/>
      <c r="E13" s="4"/>
      <c r="F13" s="4"/>
      <c r="G13" s="4"/>
      <c r="H13" s="4"/>
      <c r="I13" s="4"/>
      <c r="J13" s="4"/>
      <c r="K13" s="23"/>
      <c r="Q13" s="22"/>
    </row>
    <row r="14" spans="1:32" ht="18" x14ac:dyDescent="0.25">
      <c r="A14" s="115">
        <v>45627</v>
      </c>
      <c r="B14" s="116"/>
      <c r="C14" s="116"/>
      <c r="D14" s="32"/>
      <c r="E14" s="4"/>
      <c r="F14" s="4"/>
      <c r="G14" s="4"/>
      <c r="H14" s="4"/>
      <c r="I14" s="4"/>
      <c r="J14" s="4"/>
      <c r="K14" s="23"/>
      <c r="Q14" s="22"/>
    </row>
    <row r="15" spans="1:32" ht="18" x14ac:dyDescent="0.25">
      <c r="A15" s="117" t="s">
        <v>17</v>
      </c>
      <c r="B15" s="116">
        <f>SUM(B3:B14)</f>
        <v>4400</v>
      </c>
      <c r="C15" s="116">
        <f>SUM(C3:C14)</f>
        <v>35793.642999999996</v>
      </c>
      <c r="D15" s="33"/>
      <c r="E15" s="34"/>
      <c r="F15" s="34"/>
      <c r="G15" s="34"/>
      <c r="H15" s="34"/>
      <c r="I15" s="34"/>
      <c r="J15" s="34"/>
      <c r="K15" s="39"/>
      <c r="L15" s="35"/>
      <c r="M15" s="35"/>
      <c r="N15" s="35"/>
      <c r="O15" s="35"/>
      <c r="P15" s="36"/>
      <c r="Q15" s="37"/>
    </row>
    <row r="16" spans="1:32" x14ac:dyDescent="0.2">
      <c r="A16" s="32"/>
      <c r="B16" s="4"/>
      <c r="C16" s="4"/>
      <c r="D16" s="4"/>
      <c r="E16" s="4"/>
      <c r="F16" s="4"/>
      <c r="G16" s="4"/>
      <c r="H16" s="4"/>
      <c r="I16" s="4"/>
      <c r="J16" s="4"/>
      <c r="Q16" s="40"/>
    </row>
    <row r="17" spans="1:17" x14ac:dyDescent="0.2">
      <c r="A17" s="32"/>
      <c r="B17" s="4"/>
      <c r="C17" s="4"/>
      <c r="D17" s="4"/>
      <c r="E17" s="4"/>
      <c r="F17" s="4"/>
      <c r="G17" s="4"/>
      <c r="H17" s="4"/>
      <c r="I17" s="4"/>
      <c r="J17" s="4"/>
      <c r="Q17" s="22"/>
    </row>
    <row r="18" spans="1:17" x14ac:dyDescent="0.2">
      <c r="A18" s="32"/>
      <c r="B18" s="4"/>
      <c r="C18" s="4"/>
      <c r="D18" s="4"/>
      <c r="E18" s="4"/>
      <c r="F18" s="4"/>
      <c r="G18" s="4"/>
      <c r="H18" s="4"/>
      <c r="I18" s="4"/>
      <c r="J18" s="4"/>
      <c r="Q18" s="22"/>
    </row>
    <row r="19" spans="1:17" x14ac:dyDescent="0.2">
      <c r="A19" s="32"/>
      <c r="B19" s="4"/>
      <c r="C19" s="4"/>
      <c r="D19" s="4"/>
      <c r="E19" s="4"/>
      <c r="F19" s="4"/>
      <c r="G19" s="4"/>
      <c r="H19" s="4"/>
      <c r="I19" s="4"/>
      <c r="J19" s="4"/>
      <c r="Q19" s="22"/>
    </row>
    <row r="20" spans="1:17" x14ac:dyDescent="0.2">
      <c r="A20" s="32"/>
      <c r="B20" s="4"/>
      <c r="C20" s="4"/>
      <c r="D20" s="4"/>
      <c r="E20" s="4"/>
      <c r="F20" s="4"/>
      <c r="G20" s="4"/>
      <c r="H20" s="4"/>
      <c r="I20" s="4"/>
      <c r="J20" s="4"/>
      <c r="Q20" s="22"/>
    </row>
    <row r="21" spans="1:17" x14ac:dyDescent="0.2">
      <c r="A21" s="32"/>
      <c r="B21" s="4"/>
      <c r="C21" s="4"/>
      <c r="D21" s="4"/>
      <c r="E21" s="4"/>
      <c r="F21" s="4"/>
      <c r="G21" s="4"/>
      <c r="H21" s="4"/>
      <c r="I21" s="4"/>
      <c r="J21" s="4"/>
      <c r="Q21" s="22"/>
    </row>
    <row r="22" spans="1:17" x14ac:dyDescent="0.2">
      <c r="A22" s="32"/>
      <c r="B22" s="4"/>
      <c r="C22" s="4"/>
      <c r="D22" s="4"/>
      <c r="E22" s="4"/>
      <c r="F22" s="4"/>
      <c r="G22" s="4"/>
      <c r="H22" s="4"/>
      <c r="I22" s="4"/>
      <c r="J22" s="4"/>
      <c r="Q22" s="22"/>
    </row>
    <row r="23" spans="1:17" x14ac:dyDescent="0.2">
      <c r="A23" s="32"/>
      <c r="B23" s="4"/>
      <c r="C23" s="4"/>
      <c r="D23" s="4"/>
      <c r="E23" s="4"/>
      <c r="F23" s="4"/>
      <c r="G23" s="4"/>
      <c r="H23" s="4"/>
      <c r="I23" s="4"/>
      <c r="J23" s="4"/>
      <c r="Q23" s="22"/>
    </row>
    <row r="24" spans="1:17" x14ac:dyDescent="0.2">
      <c r="A24" s="32"/>
      <c r="B24" s="4"/>
      <c r="C24" s="4"/>
      <c r="D24" s="4"/>
      <c r="E24" s="4"/>
      <c r="F24" s="4"/>
      <c r="G24" s="4"/>
      <c r="H24" s="4"/>
      <c r="I24" s="4"/>
      <c r="J24" s="4"/>
      <c r="Q24" s="22"/>
    </row>
    <row r="25" spans="1:17" x14ac:dyDescent="0.2">
      <c r="A25" s="32"/>
      <c r="B25" s="4"/>
      <c r="C25" s="4"/>
      <c r="D25" s="4"/>
      <c r="E25" s="4"/>
      <c r="F25" s="4"/>
      <c r="G25" s="4"/>
      <c r="H25" s="4"/>
      <c r="I25" s="4"/>
      <c r="J25" s="4"/>
      <c r="Q25" s="22"/>
    </row>
    <row r="26" spans="1:17" x14ac:dyDescent="0.2">
      <c r="A26" s="32"/>
      <c r="B26" s="4"/>
      <c r="C26" s="4"/>
      <c r="D26" s="4"/>
      <c r="E26" s="4"/>
      <c r="F26" s="4"/>
      <c r="G26" s="4"/>
      <c r="H26" s="4"/>
      <c r="I26" s="4"/>
      <c r="J26" s="4"/>
      <c r="Q26" s="22"/>
    </row>
    <row r="27" spans="1:17" x14ac:dyDescent="0.2">
      <c r="A27" s="32"/>
      <c r="B27" s="4"/>
      <c r="C27" s="4"/>
      <c r="D27" s="4"/>
      <c r="E27" s="4"/>
      <c r="F27" s="4"/>
      <c r="G27" s="4"/>
      <c r="H27" s="4"/>
      <c r="I27" s="4"/>
      <c r="J27" s="4"/>
      <c r="Q27" s="22"/>
    </row>
    <row r="28" spans="1:17" x14ac:dyDescent="0.2">
      <c r="A28" s="32"/>
      <c r="B28" s="4"/>
      <c r="C28" s="4"/>
      <c r="D28" s="4"/>
      <c r="E28" s="4"/>
      <c r="F28" s="4"/>
      <c r="G28" s="4"/>
      <c r="H28" s="4"/>
      <c r="I28" s="4"/>
      <c r="J28" s="4"/>
      <c r="Q28" s="22"/>
    </row>
    <row r="29" spans="1:17" x14ac:dyDescent="0.2">
      <c r="A29" s="32"/>
      <c r="B29" s="4"/>
      <c r="C29" s="4"/>
      <c r="D29" s="4"/>
      <c r="E29" s="4"/>
      <c r="F29" s="4"/>
      <c r="G29" s="4"/>
      <c r="H29" s="4"/>
      <c r="I29" s="4"/>
      <c r="J29" s="4"/>
      <c r="Q29" s="22"/>
    </row>
    <row r="30" spans="1:17" x14ac:dyDescent="0.2">
      <c r="A30" s="32"/>
      <c r="B30" s="4"/>
      <c r="C30" s="4"/>
      <c r="D30" s="4"/>
      <c r="E30" s="4"/>
      <c r="F30" s="4"/>
      <c r="G30" s="4"/>
      <c r="H30" s="4"/>
      <c r="I30" s="4"/>
      <c r="J30" s="4"/>
      <c r="Q30" s="22"/>
    </row>
    <row r="31" spans="1:17" x14ac:dyDescent="0.2">
      <c r="A31" s="32"/>
      <c r="B31" s="4"/>
      <c r="C31" s="4"/>
      <c r="D31" s="4"/>
      <c r="E31" s="4"/>
      <c r="F31" s="4"/>
      <c r="G31" s="4"/>
      <c r="H31" s="4"/>
      <c r="I31" s="4"/>
      <c r="J31" s="4"/>
      <c r="Q31" s="22"/>
    </row>
    <row r="32" spans="1:17" x14ac:dyDescent="0.2">
      <c r="A32" s="32"/>
      <c r="B32" s="4"/>
      <c r="C32" s="4"/>
      <c r="D32" s="4"/>
      <c r="E32" s="4"/>
      <c r="F32" s="4"/>
      <c r="G32" s="4"/>
      <c r="H32" s="4"/>
      <c r="I32" s="4"/>
      <c r="J32" s="4"/>
      <c r="Q32" s="22"/>
    </row>
    <row r="33" spans="1:17" x14ac:dyDescent="0.2">
      <c r="A33" s="32"/>
      <c r="B33" s="4"/>
      <c r="C33" s="4"/>
      <c r="D33" s="4"/>
      <c r="E33" s="4"/>
      <c r="F33" s="4"/>
      <c r="G33" s="4"/>
      <c r="H33" s="4"/>
      <c r="I33" s="4"/>
      <c r="J33" s="4"/>
      <c r="Q33" s="22"/>
    </row>
    <row r="34" spans="1:17" x14ac:dyDescent="0.2">
      <c r="A34" s="32"/>
      <c r="B34" s="4"/>
      <c r="C34" s="4"/>
      <c r="D34" s="4"/>
      <c r="E34" s="4"/>
      <c r="F34" s="4"/>
      <c r="G34" s="4"/>
      <c r="H34" s="4"/>
      <c r="I34" s="4"/>
      <c r="J34" s="4"/>
      <c r="Q34" s="22"/>
    </row>
    <row r="35" spans="1:17" x14ac:dyDescent="0.2">
      <c r="A35" s="32"/>
      <c r="B35" s="4"/>
      <c r="C35" s="4"/>
      <c r="D35" s="4"/>
      <c r="E35" s="4"/>
      <c r="F35" s="4"/>
      <c r="G35" s="4"/>
      <c r="H35" s="4"/>
      <c r="I35" s="4"/>
      <c r="J35" s="4"/>
      <c r="Q35" s="22"/>
    </row>
    <row r="36" spans="1:17" x14ac:dyDescent="0.2">
      <c r="A36" s="32"/>
      <c r="B36" s="4"/>
      <c r="C36" s="4"/>
      <c r="D36" s="4"/>
      <c r="E36" s="4"/>
      <c r="F36" s="4"/>
      <c r="G36" s="4"/>
      <c r="H36" s="4"/>
      <c r="I36" s="4"/>
      <c r="J36" s="4"/>
      <c r="Q36" s="22"/>
    </row>
    <row r="37" spans="1:17" x14ac:dyDescent="0.2">
      <c r="A37" s="32"/>
      <c r="B37" s="4"/>
      <c r="C37" s="4"/>
      <c r="D37" s="4"/>
      <c r="E37" s="4"/>
      <c r="F37" s="4"/>
      <c r="G37" s="4"/>
      <c r="H37" s="4"/>
      <c r="I37" s="4"/>
      <c r="J37" s="4"/>
      <c r="Q37" s="22"/>
    </row>
    <row r="38" spans="1:17" x14ac:dyDescent="0.2">
      <c r="A38" s="32"/>
      <c r="B38" s="4"/>
      <c r="C38" s="4"/>
      <c r="D38" s="4"/>
      <c r="E38" s="4"/>
      <c r="F38" s="4"/>
      <c r="G38" s="4"/>
      <c r="H38" s="4"/>
      <c r="I38" s="4"/>
      <c r="J38" s="4"/>
      <c r="Q38" s="22"/>
    </row>
    <row r="39" spans="1:17" x14ac:dyDescent="0.2">
      <c r="A39" s="32"/>
      <c r="B39" s="4"/>
      <c r="C39" s="4"/>
      <c r="D39" s="4"/>
      <c r="E39" s="4"/>
      <c r="F39" s="4"/>
      <c r="G39" s="4"/>
      <c r="H39" s="4"/>
      <c r="I39" s="4"/>
      <c r="J39" s="4"/>
      <c r="Q39" s="22"/>
    </row>
    <row r="40" spans="1:17" x14ac:dyDescent="0.2">
      <c r="A40" s="32"/>
      <c r="B40" s="4"/>
      <c r="C40" s="4"/>
      <c r="D40" s="4"/>
      <c r="E40" s="4"/>
      <c r="F40" s="4"/>
      <c r="G40" s="4"/>
      <c r="H40" s="4"/>
      <c r="I40" s="4"/>
      <c r="J40" s="4"/>
      <c r="Q40" s="22"/>
    </row>
    <row r="41" spans="1:17" x14ac:dyDescent="0.2">
      <c r="A41" s="32"/>
      <c r="B41" s="4"/>
      <c r="C41" s="4"/>
      <c r="D41" s="4"/>
      <c r="E41" s="4"/>
      <c r="F41" s="4"/>
      <c r="G41" s="4"/>
      <c r="H41" s="4"/>
      <c r="I41" s="4"/>
      <c r="J41" s="4"/>
      <c r="Q41" s="22"/>
    </row>
    <row r="42" spans="1:17" x14ac:dyDescent="0.2">
      <c r="A42" s="4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8"/>
    </row>
    <row r="43" spans="1:17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Q43" s="22"/>
    </row>
    <row r="44" spans="1:17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Q44" s="22"/>
    </row>
    <row r="45" spans="1:17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Q45" s="22"/>
    </row>
    <row r="46" spans="1:17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Q46" s="22"/>
    </row>
    <row r="47" spans="1:17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Q47" s="22"/>
    </row>
    <row r="48" spans="1:17" x14ac:dyDescent="0.2">
      <c r="Q48" s="22"/>
    </row>
    <row r="49" spans="1:17" x14ac:dyDescent="0.2">
      <c r="Q49" s="22"/>
    </row>
    <row r="50" spans="1:17" x14ac:dyDescent="0.2">
      <c r="Q50" s="22"/>
    </row>
    <row r="51" spans="1:17" x14ac:dyDescent="0.2">
      <c r="Q51" s="22"/>
    </row>
    <row r="52" spans="1:17" x14ac:dyDescent="0.2">
      <c r="A52" s="111"/>
      <c r="B52" s="111"/>
      <c r="C52" s="111"/>
      <c r="D52" s="111"/>
      <c r="E52" s="111"/>
      <c r="F52" s="35"/>
      <c r="G52" s="112"/>
      <c r="H52" s="35"/>
      <c r="I52" s="35"/>
      <c r="J52" s="35"/>
      <c r="K52" s="35"/>
      <c r="L52" s="35"/>
      <c r="M52" s="35"/>
      <c r="N52" s="35"/>
      <c r="O52" s="35"/>
      <c r="P52" s="36"/>
      <c r="Q52" s="37"/>
    </row>
  </sheetData>
  <mergeCells count="2">
    <mergeCell ref="D3:D8"/>
    <mergeCell ref="B42:Q42"/>
  </mergeCells>
  <printOptions horizontalCentered="1" verticalCentered="1"/>
  <pageMargins left="0.66" right="0.74" top="0.96" bottom="1.02" header="0.81" footer="1.36"/>
  <pageSetup paperSize="9" scale="6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O40"/>
  <sheetViews>
    <sheetView showGridLines="0" view="pageBreakPreview" zoomScale="50" zoomScaleNormal="70" zoomScaleSheetLayoutView="50" workbookViewId="0"/>
  </sheetViews>
  <sheetFormatPr defaultColWidth="14.85546875" defaultRowHeight="12.75" x14ac:dyDescent="0.2"/>
  <cols>
    <col min="1" max="1" width="12.28515625" style="4" bestFit="1" customWidth="1"/>
    <col min="2" max="2" width="25.7109375" style="3" customWidth="1"/>
    <col min="3" max="3" width="22.42578125" style="3" customWidth="1"/>
    <col min="4" max="4" width="8.7109375" style="3" bestFit="1" customWidth="1"/>
    <col min="5" max="5" width="11.28515625" style="3" bestFit="1" customWidth="1"/>
    <col min="6" max="6" width="7.28515625" style="3" customWidth="1"/>
    <col min="7" max="7" width="13.85546875" style="3" customWidth="1"/>
    <col min="8" max="8" width="9.28515625" style="3" customWidth="1"/>
    <col min="9" max="9" width="3.5703125" style="3" customWidth="1"/>
    <col min="10" max="10" width="13.140625" style="3" bestFit="1" customWidth="1"/>
    <col min="11" max="11" width="8.5703125" style="4" bestFit="1" customWidth="1"/>
    <col min="12" max="12" width="8" style="4" customWidth="1"/>
    <col min="13" max="13" width="6.85546875" style="4" customWidth="1"/>
    <col min="14" max="18" width="14.85546875" style="4" customWidth="1"/>
    <col min="19" max="19" width="4.85546875" style="4" bestFit="1" customWidth="1"/>
    <col min="20" max="20" width="7.7109375" style="4" bestFit="1" customWidth="1"/>
    <col min="21" max="21" width="9.28515625" style="4" bestFit="1" customWidth="1"/>
    <col min="22" max="22" width="5.85546875" style="4" bestFit="1" customWidth="1"/>
    <col min="23" max="23" width="10.85546875" style="4" bestFit="1" customWidth="1"/>
    <col min="24" max="24" width="14.85546875" style="4" customWidth="1"/>
    <col min="25" max="25" width="9.28515625" style="4" bestFit="1" customWidth="1"/>
    <col min="26" max="26" width="4.85546875" style="4" bestFit="1" customWidth="1"/>
    <col min="27" max="27" width="7.7109375" style="4" bestFit="1" customWidth="1"/>
    <col min="28" max="28" width="4.5703125" style="4" bestFit="1" customWidth="1"/>
    <col min="29" max="29" width="9.28515625" style="4" bestFit="1" customWidth="1"/>
    <col min="30" max="30" width="5.42578125" style="4" bestFit="1" customWidth="1"/>
    <col min="31" max="31" width="5.85546875" style="4" bestFit="1" customWidth="1"/>
    <col min="32" max="32" width="4.85546875" style="4" bestFit="1" customWidth="1"/>
    <col min="33" max="33" width="10.85546875" style="4" bestFit="1" customWidth="1"/>
    <col min="34" max="34" width="3.7109375" style="4" bestFit="1" customWidth="1"/>
    <col min="35" max="16384" width="14.85546875" style="4"/>
  </cols>
  <sheetData>
    <row r="1" spans="1:14" ht="108.75" customHeight="1" x14ac:dyDescent="0.2"/>
    <row r="2" spans="1:14" s="5" customFormat="1" ht="24.95" customHeight="1" x14ac:dyDescent="0.2">
      <c r="A2" s="118" t="s">
        <v>3</v>
      </c>
      <c r="B2" s="119" t="s">
        <v>8</v>
      </c>
      <c r="C2" s="120" t="s">
        <v>9</v>
      </c>
      <c r="D2" s="121"/>
      <c r="E2" s="122"/>
      <c r="F2" s="123"/>
      <c r="G2" s="124"/>
      <c r="H2" s="123"/>
      <c r="I2" s="41"/>
      <c r="J2" s="123"/>
      <c r="K2" s="41"/>
      <c r="L2" s="41"/>
      <c r="M2" s="41"/>
      <c r="N2" s="41"/>
    </row>
    <row r="3" spans="1:14" s="136" customFormat="1" ht="24.95" customHeight="1" x14ac:dyDescent="0.2">
      <c r="A3" s="125">
        <v>45292</v>
      </c>
      <c r="B3" s="126">
        <v>0</v>
      </c>
      <c r="C3" s="127" t="s">
        <v>74</v>
      </c>
      <c r="D3" s="130"/>
      <c r="E3" s="128"/>
      <c r="F3" s="129"/>
      <c r="G3" s="128"/>
      <c r="H3" s="129"/>
      <c r="I3" s="129"/>
      <c r="J3" s="129"/>
    </row>
    <row r="4" spans="1:14" s="136" customFormat="1" ht="24.95" customHeight="1" x14ac:dyDescent="0.2">
      <c r="A4" s="125">
        <v>45323</v>
      </c>
      <c r="B4" s="126"/>
      <c r="C4" s="127"/>
      <c r="D4" s="130"/>
      <c r="E4" s="128"/>
      <c r="F4" s="129"/>
      <c r="G4" s="128"/>
      <c r="H4" s="129"/>
      <c r="I4" s="129"/>
      <c r="J4" s="129"/>
    </row>
    <row r="5" spans="1:14" s="136" customFormat="1" ht="24.95" customHeight="1" x14ac:dyDescent="0.2">
      <c r="A5" s="125">
        <v>45352</v>
      </c>
      <c r="B5" s="126"/>
      <c r="C5" s="127"/>
      <c r="D5" s="130"/>
      <c r="E5" s="128"/>
      <c r="F5" s="129"/>
      <c r="G5" s="128"/>
      <c r="H5" s="129"/>
      <c r="I5" s="129"/>
      <c r="J5" s="129"/>
    </row>
    <row r="6" spans="1:14" s="136" customFormat="1" ht="24.95" customHeight="1" x14ac:dyDescent="0.2">
      <c r="A6" s="125">
        <v>45383</v>
      </c>
      <c r="B6" s="126"/>
      <c r="C6" s="127"/>
      <c r="D6" s="130"/>
      <c r="E6" s="128"/>
      <c r="F6" s="129"/>
      <c r="G6" s="128"/>
      <c r="H6" s="129"/>
      <c r="I6" s="129"/>
      <c r="J6" s="129"/>
    </row>
    <row r="7" spans="1:14" s="136" customFormat="1" ht="24.95" customHeight="1" x14ac:dyDescent="0.2">
      <c r="A7" s="125">
        <v>45413</v>
      </c>
      <c r="B7" s="126"/>
      <c r="C7" s="127"/>
      <c r="D7" s="130"/>
      <c r="E7" s="128"/>
      <c r="F7" s="129"/>
      <c r="G7" s="128"/>
      <c r="H7" s="129"/>
      <c r="I7" s="129"/>
      <c r="J7" s="129"/>
    </row>
    <row r="8" spans="1:14" s="136" customFormat="1" ht="24.95" customHeight="1" x14ac:dyDescent="0.2">
      <c r="A8" s="125">
        <v>45444</v>
      </c>
      <c r="B8" s="126"/>
      <c r="C8" s="127"/>
      <c r="D8" s="130"/>
      <c r="E8" s="128"/>
      <c r="F8" s="129"/>
      <c r="G8" s="128"/>
      <c r="H8" s="129"/>
      <c r="I8" s="129"/>
      <c r="J8" s="129"/>
    </row>
    <row r="9" spans="1:14" s="136" customFormat="1" ht="24.95" customHeight="1" x14ac:dyDescent="0.2">
      <c r="A9" s="125">
        <v>45474</v>
      </c>
      <c r="B9" s="126"/>
      <c r="C9" s="127"/>
      <c r="D9" s="131"/>
      <c r="E9" s="128"/>
      <c r="F9" s="132"/>
      <c r="G9" s="128"/>
      <c r="H9" s="132"/>
      <c r="I9" s="129"/>
      <c r="J9" s="129"/>
    </row>
    <row r="10" spans="1:14" s="136" customFormat="1" ht="24.95" customHeight="1" x14ac:dyDescent="0.2">
      <c r="A10" s="125">
        <v>45505</v>
      </c>
      <c r="B10" s="126"/>
      <c r="C10" s="127"/>
      <c r="D10" s="130"/>
      <c r="E10" s="128"/>
      <c r="F10" s="129"/>
      <c r="G10" s="128"/>
      <c r="H10" s="129"/>
      <c r="I10" s="129"/>
      <c r="J10" s="129"/>
    </row>
    <row r="11" spans="1:14" s="136" customFormat="1" ht="24.95" customHeight="1" x14ac:dyDescent="0.2">
      <c r="A11" s="125">
        <v>45536</v>
      </c>
      <c r="B11" s="126"/>
      <c r="C11" s="133"/>
      <c r="D11" s="130"/>
      <c r="E11" s="128"/>
      <c r="F11" s="129"/>
      <c r="G11" s="128"/>
      <c r="H11" s="129"/>
      <c r="I11" s="129"/>
      <c r="J11" s="129"/>
    </row>
    <row r="12" spans="1:14" s="136" customFormat="1" ht="24.95" customHeight="1" x14ac:dyDescent="0.2">
      <c r="A12" s="125">
        <v>45566</v>
      </c>
      <c r="B12" s="126"/>
      <c r="C12" s="127"/>
      <c r="D12" s="130"/>
      <c r="E12" s="128"/>
      <c r="F12" s="129"/>
      <c r="G12" s="128"/>
      <c r="H12" s="129"/>
      <c r="I12" s="129"/>
      <c r="J12" s="129"/>
    </row>
    <row r="13" spans="1:14" s="136" customFormat="1" ht="24.95" customHeight="1" x14ac:dyDescent="0.2">
      <c r="A13" s="125">
        <v>45597</v>
      </c>
      <c r="B13" s="126"/>
      <c r="C13" s="127"/>
      <c r="D13" s="130"/>
      <c r="E13" s="128"/>
      <c r="F13" s="129"/>
      <c r="G13" s="128"/>
      <c r="H13" s="129"/>
      <c r="I13" s="129"/>
      <c r="J13" s="129"/>
    </row>
    <row r="14" spans="1:14" s="136" customFormat="1" ht="24.95" customHeight="1" x14ac:dyDescent="0.2">
      <c r="A14" s="125">
        <v>45627</v>
      </c>
      <c r="B14" s="126"/>
      <c r="C14" s="127"/>
      <c r="D14" s="130"/>
      <c r="E14" s="128"/>
      <c r="F14" s="129"/>
      <c r="G14" s="128"/>
      <c r="H14" s="129"/>
      <c r="I14" s="129"/>
      <c r="J14" s="129"/>
    </row>
    <row r="15" spans="1:14" s="136" customFormat="1" ht="24.95" customHeight="1" x14ac:dyDescent="0.2">
      <c r="A15" s="125" t="s">
        <v>0</v>
      </c>
      <c r="B15" s="126"/>
      <c r="C15" s="134"/>
      <c r="D15" s="130"/>
      <c r="E15" s="135"/>
      <c r="F15" s="129"/>
      <c r="G15" s="135"/>
      <c r="H15" s="129"/>
      <c r="I15" s="129"/>
      <c r="J15" s="129"/>
    </row>
    <row r="16" spans="1:14" x14ac:dyDescent="0.2">
      <c r="A16" s="91"/>
      <c r="B16" s="92"/>
      <c r="C16" s="92"/>
      <c r="D16" s="43"/>
    </row>
    <row r="17" spans="1:15" x14ac:dyDescent="0.2">
      <c r="A17" s="93"/>
      <c r="B17" s="93"/>
      <c r="C17" s="93"/>
      <c r="D17" s="44"/>
    </row>
    <row r="18" spans="1:15" x14ac:dyDescent="0.2">
      <c r="A18" s="94"/>
      <c r="B18" s="94"/>
      <c r="C18" s="94"/>
      <c r="D18" s="42"/>
      <c r="E18" s="9"/>
    </row>
    <row r="19" spans="1:15" x14ac:dyDescent="0.2">
      <c r="A19" s="94"/>
      <c r="B19" s="94"/>
      <c r="C19" s="94"/>
      <c r="D19" s="42"/>
      <c r="E19" s="9"/>
    </row>
    <row r="20" spans="1:15" x14ac:dyDescent="0.2">
      <c r="A20" s="94"/>
      <c r="B20" s="94"/>
      <c r="C20" s="94"/>
      <c r="D20" s="42"/>
      <c r="E20" s="9"/>
      <c r="G20" s="10"/>
      <c r="H20" s="10"/>
      <c r="I20" s="9"/>
      <c r="J20" s="10"/>
      <c r="K20" s="9"/>
      <c r="L20" s="9"/>
      <c r="M20" s="10"/>
      <c r="N20" s="9"/>
    </row>
    <row r="21" spans="1:15" x14ac:dyDescent="0.2">
      <c r="A21" s="94"/>
      <c r="B21" s="94"/>
      <c r="C21" s="94"/>
      <c r="D21" s="42"/>
      <c r="E21" s="9"/>
      <c r="F21" s="11"/>
      <c r="G21" s="4"/>
    </row>
    <row r="22" spans="1:15" x14ac:dyDescent="0.2">
      <c r="A22" s="94"/>
      <c r="B22" s="94"/>
      <c r="C22" s="94"/>
      <c r="D22" s="42"/>
      <c r="E22" s="9"/>
    </row>
    <row r="23" spans="1:15" x14ac:dyDescent="0.2">
      <c r="A23" s="94"/>
      <c r="B23" s="94"/>
      <c r="C23" s="94"/>
      <c r="D23" s="42"/>
      <c r="E23" s="9"/>
      <c r="G23" s="12"/>
      <c r="H23" s="10"/>
      <c r="I23" s="10"/>
      <c r="J23" s="9"/>
      <c r="K23" s="10"/>
      <c r="L23" s="9"/>
      <c r="M23" s="9"/>
      <c r="N23" s="10"/>
      <c r="O23" s="9"/>
    </row>
    <row r="24" spans="1:15" x14ac:dyDescent="0.2">
      <c r="A24" s="94"/>
      <c r="B24" s="94"/>
      <c r="C24" s="94"/>
      <c r="D24" s="42"/>
      <c r="E24" s="9"/>
    </row>
    <row r="25" spans="1:15" x14ac:dyDescent="0.2">
      <c r="A25" s="94"/>
      <c r="B25" s="94"/>
      <c r="C25" s="94"/>
      <c r="D25" s="45"/>
      <c r="E25" s="46"/>
      <c r="F25" s="36"/>
      <c r="G25" s="36"/>
      <c r="H25" s="36"/>
      <c r="I25" s="36"/>
      <c r="J25" s="36"/>
      <c r="K25" s="34"/>
      <c r="L25" s="34"/>
      <c r="M25" s="34"/>
      <c r="N25" s="34"/>
    </row>
    <row r="26" spans="1:15" x14ac:dyDescent="0.2">
      <c r="A26" s="8"/>
      <c r="B26" s="8"/>
      <c r="C26" s="8"/>
      <c r="D26" s="9"/>
      <c r="E26" s="9"/>
    </row>
    <row r="27" spans="1:15" x14ac:dyDescent="0.2">
      <c r="A27" s="8"/>
      <c r="B27" s="8"/>
      <c r="C27" s="8"/>
      <c r="D27" s="9"/>
      <c r="E27" s="9"/>
    </row>
    <row r="28" spans="1:15" x14ac:dyDescent="0.2">
      <c r="A28" s="8"/>
      <c r="B28" s="8"/>
      <c r="C28" s="8"/>
      <c r="D28" s="9"/>
      <c r="E28" s="9"/>
    </row>
    <row r="29" spans="1:15" x14ac:dyDescent="0.2">
      <c r="A29" s="8"/>
      <c r="B29" s="8"/>
      <c r="C29" s="8"/>
      <c r="D29" s="9"/>
      <c r="E29" s="9"/>
    </row>
    <row r="30" spans="1:15" x14ac:dyDescent="0.2">
      <c r="A30" s="13"/>
      <c r="B30" s="9"/>
      <c r="C30" s="9"/>
      <c r="D30" s="9"/>
      <c r="E30" s="9"/>
    </row>
    <row r="34" spans="1:10" x14ac:dyDescent="0.2">
      <c r="A34" s="3"/>
    </row>
    <row r="35" spans="1:10" x14ac:dyDescent="0.2">
      <c r="A35" s="3"/>
    </row>
    <row r="36" spans="1:10" x14ac:dyDescent="0.2">
      <c r="A36" s="3"/>
    </row>
    <row r="38" spans="1:10" x14ac:dyDescent="0.2">
      <c r="J38" s="4"/>
    </row>
    <row r="39" spans="1:10" x14ac:dyDescent="0.2">
      <c r="J39" s="4"/>
    </row>
    <row r="40" spans="1:10" x14ac:dyDescent="0.2">
      <c r="J40" s="4"/>
    </row>
  </sheetData>
  <printOptions horizontalCentered="1" verticalCentered="1"/>
  <pageMargins left="0.19685039370078741" right="0.15748031496062992" top="0.9055118110236221" bottom="0.98425196850393704" header="0.51181102362204722" footer="0.51181102362204722"/>
  <pageSetup paperSize="9" scale="5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N16"/>
  <sheetViews>
    <sheetView showGridLines="0" view="pageBreakPreview" topLeftCell="H1" zoomScale="50" zoomScaleNormal="100" zoomScaleSheetLayoutView="50" workbookViewId="0"/>
  </sheetViews>
  <sheetFormatPr defaultRowHeight="12.75" x14ac:dyDescent="0.2"/>
  <cols>
    <col min="1" max="1" width="17.85546875" bestFit="1" customWidth="1"/>
    <col min="2" max="3" width="12" bestFit="1" customWidth="1"/>
  </cols>
  <sheetData>
    <row r="1" spans="1:14" ht="108.75" customHeight="1" x14ac:dyDescent="0.2"/>
    <row r="2" spans="1:14" ht="13.5" customHeight="1" x14ac:dyDescent="0.2">
      <c r="A2" s="56" t="s">
        <v>6</v>
      </c>
      <c r="B2" s="56" t="s">
        <v>28</v>
      </c>
      <c r="C2" s="56" t="s">
        <v>29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50"/>
    </row>
    <row r="3" spans="1:14" x14ac:dyDescent="0.2">
      <c r="A3" s="57">
        <v>44562</v>
      </c>
      <c r="B3" s="58">
        <f>'Custo NC '!B3</f>
        <v>450</v>
      </c>
      <c r="C3" s="58">
        <f>'Custo NC '!C3</f>
        <v>4372.38</v>
      </c>
      <c r="N3" s="52"/>
    </row>
    <row r="4" spans="1:14" x14ac:dyDescent="0.2">
      <c r="A4" s="57">
        <v>44593</v>
      </c>
      <c r="B4" s="58">
        <f>'Custo NC '!C4</f>
        <v>3533.76</v>
      </c>
      <c r="C4" s="58" t="e">
        <f>'Custo NC '!#REF!</f>
        <v>#REF!</v>
      </c>
      <c r="N4" s="52"/>
    </row>
    <row r="5" spans="1:14" x14ac:dyDescent="0.2">
      <c r="A5" s="57">
        <v>44621</v>
      </c>
      <c r="B5" s="58">
        <f>'Custo NC '!B5</f>
        <v>200</v>
      </c>
      <c r="C5" s="58">
        <f>'Custo NC '!C5</f>
        <v>2297.4999999999995</v>
      </c>
      <c r="N5" s="52"/>
    </row>
    <row r="6" spans="1:14" x14ac:dyDescent="0.2">
      <c r="A6" s="57">
        <v>44652</v>
      </c>
      <c r="B6" s="58">
        <f>'Custo NC '!B6</f>
        <v>600</v>
      </c>
      <c r="C6" s="58">
        <f>'Custo NC '!C6</f>
        <v>1920.0100000000002</v>
      </c>
      <c r="N6" s="52"/>
    </row>
    <row r="7" spans="1:14" x14ac:dyDescent="0.2">
      <c r="A7" s="57">
        <v>44682</v>
      </c>
      <c r="B7" s="58">
        <f>'Custo NC '!B7</f>
        <v>400</v>
      </c>
      <c r="C7" s="58">
        <f>'Custo NC '!C7</f>
        <v>1473.72</v>
      </c>
      <c r="N7" s="52"/>
    </row>
    <row r="8" spans="1:14" x14ac:dyDescent="0.2">
      <c r="A8" s="57">
        <v>44713</v>
      </c>
      <c r="B8" s="58">
        <f>'Custo NC '!B8</f>
        <v>800</v>
      </c>
      <c r="C8" s="58">
        <f>'Custo NC '!C8</f>
        <v>6333.52</v>
      </c>
      <c r="N8" s="52"/>
    </row>
    <row r="9" spans="1:14" x14ac:dyDescent="0.2">
      <c r="A9" s="57">
        <v>44743</v>
      </c>
      <c r="B9" s="58">
        <f>'Custo NC '!B9</f>
        <v>600</v>
      </c>
      <c r="C9" s="58">
        <f>'Custo NC '!C9</f>
        <v>2159.14</v>
      </c>
      <c r="N9" s="52"/>
    </row>
    <row r="10" spans="1:14" x14ac:dyDescent="0.2">
      <c r="A10" s="57">
        <v>44774</v>
      </c>
      <c r="B10" s="58">
        <f>'Custo NC '!B10</f>
        <v>200</v>
      </c>
      <c r="C10" s="58">
        <f>'Custo NC '!C10</f>
        <v>3533.7599999999998</v>
      </c>
      <c r="N10" s="52"/>
    </row>
    <row r="11" spans="1:14" x14ac:dyDescent="0.2">
      <c r="A11" s="57">
        <v>44805</v>
      </c>
      <c r="B11" s="58">
        <f>'Custo NC '!B11</f>
        <v>200</v>
      </c>
      <c r="C11" s="58">
        <f>'Custo NC '!C11</f>
        <v>1717.5300000000002</v>
      </c>
      <c r="N11" s="52"/>
    </row>
    <row r="12" spans="1:14" x14ac:dyDescent="0.2">
      <c r="A12" s="57">
        <v>44835</v>
      </c>
      <c r="B12" s="58">
        <f>'Custo NC '!B12</f>
        <v>400</v>
      </c>
      <c r="C12" s="58">
        <f>'Custo NC '!C12</f>
        <v>8452.3230000000003</v>
      </c>
      <c r="N12" s="52"/>
    </row>
    <row r="13" spans="1:14" x14ac:dyDescent="0.2">
      <c r="A13" s="57">
        <v>44866</v>
      </c>
      <c r="B13" s="58">
        <f>'Custo NC '!B13</f>
        <v>0</v>
      </c>
      <c r="C13" s="58">
        <f>'Custo NC '!C13</f>
        <v>0</v>
      </c>
      <c r="N13" s="52"/>
    </row>
    <row r="14" spans="1:14" x14ac:dyDescent="0.2">
      <c r="A14" s="57">
        <v>44896</v>
      </c>
      <c r="B14" s="58">
        <f>'Custo NC '!B14</f>
        <v>0</v>
      </c>
      <c r="C14" s="58">
        <f>'Custo NC '!C14</f>
        <v>0</v>
      </c>
      <c r="N14" s="52"/>
    </row>
    <row r="15" spans="1:14" x14ac:dyDescent="0.2">
      <c r="A15" s="59" t="s">
        <v>0</v>
      </c>
      <c r="B15" s="58">
        <f>'Custo NC '!B15</f>
        <v>4400</v>
      </c>
      <c r="C15" s="58">
        <f>'Custo NC '!C15</f>
        <v>35793.642999999996</v>
      </c>
      <c r="N15" s="52"/>
    </row>
    <row r="16" spans="1:14" x14ac:dyDescent="0.2">
      <c r="A16" s="60" t="s">
        <v>27</v>
      </c>
      <c r="B16" s="61">
        <f>SUM(B15:C15)</f>
        <v>40193.642999999996</v>
      </c>
      <c r="C16" s="62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5"/>
    </row>
  </sheetData>
  <pageMargins left="0.511811024" right="0.511811024" top="0.78740157499999996" bottom="0.78740157499999996" header="0.31496062000000002" footer="0.31496062000000002"/>
  <pageSetup paperSize="9" scale="2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AF48"/>
  <sheetViews>
    <sheetView showGridLines="0" tabSelected="1" zoomScale="70" zoomScaleNormal="70" zoomScaleSheetLayoutView="70" workbookViewId="0">
      <selection activeCell="B14" sqref="B14"/>
    </sheetView>
  </sheetViews>
  <sheetFormatPr defaultColWidth="14.85546875" defaultRowHeight="12.75" x14ac:dyDescent="0.2"/>
  <cols>
    <col min="1" max="1" width="20" style="6" bestFit="1" customWidth="1"/>
    <col min="2" max="2" width="29.140625" style="6" bestFit="1" customWidth="1"/>
    <col min="3" max="3" width="20.28515625" style="6" customWidth="1"/>
    <col min="4" max="4" width="27.5703125" style="6" bestFit="1" customWidth="1"/>
    <col min="5" max="5" width="29.5703125" style="6" bestFit="1" customWidth="1"/>
    <col min="6" max="6" width="14" style="2" customWidth="1"/>
    <col min="7" max="7" width="12.28515625" style="7" customWidth="1"/>
    <col min="8" max="10" width="12.28515625" style="2" customWidth="1"/>
    <col min="11" max="11" width="13.5703125" style="2" customWidth="1"/>
    <col min="12" max="15" width="12.28515625" style="2" customWidth="1"/>
    <col min="16" max="16" width="11.28515625" style="3" customWidth="1"/>
    <col min="17" max="17" width="1.140625" style="2" customWidth="1"/>
    <col min="18" max="18" width="12.28515625" style="2" customWidth="1"/>
    <col min="19" max="19" width="3.140625" style="2" customWidth="1"/>
    <col min="20" max="20" width="12.28515625" style="2" customWidth="1"/>
    <col min="21" max="21" width="12.85546875" style="3" customWidth="1"/>
    <col min="22" max="22" width="13.140625" style="2" bestFit="1" customWidth="1"/>
    <col min="23" max="23" width="11.7109375" style="4" customWidth="1"/>
    <col min="24" max="24" width="14.5703125" style="4" bestFit="1" customWidth="1"/>
    <col min="25" max="25" width="12.7109375" style="3" customWidth="1"/>
    <col min="26" max="26" width="16.42578125" style="3" bestFit="1" customWidth="1"/>
    <col min="27" max="27" width="15.28515625" style="3" customWidth="1"/>
    <col min="28" max="28" width="15.28515625" style="4" customWidth="1"/>
    <col min="29" max="31" width="15.28515625" style="3" customWidth="1"/>
    <col min="32" max="32" width="15" style="3" customWidth="1"/>
    <col min="33" max="16384" width="14.85546875" style="4"/>
  </cols>
  <sheetData>
    <row r="1" spans="1:27" ht="108.75" customHeight="1" x14ac:dyDescent="0.2"/>
    <row r="2" spans="1:27" ht="26.25" x14ac:dyDescent="0.2">
      <c r="A2" s="195" t="s">
        <v>24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</row>
    <row r="3" spans="1:27" ht="36" x14ac:dyDescent="0.2">
      <c r="A3" s="67" t="s">
        <v>6</v>
      </c>
      <c r="B3" s="70" t="s">
        <v>23</v>
      </c>
      <c r="C3" s="184" t="s">
        <v>11</v>
      </c>
      <c r="D3" s="184" t="s">
        <v>10</v>
      </c>
      <c r="E3" s="70" t="s">
        <v>22</v>
      </c>
      <c r="F3" s="4"/>
      <c r="G3" s="4"/>
      <c r="H3" s="4"/>
      <c r="I3" s="4"/>
      <c r="J3" s="4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90"/>
    </row>
    <row r="4" spans="1:27" ht="18" x14ac:dyDescent="0.25">
      <c r="A4" s="68">
        <v>45292</v>
      </c>
      <c r="B4" s="101">
        <f>470.5+192.5</f>
        <v>663</v>
      </c>
      <c r="C4" s="183">
        <v>2.5000000000000001E-3</v>
      </c>
      <c r="D4" s="149">
        <f>DADOS!C3</f>
        <v>1320072.98</v>
      </c>
      <c r="E4" s="148">
        <f>0.0025*D4</f>
        <v>3300.1824500000002</v>
      </c>
      <c r="F4" s="1"/>
      <c r="G4" s="4"/>
      <c r="H4" s="4"/>
      <c r="I4" s="4"/>
      <c r="J4" s="4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2"/>
    </row>
    <row r="5" spans="1:27" ht="18" x14ac:dyDescent="0.25">
      <c r="A5" s="68">
        <v>45323</v>
      </c>
      <c r="B5" s="101">
        <f>253.76+596</f>
        <v>849.76</v>
      </c>
      <c r="C5" s="183">
        <v>2.5000000000000001E-3</v>
      </c>
      <c r="D5" s="149">
        <f>DADOS!C4</f>
        <v>856599.78</v>
      </c>
      <c r="E5" s="148">
        <f t="shared" ref="E5:E16" si="0">0.0025*D5</f>
        <v>2141.4994500000003</v>
      </c>
      <c r="F5" s="1"/>
      <c r="G5" s="4"/>
      <c r="H5" s="4"/>
      <c r="I5" s="4"/>
      <c r="J5" s="4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2"/>
    </row>
    <row r="6" spans="1:27" ht="18" x14ac:dyDescent="0.25">
      <c r="A6" s="68">
        <v>45352</v>
      </c>
      <c r="B6" s="101">
        <f>933.05+135.58+312.2</f>
        <v>1380.83</v>
      </c>
      <c r="C6" s="183">
        <v>2.5000000000000001E-3</v>
      </c>
      <c r="D6" s="149">
        <f>DADOS!C5</f>
        <v>849723.17</v>
      </c>
      <c r="E6" s="148">
        <f t="shared" si="0"/>
        <v>2124.3079250000001</v>
      </c>
      <c r="F6" s="1"/>
      <c r="G6" s="14"/>
      <c r="H6" s="4"/>
      <c r="I6" s="4"/>
      <c r="J6" s="4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2"/>
    </row>
    <row r="7" spans="1:27" ht="18" x14ac:dyDescent="0.25">
      <c r="A7" s="68">
        <v>45383</v>
      </c>
      <c r="B7" s="101">
        <f>356.61+356.61</f>
        <v>713.22</v>
      </c>
      <c r="C7" s="183">
        <v>2.5000000000000001E-3</v>
      </c>
      <c r="D7" s="149">
        <f>DADOS!C6</f>
        <v>542700.38</v>
      </c>
      <c r="E7" s="148">
        <f t="shared" si="0"/>
        <v>1356.7509500000001</v>
      </c>
      <c r="F7" s="1"/>
      <c r="G7" s="4"/>
      <c r="H7" s="4"/>
      <c r="I7" s="4"/>
      <c r="J7" s="4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2"/>
    </row>
    <row r="8" spans="1:27" ht="18" x14ac:dyDescent="0.25">
      <c r="A8" s="68">
        <v>45413</v>
      </c>
      <c r="B8" s="101">
        <f>452.33</f>
        <v>452.33</v>
      </c>
      <c r="C8" s="183">
        <v>2.5000000000000001E-3</v>
      </c>
      <c r="D8" s="149">
        <f>DADOS!C7</f>
        <v>1479354.77</v>
      </c>
      <c r="E8" s="148">
        <f t="shared" si="0"/>
        <v>3698.3869250000002</v>
      </c>
      <c r="F8" s="1"/>
      <c r="G8" s="4"/>
      <c r="H8" s="4"/>
      <c r="I8" s="4"/>
      <c r="J8" s="4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2"/>
    </row>
    <row r="9" spans="1:27" ht="18" x14ac:dyDescent="0.25">
      <c r="A9" s="68">
        <v>45444</v>
      </c>
      <c r="B9" s="101">
        <f>1062</f>
        <v>1062</v>
      </c>
      <c r="C9" s="183">
        <v>2.5000000000000001E-3</v>
      </c>
      <c r="D9" s="149">
        <f>DADOS!C8</f>
        <v>1472558.7</v>
      </c>
      <c r="E9" s="148">
        <f t="shared" si="0"/>
        <v>3681.3967499999999</v>
      </c>
      <c r="F9" s="1"/>
      <c r="G9" s="4"/>
      <c r="H9" s="4"/>
      <c r="I9" s="4"/>
      <c r="J9" s="4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2"/>
    </row>
    <row r="10" spans="1:27" ht="18" x14ac:dyDescent="0.25">
      <c r="A10" s="68">
        <v>45474</v>
      </c>
      <c r="B10" s="101">
        <f>25.9+262.84</f>
        <v>288.73999999999995</v>
      </c>
      <c r="C10" s="183">
        <v>2.5000000000000001E-3</v>
      </c>
      <c r="D10" s="149">
        <f>DADOS!C9</f>
        <v>1456170.2</v>
      </c>
      <c r="E10" s="148">
        <f t="shared" si="0"/>
        <v>3640.4254999999998</v>
      </c>
      <c r="F10" s="4"/>
      <c r="G10" s="4"/>
      <c r="H10" s="4"/>
      <c r="I10" s="4"/>
      <c r="J10" s="4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2"/>
    </row>
    <row r="11" spans="1:27" ht="18" x14ac:dyDescent="0.25">
      <c r="A11" s="68">
        <v>45505</v>
      </c>
      <c r="B11" s="101">
        <f>1268.77</f>
        <v>1268.77</v>
      </c>
      <c r="C11" s="183">
        <v>2.5000000000000001E-3</v>
      </c>
      <c r="D11" s="149">
        <f>DADOS!C10</f>
        <v>1036832.16</v>
      </c>
      <c r="E11" s="148">
        <f t="shared" si="0"/>
        <v>2592.0804000000003</v>
      </c>
      <c r="F11" s="4"/>
      <c r="G11" s="4"/>
      <c r="H11" s="4"/>
      <c r="I11" s="4"/>
      <c r="J11" s="4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2"/>
    </row>
    <row r="12" spans="1:27" ht="18" x14ac:dyDescent="0.25">
      <c r="A12" s="68">
        <v>45536</v>
      </c>
      <c r="B12" s="101">
        <f>320.88</f>
        <v>320.88</v>
      </c>
      <c r="C12" s="183">
        <v>2.5000000000000001E-3</v>
      </c>
      <c r="D12" s="149">
        <f>DADOS!C11</f>
        <v>736330.89</v>
      </c>
      <c r="E12" s="148">
        <f t="shared" si="0"/>
        <v>1840.827225</v>
      </c>
      <c r="F12" s="4"/>
      <c r="G12" s="4"/>
      <c r="H12" s="4"/>
      <c r="I12" s="4"/>
      <c r="J12" s="4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2"/>
    </row>
    <row r="13" spans="1:27" ht="18" x14ac:dyDescent="0.25">
      <c r="A13" s="68">
        <v>45566</v>
      </c>
      <c r="B13" s="101">
        <f>300+469.16+653.08+53.95+2578+49.56+263.2+36.66</f>
        <v>4403.6100000000006</v>
      </c>
      <c r="C13" s="183">
        <v>2.5000000000000001E-3</v>
      </c>
      <c r="D13" s="149">
        <f>DADOS!C12</f>
        <v>1372264.76</v>
      </c>
      <c r="E13" s="148">
        <f t="shared" si="0"/>
        <v>3430.6619000000001</v>
      </c>
      <c r="F13" s="4"/>
      <c r="G13" s="4"/>
      <c r="H13" s="4"/>
      <c r="I13" s="4"/>
      <c r="J13" s="4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2"/>
    </row>
    <row r="14" spans="1:27" ht="18" x14ac:dyDescent="0.25">
      <c r="A14" s="68">
        <v>45597</v>
      </c>
      <c r="B14" s="101"/>
      <c r="C14" s="183">
        <v>2.5000000000000001E-3</v>
      </c>
      <c r="D14" s="149">
        <f>DADOS!C13</f>
        <v>0</v>
      </c>
      <c r="E14" s="148">
        <f t="shared" si="0"/>
        <v>0</v>
      </c>
      <c r="F14" s="4"/>
      <c r="G14" s="4"/>
      <c r="H14" s="4"/>
      <c r="I14" s="4"/>
      <c r="J14" s="4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2"/>
    </row>
    <row r="15" spans="1:27" ht="18" x14ac:dyDescent="0.25">
      <c r="A15" s="68">
        <v>45627</v>
      </c>
      <c r="B15" s="101"/>
      <c r="C15" s="183">
        <v>2.5000000000000001E-3</v>
      </c>
      <c r="D15" s="149">
        <f>DADOS!C14</f>
        <v>0</v>
      </c>
      <c r="E15" s="148">
        <f t="shared" si="0"/>
        <v>0</v>
      </c>
      <c r="F15" s="4"/>
      <c r="G15" s="4"/>
      <c r="H15" s="4"/>
      <c r="I15" s="4"/>
      <c r="J15" s="4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2"/>
    </row>
    <row r="16" spans="1:27" ht="18" x14ac:dyDescent="0.25">
      <c r="A16" s="69" t="s">
        <v>21</v>
      </c>
      <c r="B16" s="101">
        <f>SUM(B4:B15)</f>
        <v>11403.14</v>
      </c>
      <c r="C16" s="150"/>
      <c r="D16" s="149">
        <f>DADOS!C15</f>
        <v>0</v>
      </c>
      <c r="E16" s="148">
        <f t="shared" si="0"/>
        <v>0</v>
      </c>
      <c r="F16" s="4"/>
      <c r="G16" s="4"/>
      <c r="H16" s="4"/>
      <c r="I16" s="4"/>
      <c r="J16" s="4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2"/>
    </row>
    <row r="17" spans="1:32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2"/>
    </row>
    <row r="18" spans="1:32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2"/>
    </row>
    <row r="19" spans="1:32" s="2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2"/>
      <c r="AB19" s="4"/>
      <c r="AC19" s="3"/>
      <c r="AD19" s="3"/>
      <c r="AE19" s="3"/>
      <c r="AF19" s="3"/>
    </row>
    <row r="20" spans="1:32" s="2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2"/>
      <c r="AB20" s="4"/>
      <c r="AC20" s="3"/>
      <c r="AD20" s="3"/>
      <c r="AE20" s="3"/>
      <c r="AF20" s="3"/>
    </row>
    <row r="21" spans="1:32" s="2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2"/>
      <c r="AB21" s="4"/>
      <c r="AC21" s="3"/>
      <c r="AD21" s="3"/>
      <c r="AE21" s="3"/>
      <c r="AF21" s="3"/>
    </row>
    <row r="22" spans="1:32" s="2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2"/>
      <c r="AB22" s="4"/>
      <c r="AC22" s="3"/>
      <c r="AD22" s="3"/>
      <c r="AE22" s="3"/>
      <c r="AF22" s="3"/>
    </row>
    <row r="23" spans="1:32" s="2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2"/>
      <c r="AB23" s="4"/>
      <c r="AC23" s="3"/>
      <c r="AD23" s="3"/>
      <c r="AE23" s="3"/>
      <c r="AF23" s="3"/>
    </row>
    <row r="24" spans="1:32" s="2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2"/>
      <c r="AB24" s="4"/>
      <c r="AC24" s="3"/>
      <c r="AD24" s="3"/>
      <c r="AE24" s="3"/>
      <c r="AF24" s="3"/>
    </row>
    <row r="25" spans="1:32" s="2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2"/>
      <c r="AB25" s="4"/>
      <c r="AC25" s="3"/>
      <c r="AD25" s="3"/>
      <c r="AE25" s="3"/>
      <c r="AF25" s="3"/>
    </row>
    <row r="26" spans="1:32" s="2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2"/>
      <c r="AB26" s="4"/>
      <c r="AC26" s="3"/>
      <c r="AD26" s="3"/>
      <c r="AE26" s="3"/>
      <c r="AF26" s="3"/>
    </row>
    <row r="27" spans="1:32" s="2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2"/>
      <c r="AB27" s="4"/>
      <c r="AC27" s="3"/>
      <c r="AD27" s="3"/>
      <c r="AE27" s="3"/>
      <c r="AF27" s="3"/>
    </row>
    <row r="28" spans="1:32" s="2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2"/>
      <c r="AB28" s="4"/>
      <c r="AC28" s="3"/>
      <c r="AD28" s="3"/>
      <c r="AE28" s="3"/>
      <c r="AF28" s="3"/>
    </row>
    <row r="29" spans="1:32" s="2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2"/>
      <c r="AB29" s="4"/>
      <c r="AC29" s="3"/>
      <c r="AD29" s="3"/>
      <c r="AE29" s="3"/>
      <c r="AF29" s="3"/>
    </row>
    <row r="30" spans="1:32" s="2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2"/>
      <c r="AB30" s="4"/>
      <c r="AC30" s="3"/>
      <c r="AD30" s="3"/>
      <c r="AE30" s="3"/>
      <c r="AF30" s="3"/>
    </row>
    <row r="31" spans="1:32" s="2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2"/>
      <c r="AB31" s="4"/>
      <c r="AC31" s="3"/>
      <c r="AD31" s="3"/>
      <c r="AE31" s="3"/>
      <c r="AF31" s="3"/>
    </row>
    <row r="32" spans="1:32" s="2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2"/>
      <c r="AB32" s="4"/>
      <c r="AC32" s="3"/>
      <c r="AD32" s="3"/>
      <c r="AE32" s="3"/>
      <c r="AF32" s="3"/>
    </row>
    <row r="33" spans="1:32" s="2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2"/>
      <c r="AB33" s="4"/>
      <c r="AC33" s="3"/>
      <c r="AD33" s="3"/>
      <c r="AE33" s="3"/>
      <c r="AF33" s="3"/>
    </row>
    <row r="34" spans="1:32" s="2" customForma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2"/>
      <c r="AB34" s="4"/>
      <c r="AC34" s="3"/>
      <c r="AD34" s="3"/>
      <c r="AE34" s="3"/>
      <c r="AF34" s="3"/>
    </row>
    <row r="35" spans="1:32" s="2" customForma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2"/>
      <c r="AB35" s="4"/>
      <c r="AC35" s="3"/>
      <c r="AD35" s="3"/>
      <c r="AE35" s="3"/>
      <c r="AF35" s="3"/>
    </row>
    <row r="36" spans="1:32" s="2" customForma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2"/>
      <c r="AB36" s="4"/>
      <c r="AC36" s="3"/>
      <c r="AD36" s="3"/>
      <c r="AE36" s="3"/>
      <c r="AF36" s="3"/>
    </row>
    <row r="37" spans="1:32" s="2" customForma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2"/>
      <c r="AB37" s="4"/>
      <c r="AC37" s="3"/>
      <c r="AD37" s="3"/>
      <c r="AE37" s="3"/>
      <c r="AF37" s="3"/>
    </row>
    <row r="38" spans="1:32" s="2" customForma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2"/>
      <c r="AB38" s="4"/>
      <c r="AC38" s="3"/>
      <c r="AD38" s="3"/>
      <c r="AE38" s="3"/>
      <c r="AF38" s="3"/>
    </row>
    <row r="39" spans="1:32" s="2" customForma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2"/>
      <c r="AB39" s="4"/>
      <c r="AC39" s="3"/>
      <c r="AD39" s="3"/>
      <c r="AE39" s="3"/>
      <c r="AF39" s="3"/>
    </row>
    <row r="40" spans="1:32" s="2" customForma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2"/>
      <c r="AB40" s="4"/>
      <c r="AC40" s="3"/>
      <c r="AD40" s="3"/>
      <c r="AE40" s="3"/>
      <c r="AF40" s="3"/>
    </row>
    <row r="41" spans="1:32" s="2" customForma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2"/>
      <c r="AB41" s="4"/>
      <c r="AC41" s="3"/>
      <c r="AD41" s="3"/>
      <c r="AE41" s="3"/>
      <c r="AF41" s="3"/>
    </row>
    <row r="42" spans="1:32" s="2" customForma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2"/>
      <c r="AB42" s="4"/>
      <c r="AC42" s="3"/>
      <c r="AD42" s="3"/>
      <c r="AE42" s="3"/>
      <c r="AF42" s="3"/>
    </row>
    <row r="43" spans="1:32" s="2" customForma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2"/>
      <c r="AB43" s="4"/>
      <c r="AC43" s="3"/>
      <c r="AD43" s="3"/>
      <c r="AE43" s="3"/>
      <c r="AF43" s="3"/>
    </row>
    <row r="44" spans="1:32" s="2" customForma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2"/>
      <c r="AB44" s="4"/>
      <c r="AC44" s="3"/>
      <c r="AD44" s="3"/>
      <c r="AE44" s="3"/>
      <c r="AF44" s="3"/>
    </row>
    <row r="45" spans="1:32" s="2" customForma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2"/>
      <c r="AB45" s="4"/>
      <c r="AC45" s="3"/>
      <c r="AD45" s="3"/>
      <c r="AE45" s="3"/>
      <c r="AF45" s="3"/>
    </row>
    <row r="46" spans="1:32" s="2" customForma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2"/>
      <c r="AB46" s="4"/>
      <c r="AC46" s="3"/>
      <c r="AD46" s="3"/>
      <c r="AE46" s="3"/>
      <c r="AF46" s="3"/>
    </row>
    <row r="47" spans="1:32" s="2" customForma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4"/>
      <c r="AB47" s="4"/>
      <c r="AC47" s="3"/>
      <c r="AD47" s="3"/>
      <c r="AE47" s="3"/>
      <c r="AF47" s="3"/>
    </row>
    <row r="48" spans="1:32" s="2" customForma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4"/>
      <c r="L48" s="24"/>
      <c r="M48" s="24"/>
      <c r="N48" s="24"/>
      <c r="O48" s="24"/>
      <c r="P48" s="3"/>
      <c r="U48" s="3"/>
      <c r="W48" s="4"/>
      <c r="X48" s="4"/>
      <c r="Y48" s="3"/>
      <c r="Z48" s="3"/>
      <c r="AA48" s="3"/>
      <c r="AB48" s="4"/>
      <c r="AC48" s="3"/>
      <c r="AD48" s="3"/>
      <c r="AE48" s="3"/>
      <c r="AF48" s="3"/>
    </row>
  </sheetData>
  <sheetProtection formatCells="0" formatColumns="0" formatRows="0" insertColumns="0" insertRows="0" insertHyperlinks="0" deleteColumns="0" deleteRows="0" sort="0" autoFilter="0" pivotTables="0"/>
  <mergeCells count="2">
    <mergeCell ref="P3:AA47"/>
    <mergeCell ref="A2:AA2"/>
  </mergeCells>
  <printOptions horizontalCentered="1" verticalCentered="1"/>
  <pageMargins left="0.95" right="0.74" top="0.96" bottom="1.02" header="0.81" footer="1.36"/>
  <pageSetup paperSize="9" scale="6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>
    <tabColor theme="4" tint="0.39997558519241921"/>
  </sheetPr>
  <dimension ref="A1:AF48"/>
  <sheetViews>
    <sheetView showGridLines="0" topLeftCell="A10" zoomScale="70" zoomScaleNormal="70" zoomScaleSheetLayoutView="70" workbookViewId="0">
      <selection activeCell="B14" sqref="B14"/>
    </sheetView>
  </sheetViews>
  <sheetFormatPr defaultColWidth="14.85546875" defaultRowHeight="12.75" x14ac:dyDescent="0.2"/>
  <cols>
    <col min="1" max="1" width="20" style="6" bestFit="1" customWidth="1"/>
    <col min="2" max="2" width="29.140625" style="6" bestFit="1" customWidth="1"/>
    <col min="3" max="3" width="20.28515625" style="6" customWidth="1"/>
    <col min="4" max="4" width="23.85546875" style="6" bestFit="1" customWidth="1"/>
    <col min="5" max="5" width="22.42578125" style="6" customWidth="1"/>
    <col min="6" max="6" width="14" style="2" customWidth="1"/>
    <col min="7" max="7" width="12.28515625" style="7" customWidth="1"/>
    <col min="8" max="10" width="12.28515625" style="2" customWidth="1"/>
    <col min="11" max="11" width="13.5703125" style="2" customWidth="1"/>
    <col min="12" max="15" width="12.28515625" style="2" customWidth="1"/>
    <col min="16" max="16" width="19.7109375" style="3" customWidth="1"/>
    <col min="17" max="17" width="1.140625" style="2" customWidth="1"/>
    <col min="18" max="18" width="12.28515625" style="2" customWidth="1"/>
    <col min="19" max="19" width="3.140625" style="2" customWidth="1"/>
    <col min="20" max="20" width="12.28515625" style="2" customWidth="1"/>
    <col min="21" max="21" width="12.85546875" style="3" customWidth="1"/>
    <col min="22" max="22" width="13.140625" style="2" bestFit="1" customWidth="1"/>
    <col min="23" max="23" width="11.7109375" style="4" customWidth="1"/>
    <col min="24" max="24" width="14.5703125" style="4" bestFit="1" customWidth="1"/>
    <col min="25" max="25" width="12.7109375" style="3" customWidth="1"/>
    <col min="26" max="26" width="21.85546875" style="3" customWidth="1"/>
    <col min="27" max="27" width="15.28515625" style="3" customWidth="1"/>
    <col min="28" max="28" width="15.28515625" style="4" customWidth="1"/>
    <col min="29" max="31" width="15.28515625" style="3" customWidth="1"/>
    <col min="32" max="32" width="15" style="3" customWidth="1"/>
    <col min="33" max="16384" width="14.85546875" style="4"/>
  </cols>
  <sheetData>
    <row r="1" spans="1:26" ht="114.75" customHeight="1" x14ac:dyDescent="0.2"/>
    <row r="2" spans="1:26" ht="30" customHeight="1" x14ac:dyDescent="0.2">
      <c r="A2" s="196" t="s">
        <v>26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</row>
    <row r="3" spans="1:26" ht="36" x14ac:dyDescent="0.2">
      <c r="A3" s="95" t="s">
        <v>6</v>
      </c>
      <c r="B3" s="95" t="s">
        <v>23</v>
      </c>
      <c r="C3" s="95" t="s">
        <v>11</v>
      </c>
      <c r="D3" s="97" t="s">
        <v>10</v>
      </c>
      <c r="E3" s="96" t="s">
        <v>22</v>
      </c>
      <c r="F3" s="32"/>
      <c r="G3" s="4"/>
      <c r="H3" s="4"/>
      <c r="I3" s="4"/>
      <c r="J3" s="4"/>
      <c r="Z3" s="138"/>
    </row>
    <row r="4" spans="1:26" ht="18" x14ac:dyDescent="0.25">
      <c r="A4" s="65">
        <v>45292</v>
      </c>
      <c r="B4" s="17">
        <f>2060.75+1543.45+1543.45+500</f>
        <v>5647.65</v>
      </c>
      <c r="C4" s="182">
        <v>5.0000000000000001E-3</v>
      </c>
      <c r="D4" s="98">
        <f>DADOS!C3</f>
        <v>1320072.98</v>
      </c>
      <c r="E4" s="147">
        <f>C4*D4</f>
        <v>6600.3649000000005</v>
      </c>
      <c r="F4" s="90"/>
      <c r="G4" s="4"/>
      <c r="H4" s="4"/>
      <c r="I4" s="4"/>
      <c r="J4" s="4"/>
      <c r="Z4" s="138"/>
    </row>
    <row r="5" spans="1:26" ht="18" x14ac:dyDescent="0.25">
      <c r="A5" s="65">
        <v>45323</v>
      </c>
      <c r="B5" s="17">
        <f>200+150+150+600+792+792</f>
        <v>2684</v>
      </c>
      <c r="C5" s="182">
        <v>5.0000000000000001E-3</v>
      </c>
      <c r="D5" s="98">
        <f>DADOS!C4</f>
        <v>856599.78</v>
      </c>
      <c r="E5" s="147">
        <f t="shared" ref="E5:E15" si="0">C5*D5</f>
        <v>4282.9989000000005</v>
      </c>
      <c r="F5" s="90"/>
      <c r="G5" s="4"/>
      <c r="H5" s="4"/>
      <c r="I5" s="4"/>
      <c r="J5" s="4"/>
      <c r="Z5" s="138"/>
    </row>
    <row r="6" spans="1:26" ht="18" x14ac:dyDescent="0.25">
      <c r="A6" s="65">
        <v>45352</v>
      </c>
      <c r="B6" s="17">
        <f>666.67+250</f>
        <v>916.67</v>
      </c>
      <c r="C6" s="182">
        <v>5.0000000000000001E-3</v>
      </c>
      <c r="D6" s="98">
        <f>DADOS!C5</f>
        <v>849723.17</v>
      </c>
      <c r="E6" s="147">
        <f t="shared" si="0"/>
        <v>4248.6158500000001</v>
      </c>
      <c r="F6" s="90"/>
      <c r="G6" s="4"/>
      <c r="H6" s="4"/>
      <c r="I6" s="4"/>
      <c r="J6" s="4"/>
      <c r="Z6" s="138"/>
    </row>
    <row r="7" spans="1:26" ht="18" x14ac:dyDescent="0.25">
      <c r="A7" s="65">
        <v>45383</v>
      </c>
      <c r="B7" s="17">
        <f>453.61+271.43</f>
        <v>725.04</v>
      </c>
      <c r="C7" s="182">
        <v>5.0000000000000001E-3</v>
      </c>
      <c r="D7" s="98">
        <f>DADOS!C6</f>
        <v>542700.38</v>
      </c>
      <c r="E7" s="147">
        <f>C7*D7</f>
        <v>2713.5019000000002</v>
      </c>
      <c r="F7" s="90"/>
      <c r="G7" s="4"/>
      <c r="H7" s="4"/>
      <c r="I7" s="4"/>
      <c r="J7" s="4"/>
      <c r="Z7" s="138"/>
    </row>
    <row r="8" spans="1:26" ht="18" x14ac:dyDescent="0.25">
      <c r="A8" s="65">
        <v>45413</v>
      </c>
      <c r="B8" s="17">
        <f>384+360+397.39+120+120</f>
        <v>1381.3899999999999</v>
      </c>
      <c r="C8" s="182">
        <v>5.0000000000000001E-3</v>
      </c>
      <c r="D8" s="98">
        <f>DADOS!C7</f>
        <v>1479354.77</v>
      </c>
      <c r="E8" s="147">
        <f t="shared" si="0"/>
        <v>7396.7738500000005</v>
      </c>
      <c r="F8" s="90"/>
      <c r="G8" s="4"/>
      <c r="H8" s="4"/>
      <c r="I8" s="4"/>
      <c r="J8" s="4"/>
      <c r="Z8" s="138"/>
    </row>
    <row r="9" spans="1:26" ht="18" x14ac:dyDescent="0.25">
      <c r="A9" s="65">
        <v>45444</v>
      </c>
      <c r="B9" s="17">
        <f>540+151.52+50+4530</f>
        <v>5271.52</v>
      </c>
      <c r="C9" s="182">
        <v>5.0000000000000001E-3</v>
      </c>
      <c r="D9" s="98">
        <f>DADOS!C8</f>
        <v>1472558.7</v>
      </c>
      <c r="E9" s="147">
        <f t="shared" si="0"/>
        <v>7362.7934999999998</v>
      </c>
      <c r="F9" s="90"/>
      <c r="G9" s="4"/>
      <c r="H9" s="4"/>
      <c r="I9" s="4"/>
      <c r="J9" s="4"/>
      <c r="Z9" s="138"/>
    </row>
    <row r="10" spans="1:26" ht="18" x14ac:dyDescent="0.25">
      <c r="A10" s="65">
        <v>45474</v>
      </c>
      <c r="B10" s="17">
        <f>100+195.4</f>
        <v>295.39999999999998</v>
      </c>
      <c r="C10" s="182">
        <v>5.0000000000000001E-3</v>
      </c>
      <c r="D10" s="98">
        <f>DADOS!C9</f>
        <v>1456170.2</v>
      </c>
      <c r="E10" s="147">
        <f t="shared" si="0"/>
        <v>7280.8509999999997</v>
      </c>
      <c r="F10" s="32"/>
      <c r="G10" s="4"/>
      <c r="H10" s="4"/>
      <c r="I10" s="4"/>
      <c r="J10" s="4"/>
      <c r="Z10" s="138"/>
    </row>
    <row r="11" spans="1:26" ht="18" x14ac:dyDescent="0.25">
      <c r="A11" s="65">
        <v>45505</v>
      </c>
      <c r="B11" s="17">
        <f>8.33+1650+406.66+200</f>
        <v>2264.9899999999998</v>
      </c>
      <c r="C11" s="182">
        <v>5.0000000000000001E-3</v>
      </c>
      <c r="D11" s="99">
        <f>DADOS!C10</f>
        <v>1036832.16</v>
      </c>
      <c r="E11" s="147">
        <f t="shared" si="0"/>
        <v>5184.1608000000006</v>
      </c>
      <c r="F11" s="32"/>
      <c r="G11" s="4"/>
      <c r="H11" s="4"/>
      <c r="I11" s="4"/>
      <c r="J11" s="4"/>
      <c r="Z11" s="138"/>
    </row>
    <row r="12" spans="1:26" ht="18" x14ac:dyDescent="0.25">
      <c r="A12" s="65">
        <v>45536</v>
      </c>
      <c r="B12" s="17">
        <f>235+500+13.33+371.66+276.66</f>
        <v>1396.65</v>
      </c>
      <c r="C12" s="182">
        <v>5.0000000000000001E-3</v>
      </c>
      <c r="D12" s="99">
        <f>DADOS!C11</f>
        <v>736330.89</v>
      </c>
      <c r="E12" s="147">
        <f t="shared" si="0"/>
        <v>3681.65445</v>
      </c>
      <c r="F12" s="32"/>
      <c r="G12" s="4"/>
      <c r="H12" s="4"/>
      <c r="I12" s="4"/>
      <c r="J12" s="4"/>
      <c r="Z12" s="138"/>
    </row>
    <row r="13" spans="1:26" ht="18" x14ac:dyDescent="0.25">
      <c r="A13" s="65">
        <v>45566</v>
      </c>
      <c r="B13" s="17">
        <f>300+100+196.66+2703.33+38.73+66.66+150+50+210+133.33+0+0+0+0+50+50</f>
        <v>4048.7099999999996</v>
      </c>
      <c r="C13" s="182">
        <v>5.0000000000000001E-3</v>
      </c>
      <c r="D13" s="99">
        <f>DADOS!C12</f>
        <v>1372264.76</v>
      </c>
      <c r="E13" s="147">
        <f t="shared" si="0"/>
        <v>6861.3238000000001</v>
      </c>
      <c r="F13" s="32"/>
      <c r="G13" s="4"/>
      <c r="H13" s="4"/>
      <c r="I13" s="4"/>
      <c r="J13" s="4"/>
      <c r="Z13" s="138"/>
    </row>
    <row r="14" spans="1:26" ht="18" x14ac:dyDescent="0.25">
      <c r="A14" s="65">
        <v>45597</v>
      </c>
      <c r="B14" s="17"/>
      <c r="C14" s="182">
        <v>5.0000000000000001E-3</v>
      </c>
      <c r="D14" s="99">
        <f>DADOS!C13</f>
        <v>0</v>
      </c>
      <c r="E14" s="147">
        <f t="shared" si="0"/>
        <v>0</v>
      </c>
      <c r="F14" s="32"/>
      <c r="G14" s="4"/>
      <c r="H14" s="4"/>
      <c r="I14" s="4"/>
      <c r="J14" s="4"/>
      <c r="Z14" s="138"/>
    </row>
    <row r="15" spans="1:26" ht="18" x14ac:dyDescent="0.25">
      <c r="A15" s="65">
        <v>45627</v>
      </c>
      <c r="B15" s="17"/>
      <c r="C15" s="182">
        <v>5.0000000000000001E-3</v>
      </c>
      <c r="D15" s="99">
        <f>DADOS!C14</f>
        <v>0</v>
      </c>
      <c r="E15" s="147">
        <f t="shared" si="0"/>
        <v>0</v>
      </c>
      <c r="F15" s="32"/>
      <c r="G15" s="4"/>
      <c r="H15" s="4"/>
      <c r="I15" s="4"/>
      <c r="J15" s="4"/>
      <c r="Z15" s="138"/>
    </row>
    <row r="16" spans="1:26" ht="18" x14ac:dyDescent="0.25">
      <c r="A16" s="66" t="s">
        <v>21</v>
      </c>
      <c r="B16" s="17">
        <f>SUM(B4:B15)</f>
        <v>24632.020000000004</v>
      </c>
      <c r="C16" s="100"/>
      <c r="D16" s="100"/>
      <c r="E16" s="100"/>
      <c r="F16" s="33"/>
      <c r="G16" s="34"/>
      <c r="H16" s="34"/>
      <c r="I16" s="34"/>
      <c r="J16" s="34"/>
      <c r="K16" s="35"/>
      <c r="L16" s="35"/>
      <c r="M16" s="35"/>
      <c r="N16" s="35"/>
      <c r="O16" s="35"/>
      <c r="P16" s="36"/>
      <c r="Q16" s="35"/>
      <c r="R16" s="35"/>
      <c r="S16" s="35"/>
      <c r="T16" s="35"/>
      <c r="U16" s="36"/>
      <c r="V16" s="35"/>
      <c r="W16" s="34"/>
      <c r="X16" s="34"/>
      <c r="Y16" s="36"/>
      <c r="Z16" s="139"/>
    </row>
    <row r="17" spans="1:26" x14ac:dyDescent="0.2">
      <c r="A17" s="11"/>
      <c r="B17" s="11"/>
      <c r="C17" s="11"/>
      <c r="D17" s="11"/>
      <c r="E17" s="11"/>
      <c r="F17" s="4"/>
      <c r="G17" s="4"/>
      <c r="H17" s="4"/>
      <c r="I17" s="4"/>
      <c r="J17" s="4"/>
      <c r="Z17" s="138"/>
    </row>
    <row r="18" spans="1:26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4"/>
      <c r="L18" s="24"/>
      <c r="M18" s="24"/>
      <c r="N18" s="24"/>
      <c r="O18" s="24"/>
      <c r="P18" s="26"/>
      <c r="Q18" s="24"/>
      <c r="R18" s="24"/>
      <c r="S18" s="24"/>
      <c r="T18" s="24"/>
      <c r="U18" s="26"/>
      <c r="V18" s="24"/>
      <c r="W18" s="25"/>
      <c r="X18" s="25"/>
      <c r="Y18" s="26"/>
      <c r="Z18" s="137"/>
    </row>
    <row r="19" spans="1:26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Z19" s="138"/>
    </row>
    <row r="20" spans="1:26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Z20" s="138"/>
    </row>
    <row r="21" spans="1:26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Z21" s="138"/>
    </row>
    <row r="22" spans="1:26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Z22" s="138"/>
    </row>
    <row r="23" spans="1:26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Z23" s="138"/>
    </row>
    <row r="24" spans="1:26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Z24" s="138"/>
    </row>
    <row r="25" spans="1:26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Z25" s="138"/>
    </row>
    <row r="26" spans="1:26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Z26" s="138"/>
    </row>
    <row r="27" spans="1:26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Z27" s="138"/>
    </row>
    <row r="28" spans="1:26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Z28" s="138"/>
    </row>
    <row r="29" spans="1:26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Z29" s="138"/>
    </row>
    <row r="30" spans="1:26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Z30" s="138"/>
    </row>
    <row r="31" spans="1:26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Z31" s="138"/>
    </row>
    <row r="32" spans="1:26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Z32" s="138"/>
    </row>
    <row r="33" spans="1:2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Z33" s="138"/>
    </row>
    <row r="34" spans="1:26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Z34" s="138"/>
    </row>
    <row r="35" spans="1:2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Z35" s="138"/>
    </row>
    <row r="36" spans="1:26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Z36" s="138"/>
    </row>
    <row r="37" spans="1:26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Z37" s="138"/>
    </row>
    <row r="38" spans="1:26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Z38" s="138"/>
    </row>
    <row r="39" spans="1:26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Z39" s="138"/>
    </row>
    <row r="40" spans="1:26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Z40" s="138"/>
    </row>
    <row r="41" spans="1:2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Z41" s="138"/>
    </row>
    <row r="42" spans="1:26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Z42" s="138"/>
    </row>
    <row r="43" spans="1:26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Z43" s="138"/>
    </row>
    <row r="44" spans="1:26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Z44" s="138"/>
    </row>
    <row r="45" spans="1:26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Z45" s="138"/>
    </row>
    <row r="46" spans="1:26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47"/>
    </row>
    <row r="47" spans="1:26" x14ac:dyDescent="0.2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26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</row>
  </sheetData>
  <sheetProtection formatCells="0" formatColumns="0" formatRows="0" insertColumns="0" insertRows="0" insertHyperlinks="0" deleteColumns="0" deleteRows="0" sort="0" autoFilter="0" pivotTables="0"/>
  <mergeCells count="1">
    <mergeCell ref="A2:Z2"/>
  </mergeCells>
  <phoneticPr fontId="2" type="noConversion"/>
  <printOptions horizontalCentered="1" verticalCentered="1"/>
  <pageMargins left="0.95" right="0.74" top="0.96" bottom="1.02" header="0.81" footer="1.36"/>
  <pageSetup paperSize="9" scale="6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AM51"/>
  <sheetViews>
    <sheetView showGridLines="0" topLeftCell="G7" zoomScale="55" zoomScaleNormal="55" workbookViewId="0">
      <selection activeCell="B17" sqref="B17"/>
    </sheetView>
  </sheetViews>
  <sheetFormatPr defaultRowHeight="12.75" x14ac:dyDescent="0.2"/>
  <cols>
    <col min="1" max="1" width="10.28515625" customWidth="1"/>
    <col min="2" max="2" width="12.140625" bestFit="1" customWidth="1"/>
    <col min="3" max="3" width="9.28515625" bestFit="1" customWidth="1"/>
    <col min="4" max="4" width="16.28515625" bestFit="1" customWidth="1"/>
    <col min="5" max="5" width="11.7109375" bestFit="1" customWidth="1"/>
    <col min="6" max="6" width="12.42578125" bestFit="1" customWidth="1"/>
    <col min="7" max="7" width="17.85546875" bestFit="1" customWidth="1"/>
    <col min="8" max="19" width="12.42578125" customWidth="1"/>
    <col min="20" max="20" width="11.5703125" customWidth="1"/>
    <col min="21" max="21" width="8.28515625" bestFit="1" customWidth="1"/>
    <col min="22" max="22" width="3.7109375" customWidth="1"/>
    <col min="23" max="23" width="14.28515625" bestFit="1" customWidth="1"/>
    <col min="24" max="24" width="7.140625" bestFit="1" customWidth="1"/>
    <col min="25" max="25" width="3" customWidth="1"/>
    <col min="26" max="26" width="1.28515625" customWidth="1"/>
    <col min="33" max="33" width="10.28515625" bestFit="1" customWidth="1"/>
    <col min="35" max="35" width="12" bestFit="1" customWidth="1"/>
    <col min="37" max="37" width="12.140625" bestFit="1" customWidth="1"/>
  </cols>
  <sheetData>
    <row r="1" spans="1:39" ht="126" customHeight="1" x14ac:dyDescent="0.2"/>
    <row r="2" spans="1:39" ht="23.25" x14ac:dyDescent="0.2">
      <c r="A2" s="197" t="s">
        <v>42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71"/>
      <c r="W2" s="171"/>
      <c r="X2" s="171"/>
      <c r="Y2" s="171"/>
      <c r="Z2" s="172"/>
      <c r="AA2" s="48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50"/>
    </row>
    <row r="3" spans="1:39" ht="47.25" customHeight="1" x14ac:dyDescent="0.2">
      <c r="A3" s="108" t="s">
        <v>4</v>
      </c>
      <c r="B3" s="109" t="s">
        <v>30</v>
      </c>
      <c r="C3" s="109" t="s">
        <v>32</v>
      </c>
      <c r="D3" s="109" t="s">
        <v>33</v>
      </c>
      <c r="E3" s="109" t="s">
        <v>31</v>
      </c>
      <c r="F3" s="109" t="s">
        <v>34</v>
      </c>
      <c r="G3" s="109" t="s">
        <v>75</v>
      </c>
      <c r="H3" s="109" t="s">
        <v>36</v>
      </c>
      <c r="I3" s="109" t="s">
        <v>35</v>
      </c>
      <c r="J3" s="109" t="s">
        <v>37</v>
      </c>
      <c r="K3" s="109" t="s">
        <v>81</v>
      </c>
      <c r="L3" s="109" t="s">
        <v>38</v>
      </c>
      <c r="M3" s="109" t="s">
        <v>40</v>
      </c>
      <c r="N3" s="109" t="s">
        <v>79</v>
      </c>
      <c r="O3" s="109" t="s">
        <v>39</v>
      </c>
      <c r="P3" s="109" t="s">
        <v>73</v>
      </c>
      <c r="Q3" s="109" t="s">
        <v>76</v>
      </c>
      <c r="R3" s="109" t="s">
        <v>77</v>
      </c>
      <c r="S3" s="109" t="s">
        <v>41</v>
      </c>
      <c r="T3" s="109" t="s">
        <v>78</v>
      </c>
      <c r="U3" s="109" t="s">
        <v>70</v>
      </c>
      <c r="V3" s="173" t="s">
        <v>44</v>
      </c>
      <c r="W3" s="174" t="s">
        <v>20</v>
      </c>
      <c r="X3" s="175" t="s">
        <v>1</v>
      </c>
      <c r="Y3" s="173" t="s">
        <v>25</v>
      </c>
      <c r="Z3" s="172"/>
      <c r="AA3" s="51"/>
      <c r="AM3" s="52"/>
    </row>
    <row r="4" spans="1:39" ht="18.75" x14ac:dyDescent="0.4">
      <c r="A4" s="110">
        <v>45292</v>
      </c>
      <c r="B4" s="107">
        <f>10+10</f>
        <v>20</v>
      </c>
      <c r="C4" s="107">
        <v>0</v>
      </c>
      <c r="D4" s="107">
        <v>0</v>
      </c>
      <c r="E4" s="107">
        <v>0</v>
      </c>
      <c r="F4" s="107">
        <v>0</v>
      </c>
      <c r="G4" s="107">
        <v>10</v>
      </c>
      <c r="H4" s="107">
        <v>0</v>
      </c>
      <c r="I4" s="107">
        <v>0</v>
      </c>
      <c r="J4" s="107">
        <f>1+34</f>
        <v>35</v>
      </c>
      <c r="K4" s="107">
        <v>0</v>
      </c>
      <c r="L4" s="107">
        <f>100+101</f>
        <v>201</v>
      </c>
      <c r="M4" s="107">
        <v>0</v>
      </c>
      <c r="N4" s="107">
        <v>0</v>
      </c>
      <c r="O4" s="107">
        <v>0</v>
      </c>
      <c r="P4" s="107">
        <v>24</v>
      </c>
      <c r="Q4" s="107">
        <v>0</v>
      </c>
      <c r="R4" s="107">
        <v>0</v>
      </c>
      <c r="S4" s="107">
        <v>0</v>
      </c>
      <c r="T4" s="107">
        <v>0</v>
      </c>
      <c r="U4" s="107">
        <v>0</v>
      </c>
      <c r="V4" s="176">
        <f t="shared" ref="V4:V15" si="0">SUM(B4:U4)</f>
        <v>290</v>
      </c>
      <c r="W4" s="177">
        <f>V4/Y4</f>
        <v>4.3999393111819149E-2</v>
      </c>
      <c r="X4" s="178">
        <v>0.01</v>
      </c>
      <c r="Y4" s="179">
        <f>DADOS!E3</f>
        <v>6591</v>
      </c>
      <c r="Z4" s="172"/>
      <c r="AA4" s="51"/>
      <c r="AM4" s="52"/>
    </row>
    <row r="5" spans="1:39" ht="18.75" x14ac:dyDescent="0.4">
      <c r="A5" s="110">
        <v>45323</v>
      </c>
      <c r="B5" s="102">
        <f>2+11</f>
        <v>13</v>
      </c>
      <c r="C5" s="102">
        <v>0</v>
      </c>
      <c r="D5" s="102">
        <v>3</v>
      </c>
      <c r="E5" s="102">
        <v>0</v>
      </c>
      <c r="F5" s="102">
        <v>0</v>
      </c>
      <c r="G5" s="102">
        <f>4+9</f>
        <v>13</v>
      </c>
      <c r="H5" s="102">
        <v>0</v>
      </c>
      <c r="I5" s="102">
        <v>0</v>
      </c>
      <c r="J5" s="102">
        <v>9</v>
      </c>
      <c r="K5" s="102">
        <v>0</v>
      </c>
      <c r="L5" s="102">
        <f>36+36</f>
        <v>72</v>
      </c>
      <c r="M5" s="102">
        <v>0</v>
      </c>
      <c r="N5" s="102">
        <v>0</v>
      </c>
      <c r="O5" s="102">
        <v>0</v>
      </c>
      <c r="P5" s="102">
        <v>0</v>
      </c>
      <c r="Q5" s="102">
        <v>0</v>
      </c>
      <c r="R5" s="102">
        <v>0</v>
      </c>
      <c r="S5" s="102">
        <v>0</v>
      </c>
      <c r="T5" s="107">
        <v>0</v>
      </c>
      <c r="U5" s="102">
        <v>2</v>
      </c>
      <c r="V5" s="176">
        <f t="shared" si="0"/>
        <v>112</v>
      </c>
      <c r="W5" s="177">
        <f t="shared" ref="W5:W15" si="1">V5/Y5</f>
        <v>5.7941024314536987E-2</v>
      </c>
      <c r="X5" s="178">
        <v>0.01</v>
      </c>
      <c r="Y5" s="179">
        <f>DADOS!E4</f>
        <v>1933</v>
      </c>
      <c r="Z5" s="172"/>
      <c r="AA5" s="51"/>
      <c r="AM5" s="52"/>
    </row>
    <row r="6" spans="1:39" ht="18.75" x14ac:dyDescent="0.4">
      <c r="A6" s="110">
        <v>45352</v>
      </c>
      <c r="B6" s="107">
        <f>2</f>
        <v>2</v>
      </c>
      <c r="C6" s="107">
        <v>0</v>
      </c>
      <c r="D6" s="107">
        <v>0</v>
      </c>
      <c r="E6" s="107">
        <v>0</v>
      </c>
      <c r="F6" s="107">
        <v>0</v>
      </c>
      <c r="G6" s="107">
        <v>0</v>
      </c>
      <c r="H6" s="102">
        <v>0</v>
      </c>
      <c r="I6" s="102">
        <v>0</v>
      </c>
      <c r="J6" s="107">
        <f>12+1+1</f>
        <v>14</v>
      </c>
      <c r="K6" s="102">
        <v>0</v>
      </c>
      <c r="L6" s="107">
        <v>0</v>
      </c>
      <c r="M6" s="102">
        <v>0</v>
      </c>
      <c r="N6" s="102">
        <v>0</v>
      </c>
      <c r="O6" s="102">
        <v>0</v>
      </c>
      <c r="P6" s="102">
        <v>0</v>
      </c>
      <c r="Q6" s="107">
        <f>6+6</f>
        <v>12</v>
      </c>
      <c r="R6" s="107">
        <v>0</v>
      </c>
      <c r="S6" s="107">
        <v>0</v>
      </c>
      <c r="T6" s="107">
        <v>0</v>
      </c>
      <c r="U6" s="107">
        <v>0</v>
      </c>
      <c r="V6" s="176">
        <f t="shared" si="0"/>
        <v>28</v>
      </c>
      <c r="W6" s="177">
        <f t="shared" si="1"/>
        <v>4.2449969678593083E-3</v>
      </c>
      <c r="X6" s="178">
        <v>0.01</v>
      </c>
      <c r="Y6" s="179">
        <f>DADOS!E5</f>
        <v>6596</v>
      </c>
      <c r="Z6" s="172"/>
      <c r="AA6" s="51"/>
      <c r="AM6" s="52"/>
    </row>
    <row r="7" spans="1:39" ht="18.75" x14ac:dyDescent="0.4">
      <c r="A7" s="110">
        <v>45383</v>
      </c>
      <c r="B7" s="102">
        <f>9+9</f>
        <v>18</v>
      </c>
      <c r="C7" s="102">
        <v>0</v>
      </c>
      <c r="D7" s="102">
        <v>0</v>
      </c>
      <c r="E7" s="102">
        <v>0</v>
      </c>
      <c r="F7" s="102">
        <v>0</v>
      </c>
      <c r="G7" s="102">
        <f>19+3</f>
        <v>22</v>
      </c>
      <c r="H7" s="102">
        <v>0</v>
      </c>
      <c r="I7" s="102">
        <v>0</v>
      </c>
      <c r="J7" s="102">
        <v>1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  <c r="P7" s="102">
        <v>0</v>
      </c>
      <c r="Q7" s="102">
        <v>0</v>
      </c>
      <c r="R7" s="102">
        <v>0</v>
      </c>
      <c r="S7" s="102">
        <v>5</v>
      </c>
      <c r="T7" s="107">
        <v>0</v>
      </c>
      <c r="U7" s="102">
        <v>0</v>
      </c>
      <c r="V7" s="176">
        <f t="shared" si="0"/>
        <v>46</v>
      </c>
      <c r="W7" s="177">
        <f>V7/Y7</f>
        <v>1.0495094684006388E-2</v>
      </c>
      <c r="X7" s="178">
        <v>0.01</v>
      </c>
      <c r="Y7" s="179">
        <f>DADOS!E6</f>
        <v>4383</v>
      </c>
      <c r="Z7" s="172"/>
      <c r="AA7" s="51"/>
      <c r="AM7" s="52"/>
    </row>
    <row r="8" spans="1:39" ht="18.75" x14ac:dyDescent="0.4">
      <c r="A8" s="110">
        <v>45413</v>
      </c>
      <c r="B8" s="107">
        <v>0</v>
      </c>
      <c r="C8" s="107">
        <v>0</v>
      </c>
      <c r="D8" s="107">
        <v>0</v>
      </c>
      <c r="E8" s="107">
        <v>0</v>
      </c>
      <c r="F8" s="107">
        <v>0</v>
      </c>
      <c r="G8" s="107">
        <v>1</v>
      </c>
      <c r="H8" s="107">
        <v>0</v>
      </c>
      <c r="I8" s="107">
        <v>0</v>
      </c>
      <c r="J8" s="107">
        <v>0</v>
      </c>
      <c r="K8" s="107">
        <v>0</v>
      </c>
      <c r="L8" s="107">
        <v>12</v>
      </c>
      <c r="M8" s="107">
        <v>0</v>
      </c>
      <c r="N8" s="107">
        <v>0</v>
      </c>
      <c r="O8" s="107">
        <v>0</v>
      </c>
      <c r="P8" s="107">
        <v>0</v>
      </c>
      <c r="Q8" s="107">
        <v>60</v>
      </c>
      <c r="R8" s="107">
        <v>0</v>
      </c>
      <c r="S8" s="107">
        <f>9+4</f>
        <v>13</v>
      </c>
      <c r="T8" s="107">
        <v>0</v>
      </c>
      <c r="U8" s="107">
        <f>12+24</f>
        <v>36</v>
      </c>
      <c r="V8" s="176">
        <f t="shared" si="0"/>
        <v>122</v>
      </c>
      <c r="W8" s="177">
        <f t="shared" si="1"/>
        <v>1.3170679045665551E-2</v>
      </c>
      <c r="X8" s="178">
        <v>0.01</v>
      </c>
      <c r="Y8" s="179">
        <f>DADOS!E7</f>
        <v>9263</v>
      </c>
      <c r="Z8" s="172"/>
      <c r="AA8" s="51"/>
      <c r="AM8" s="52"/>
    </row>
    <row r="9" spans="1:39" ht="18.75" x14ac:dyDescent="0.4">
      <c r="A9" s="110">
        <v>45444</v>
      </c>
      <c r="B9" s="102">
        <v>0</v>
      </c>
      <c r="C9" s="102">
        <v>0</v>
      </c>
      <c r="D9" s="102">
        <v>0</v>
      </c>
      <c r="E9" s="102">
        <v>0</v>
      </c>
      <c r="F9" s="102">
        <v>0</v>
      </c>
      <c r="G9" s="102">
        <v>0</v>
      </c>
      <c r="H9" s="102">
        <v>0</v>
      </c>
      <c r="I9" s="102">
        <v>0</v>
      </c>
      <c r="J9" s="102">
        <v>1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  <c r="P9" s="102">
        <v>0</v>
      </c>
      <c r="Q9" s="102">
        <v>0</v>
      </c>
      <c r="R9" s="102">
        <v>24</v>
      </c>
      <c r="S9" s="102">
        <v>1</v>
      </c>
      <c r="T9" s="107">
        <v>0</v>
      </c>
      <c r="U9" s="102">
        <f>12+9+1</f>
        <v>22</v>
      </c>
      <c r="V9" s="176">
        <f t="shared" si="0"/>
        <v>48</v>
      </c>
      <c r="W9" s="177">
        <f t="shared" si="1"/>
        <v>4.0677966101694916E-3</v>
      </c>
      <c r="X9" s="178">
        <v>0.01</v>
      </c>
      <c r="Y9" s="179">
        <f>DADOS!E8</f>
        <v>11800</v>
      </c>
      <c r="Z9" s="172"/>
      <c r="AA9" s="51"/>
      <c r="AM9" s="52"/>
    </row>
    <row r="10" spans="1:39" ht="18.75" x14ac:dyDescent="0.4">
      <c r="A10" s="110">
        <v>45474</v>
      </c>
      <c r="B10" s="107">
        <f>6+13</f>
        <v>19</v>
      </c>
      <c r="C10" s="107">
        <v>0</v>
      </c>
      <c r="D10" s="107">
        <v>0</v>
      </c>
      <c r="E10" s="107">
        <v>0</v>
      </c>
      <c r="F10" s="107">
        <v>0</v>
      </c>
      <c r="G10" s="107">
        <v>0</v>
      </c>
      <c r="H10" s="107">
        <v>0</v>
      </c>
      <c r="I10" s="107">
        <v>0</v>
      </c>
      <c r="J10" s="107">
        <f>9+1+3</f>
        <v>13</v>
      </c>
      <c r="K10" s="107">
        <v>0</v>
      </c>
      <c r="L10" s="107">
        <v>63</v>
      </c>
      <c r="M10" s="107">
        <v>0</v>
      </c>
      <c r="N10" s="107">
        <v>0</v>
      </c>
      <c r="O10" s="107">
        <v>0</v>
      </c>
      <c r="P10" s="107">
        <v>0</v>
      </c>
      <c r="Q10" s="107">
        <v>0</v>
      </c>
      <c r="R10" s="107">
        <v>0</v>
      </c>
      <c r="S10" s="107">
        <f>3</f>
        <v>3</v>
      </c>
      <c r="T10" s="107">
        <v>87</v>
      </c>
      <c r="U10" s="107">
        <v>0</v>
      </c>
      <c r="V10" s="176">
        <f t="shared" si="0"/>
        <v>185</v>
      </c>
      <c r="W10" s="177">
        <f t="shared" si="1"/>
        <v>1.4735165272799682E-2</v>
      </c>
      <c r="X10" s="178">
        <v>0.01</v>
      </c>
      <c r="Y10" s="179">
        <f>DADOS!E9</f>
        <v>12555</v>
      </c>
      <c r="Z10" s="172"/>
      <c r="AA10" s="51"/>
      <c r="AM10" s="52"/>
    </row>
    <row r="11" spans="1:39" ht="18.75" x14ac:dyDescent="0.4">
      <c r="A11" s="110">
        <v>45505</v>
      </c>
      <c r="B11" s="102">
        <v>0</v>
      </c>
      <c r="C11" s="102">
        <v>0</v>
      </c>
      <c r="D11" s="102">
        <v>0</v>
      </c>
      <c r="E11" s="102">
        <v>0</v>
      </c>
      <c r="F11" s="102">
        <v>0</v>
      </c>
      <c r="G11" s="102">
        <v>0</v>
      </c>
      <c r="H11" s="102">
        <v>0</v>
      </c>
      <c r="I11" s="102">
        <f>9+9</f>
        <v>18</v>
      </c>
      <c r="J11" s="102">
        <v>4</v>
      </c>
      <c r="K11" s="102">
        <v>0</v>
      </c>
      <c r="L11" s="102">
        <v>8</v>
      </c>
      <c r="M11" s="102">
        <v>0</v>
      </c>
      <c r="N11" s="102">
        <v>0</v>
      </c>
      <c r="O11" s="102">
        <v>0</v>
      </c>
      <c r="P11" s="102">
        <v>0</v>
      </c>
      <c r="Q11" s="102">
        <v>0</v>
      </c>
      <c r="R11" s="102">
        <f>6</f>
        <v>6</v>
      </c>
      <c r="S11" s="102">
        <v>0</v>
      </c>
      <c r="T11" s="102">
        <v>0</v>
      </c>
      <c r="U11" s="102">
        <v>0</v>
      </c>
      <c r="V11" s="176">
        <f t="shared" si="0"/>
        <v>36</v>
      </c>
      <c r="W11" s="177">
        <f t="shared" si="1"/>
        <v>2.1991447770311544E-3</v>
      </c>
      <c r="X11" s="178">
        <v>0.01</v>
      </c>
      <c r="Y11" s="179">
        <f>DADOS!E10</f>
        <v>16370</v>
      </c>
      <c r="Z11" s="172"/>
      <c r="AA11" s="51"/>
      <c r="AM11" s="52"/>
    </row>
    <row r="12" spans="1:39" ht="18.75" x14ac:dyDescent="0.4">
      <c r="A12" s="110">
        <v>45536</v>
      </c>
      <c r="B12" s="107">
        <v>1</v>
      </c>
      <c r="C12" s="107">
        <v>0</v>
      </c>
      <c r="D12" s="107">
        <v>0</v>
      </c>
      <c r="E12" s="107">
        <v>3</v>
      </c>
      <c r="F12" s="107">
        <v>0</v>
      </c>
      <c r="G12" s="107">
        <f>20</f>
        <v>20</v>
      </c>
      <c r="H12" s="107">
        <v>0</v>
      </c>
      <c r="I12" s="107">
        <v>0</v>
      </c>
      <c r="J12" s="107">
        <v>0</v>
      </c>
      <c r="K12" s="107">
        <v>0</v>
      </c>
      <c r="L12" s="107">
        <f>1</f>
        <v>1</v>
      </c>
      <c r="M12" s="107">
        <v>0</v>
      </c>
      <c r="N12" s="107">
        <v>12</v>
      </c>
      <c r="O12" s="107">
        <v>0</v>
      </c>
      <c r="P12" s="107">
        <v>0</v>
      </c>
      <c r="Q12" s="107">
        <v>0</v>
      </c>
      <c r="R12" s="107">
        <v>0</v>
      </c>
      <c r="S12" s="107">
        <v>0</v>
      </c>
      <c r="T12" s="107">
        <v>12</v>
      </c>
      <c r="U12" s="107">
        <v>0</v>
      </c>
      <c r="V12" s="176">
        <f t="shared" si="0"/>
        <v>49</v>
      </c>
      <c r="W12" s="177">
        <f t="shared" si="1"/>
        <v>3.3809425239770922E-3</v>
      </c>
      <c r="X12" s="178">
        <v>0.01</v>
      </c>
      <c r="Y12" s="179">
        <f>DADOS!E11</f>
        <v>14493</v>
      </c>
      <c r="Z12" s="172"/>
      <c r="AA12" s="51"/>
      <c r="AM12" s="52"/>
    </row>
    <row r="13" spans="1:39" ht="18.75" x14ac:dyDescent="0.4">
      <c r="A13" s="110">
        <v>45566</v>
      </c>
      <c r="B13" s="102">
        <f>2</f>
        <v>2</v>
      </c>
      <c r="C13" s="102">
        <f>1</f>
        <v>1</v>
      </c>
      <c r="D13" s="102">
        <f>1+3</f>
        <v>4</v>
      </c>
      <c r="E13" s="102">
        <f>5</f>
        <v>5</v>
      </c>
      <c r="F13" s="102">
        <v>0</v>
      </c>
      <c r="G13" s="102">
        <f>4+6</f>
        <v>10</v>
      </c>
      <c r="H13" s="102">
        <v>0</v>
      </c>
      <c r="I13" s="102">
        <v>0</v>
      </c>
      <c r="J13" s="102">
        <f>3</f>
        <v>3</v>
      </c>
      <c r="K13" s="102">
        <f>1+12</f>
        <v>13</v>
      </c>
      <c r="L13" s="102">
        <f>3+1</f>
        <v>4</v>
      </c>
      <c r="M13" s="102">
        <v>0</v>
      </c>
      <c r="N13" s="102">
        <f>12</f>
        <v>12</v>
      </c>
      <c r="O13" s="102">
        <v>0</v>
      </c>
      <c r="P13" s="102">
        <v>7</v>
      </c>
      <c r="Q13" s="102">
        <f>7</f>
        <v>7</v>
      </c>
      <c r="R13" s="102">
        <f>12+1</f>
        <v>13</v>
      </c>
      <c r="S13" s="102">
        <v>0</v>
      </c>
      <c r="T13" s="102">
        <f>4+16+288</f>
        <v>308</v>
      </c>
      <c r="U13" s="102">
        <v>0</v>
      </c>
      <c r="V13" s="176">
        <f t="shared" si="0"/>
        <v>389</v>
      </c>
      <c r="W13" s="177">
        <f t="shared" si="1"/>
        <v>3.1350741457124437E-2</v>
      </c>
      <c r="X13" s="178">
        <v>0.01</v>
      </c>
      <c r="Y13" s="179">
        <f>DADOS!E12</f>
        <v>12408</v>
      </c>
      <c r="Z13" s="172"/>
      <c r="AA13" s="51"/>
      <c r="AM13" s="52"/>
    </row>
    <row r="14" spans="1:39" ht="18.75" x14ac:dyDescent="0.4">
      <c r="A14" s="110">
        <v>45597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76">
        <f t="shared" si="0"/>
        <v>0</v>
      </c>
      <c r="W14" s="177" t="e">
        <f t="shared" si="1"/>
        <v>#DIV/0!</v>
      </c>
      <c r="X14" s="178">
        <v>0.01</v>
      </c>
      <c r="Y14" s="179">
        <f>DADOS!E13</f>
        <v>0</v>
      </c>
      <c r="Z14" s="172"/>
      <c r="AA14" s="51"/>
      <c r="AM14" s="52"/>
    </row>
    <row r="15" spans="1:39" ht="18.75" x14ac:dyDescent="0.4">
      <c r="A15" s="110">
        <v>45627</v>
      </c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76">
        <f t="shared" si="0"/>
        <v>0</v>
      </c>
      <c r="W15" s="177" t="e">
        <f t="shared" si="1"/>
        <v>#DIV/0!</v>
      </c>
      <c r="X15" s="178">
        <v>0.01</v>
      </c>
      <c r="Y15" s="179">
        <f>DADOS!E14</f>
        <v>0</v>
      </c>
      <c r="Z15" s="172"/>
      <c r="AA15" s="51"/>
      <c r="AM15" s="52"/>
    </row>
    <row r="16" spans="1:39" ht="37.5" x14ac:dyDescent="0.4">
      <c r="A16" s="84" t="s">
        <v>43</v>
      </c>
      <c r="B16" s="85">
        <f t="shared" ref="B16:U16" si="2">SUM(B4:B15)</f>
        <v>75</v>
      </c>
      <c r="C16" s="85">
        <f t="shared" si="2"/>
        <v>1</v>
      </c>
      <c r="D16" s="85">
        <f t="shared" si="2"/>
        <v>7</v>
      </c>
      <c r="E16" s="85">
        <f t="shared" si="2"/>
        <v>8</v>
      </c>
      <c r="F16" s="85">
        <f t="shared" si="2"/>
        <v>0</v>
      </c>
      <c r="G16" s="85">
        <f t="shared" si="2"/>
        <v>76</v>
      </c>
      <c r="H16" s="85">
        <f t="shared" si="2"/>
        <v>0</v>
      </c>
      <c r="I16" s="85">
        <f t="shared" si="2"/>
        <v>18</v>
      </c>
      <c r="J16" s="85">
        <f t="shared" si="2"/>
        <v>80</v>
      </c>
      <c r="K16" s="85">
        <f t="shared" si="2"/>
        <v>13</v>
      </c>
      <c r="L16" s="85">
        <f t="shared" si="2"/>
        <v>361</v>
      </c>
      <c r="M16" s="85">
        <f t="shared" si="2"/>
        <v>0</v>
      </c>
      <c r="N16" s="85">
        <f t="shared" si="2"/>
        <v>24</v>
      </c>
      <c r="O16" s="85">
        <f t="shared" si="2"/>
        <v>0</v>
      </c>
      <c r="P16" s="85">
        <f t="shared" si="2"/>
        <v>31</v>
      </c>
      <c r="Q16" s="85">
        <f t="shared" si="2"/>
        <v>79</v>
      </c>
      <c r="R16" s="85">
        <f t="shared" si="2"/>
        <v>43</v>
      </c>
      <c r="S16" s="85">
        <f t="shared" si="2"/>
        <v>22</v>
      </c>
      <c r="T16" s="85">
        <f t="shared" si="2"/>
        <v>407</v>
      </c>
      <c r="U16" s="85">
        <f t="shared" si="2"/>
        <v>60</v>
      </c>
      <c r="V16" s="176">
        <f t="shared" ref="V16" si="3">SUM(V4:V15)</f>
        <v>1305</v>
      </c>
      <c r="W16" s="180">
        <f>SUM(V16/Y16)</f>
        <v>1.3538467922649183E-2</v>
      </c>
      <c r="X16" s="178">
        <v>0.01</v>
      </c>
      <c r="Y16" s="179">
        <f>SUM(Y4:Y15)</f>
        <v>96392</v>
      </c>
      <c r="Z16" s="172"/>
      <c r="AA16" s="51"/>
      <c r="AM16" s="52"/>
    </row>
    <row r="17" spans="1:39" ht="18.75" x14ac:dyDescent="0.4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176"/>
      <c r="W17" s="176"/>
      <c r="X17" s="176"/>
      <c r="Y17" s="176"/>
      <c r="Z17" s="172"/>
      <c r="AA17" s="51"/>
      <c r="AM17" s="52"/>
    </row>
    <row r="18" spans="1:39" ht="18.75" x14ac:dyDescent="0.4">
      <c r="A18" s="21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181">
        <f>SUM(V4:V15)/12</f>
        <v>108.75</v>
      </c>
      <c r="W18" s="180" t="e">
        <f>SUM(W4:W15)/12</f>
        <v>#DIV/0!</v>
      </c>
      <c r="X18" s="176"/>
      <c r="Y18" s="176"/>
      <c r="Z18" s="172"/>
      <c r="AA18" s="53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5"/>
    </row>
    <row r="19" spans="1:39" ht="6.75" customHeight="1" x14ac:dyDescent="0.4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39" x14ac:dyDescent="0.2">
      <c r="A20" s="78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79"/>
      <c r="W20" s="89"/>
      <c r="X20" s="25"/>
      <c r="Y20" s="25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50"/>
    </row>
    <row r="21" spans="1:39" x14ac:dyDescent="0.2">
      <c r="A21" s="51"/>
      <c r="V21" s="52"/>
      <c r="W21" s="88"/>
      <c r="AM21" s="52"/>
    </row>
    <row r="22" spans="1:39" x14ac:dyDescent="0.2">
      <c r="A22" s="51"/>
      <c r="V22" s="52"/>
      <c r="W22" s="88"/>
      <c r="AM22" s="52"/>
    </row>
    <row r="23" spans="1:39" x14ac:dyDescent="0.2">
      <c r="A23" s="51"/>
      <c r="V23" s="52"/>
      <c r="W23" s="88"/>
      <c r="AA23" s="4"/>
      <c r="AM23" s="52"/>
    </row>
    <row r="24" spans="1:39" x14ac:dyDescent="0.2">
      <c r="A24" s="51"/>
      <c r="V24" s="52"/>
      <c r="W24" s="88"/>
      <c r="AM24" s="52"/>
    </row>
    <row r="25" spans="1:39" x14ac:dyDescent="0.2">
      <c r="A25" s="51"/>
      <c r="V25" s="52"/>
      <c r="W25" s="88"/>
      <c r="AM25" s="52"/>
    </row>
    <row r="26" spans="1:39" x14ac:dyDescent="0.2">
      <c r="A26" s="51"/>
      <c r="V26" s="52"/>
      <c r="W26" s="88"/>
      <c r="AM26" s="52"/>
    </row>
    <row r="27" spans="1:39" x14ac:dyDescent="0.2">
      <c r="A27" s="51"/>
      <c r="V27" s="52"/>
      <c r="W27" s="88"/>
      <c r="AM27" s="52"/>
    </row>
    <row r="28" spans="1:39" x14ac:dyDescent="0.2">
      <c r="A28" s="51"/>
      <c r="V28" s="52"/>
      <c r="W28" s="88"/>
      <c r="AM28" s="52"/>
    </row>
    <row r="29" spans="1:39" x14ac:dyDescent="0.2">
      <c r="A29" s="51"/>
      <c r="V29" s="52"/>
      <c r="W29" s="88"/>
      <c r="AM29" s="52"/>
    </row>
    <row r="30" spans="1:39" x14ac:dyDescent="0.2">
      <c r="A30" s="51"/>
      <c r="V30" s="52"/>
      <c r="W30" s="88"/>
      <c r="AM30" s="52"/>
    </row>
    <row r="31" spans="1:39" x14ac:dyDescent="0.2">
      <c r="A31" s="51"/>
      <c r="V31" s="52"/>
      <c r="W31" s="88"/>
      <c r="AM31" s="52"/>
    </row>
    <row r="32" spans="1:39" x14ac:dyDescent="0.2">
      <c r="A32" s="51"/>
      <c r="V32" s="52"/>
      <c r="W32" s="88"/>
      <c r="AM32" s="52"/>
    </row>
    <row r="33" spans="1:39" x14ac:dyDescent="0.2">
      <c r="A33" s="51"/>
      <c r="V33" s="52"/>
      <c r="W33" s="88"/>
      <c r="AM33" s="52"/>
    </row>
    <row r="34" spans="1:39" x14ac:dyDescent="0.2">
      <c r="A34" s="51"/>
      <c r="V34" s="52"/>
      <c r="W34" s="88"/>
      <c r="AM34" s="52"/>
    </row>
    <row r="35" spans="1:39" x14ac:dyDescent="0.2">
      <c r="A35" s="51"/>
      <c r="V35" s="52"/>
      <c r="W35" s="88"/>
      <c r="AM35" s="52"/>
    </row>
    <row r="36" spans="1:39" x14ac:dyDescent="0.2">
      <c r="A36" s="51"/>
      <c r="V36" s="52"/>
      <c r="W36" s="88"/>
      <c r="AM36" s="52"/>
    </row>
    <row r="37" spans="1:39" x14ac:dyDescent="0.2">
      <c r="A37" s="51"/>
      <c r="V37" s="52"/>
      <c r="W37" s="88"/>
      <c r="AM37" s="52"/>
    </row>
    <row r="38" spans="1:39" x14ac:dyDescent="0.2">
      <c r="A38" s="51"/>
      <c r="V38" s="52"/>
      <c r="W38" s="88"/>
      <c r="AM38" s="52"/>
    </row>
    <row r="39" spans="1:39" x14ac:dyDescent="0.2">
      <c r="A39" s="51"/>
      <c r="V39" s="52"/>
      <c r="W39" s="88"/>
      <c r="AM39" s="52"/>
    </row>
    <row r="40" spans="1:39" x14ac:dyDescent="0.2">
      <c r="A40" s="51"/>
      <c r="V40" s="52"/>
      <c r="W40" s="88"/>
      <c r="AM40" s="52"/>
    </row>
    <row r="41" spans="1:39" x14ac:dyDescent="0.2">
      <c r="A41" s="51"/>
      <c r="V41" s="52"/>
      <c r="W41" s="88"/>
      <c r="AM41" s="52"/>
    </row>
    <row r="42" spans="1:39" x14ac:dyDescent="0.2">
      <c r="A42" s="51"/>
      <c r="V42" s="52"/>
      <c r="W42" s="88"/>
      <c r="AM42" s="52"/>
    </row>
    <row r="43" spans="1:39" x14ac:dyDescent="0.2">
      <c r="A43" s="51"/>
      <c r="V43" s="52"/>
      <c r="W43" s="88"/>
      <c r="AM43" s="52"/>
    </row>
    <row r="44" spans="1:39" x14ac:dyDescent="0.2">
      <c r="A44" s="51"/>
      <c r="V44" s="52"/>
      <c r="W44" s="88"/>
      <c r="AM44" s="52"/>
    </row>
    <row r="45" spans="1:39" x14ac:dyDescent="0.2">
      <c r="A45" s="51"/>
      <c r="V45" s="52"/>
      <c r="W45" s="88"/>
      <c r="AM45" s="52"/>
    </row>
    <row r="46" spans="1:39" x14ac:dyDescent="0.2">
      <c r="A46" s="51"/>
      <c r="V46" s="52"/>
      <c r="W46" s="88"/>
      <c r="AM46" s="52"/>
    </row>
    <row r="47" spans="1:39" x14ac:dyDescent="0.2">
      <c r="A47" s="51"/>
      <c r="V47" s="52"/>
      <c r="W47" s="88"/>
      <c r="AM47" s="52"/>
    </row>
    <row r="48" spans="1:39" x14ac:dyDescent="0.2">
      <c r="A48" s="51"/>
      <c r="V48" s="52"/>
      <c r="W48" s="88"/>
      <c r="AM48" s="52"/>
    </row>
    <row r="49" spans="1:39" x14ac:dyDescent="0.2">
      <c r="A49" s="51"/>
      <c r="V49" s="52"/>
      <c r="W49" s="88"/>
      <c r="AM49" s="52"/>
    </row>
    <row r="50" spans="1:39" x14ac:dyDescent="0.2">
      <c r="A50" s="51"/>
      <c r="V50" s="52"/>
      <c r="W50" s="88"/>
      <c r="AM50" s="52"/>
    </row>
    <row r="51" spans="1:39" x14ac:dyDescent="0.2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5"/>
      <c r="W51" s="88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5"/>
    </row>
  </sheetData>
  <mergeCells count="1">
    <mergeCell ref="A2:U2"/>
  </mergeCells>
  <pageMargins left="0.511811024" right="0.511811024" top="0.78740157499999996" bottom="0.78740157499999996" header="0.31496062000000002" footer="0.31496062000000002"/>
  <ignoredErrors>
    <ignoredError sqref="W18 W11:W15" evalError="1"/>
    <ignoredError sqref="V4:V15" formulaRange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AN39"/>
  <sheetViews>
    <sheetView showGridLines="0" topLeftCell="L2" zoomScale="85" zoomScaleNormal="85" workbookViewId="0">
      <selection activeCell="A14" sqref="A14"/>
    </sheetView>
  </sheetViews>
  <sheetFormatPr defaultRowHeight="12.75" x14ac:dyDescent="0.2"/>
  <cols>
    <col min="1" max="1" width="12.7109375" bestFit="1" customWidth="1"/>
    <col min="2" max="2" width="13.85546875" bestFit="1" customWidth="1"/>
    <col min="3" max="4" width="10.85546875" customWidth="1"/>
    <col min="5" max="5" width="15" customWidth="1"/>
    <col min="6" max="6" width="10.28515625" bestFit="1" customWidth="1"/>
    <col min="7" max="7" width="12.5703125" customWidth="1"/>
    <col min="8" max="8" width="14.5703125" customWidth="1"/>
    <col min="9" max="9" width="15.28515625" bestFit="1" customWidth="1"/>
    <col min="10" max="10" width="8.5703125" customWidth="1"/>
    <col min="11" max="12" width="12.28515625" customWidth="1"/>
    <col min="13" max="13" width="12.7109375" customWidth="1"/>
    <col min="14" max="14" width="13.42578125" customWidth="1"/>
    <col min="15" max="15" width="10.28515625" bestFit="1" customWidth="1"/>
    <col min="16" max="16" width="7.28515625" bestFit="1" customWidth="1"/>
    <col min="17" max="17" width="8.5703125" bestFit="1" customWidth="1"/>
    <col min="18" max="18" width="3" style="80" customWidth="1"/>
    <col min="26" max="26" width="10.28515625" bestFit="1" customWidth="1"/>
    <col min="28" max="28" width="12" bestFit="1" customWidth="1"/>
    <col min="30" max="30" width="12.140625" bestFit="1" customWidth="1"/>
  </cols>
  <sheetData>
    <row r="1" spans="1:40" ht="108" customHeight="1" x14ac:dyDescent="0.2"/>
    <row r="2" spans="1:40" ht="31.5" customHeight="1" x14ac:dyDescent="0.2">
      <c r="A2" s="197" t="s">
        <v>45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51"/>
      <c r="P2" s="151"/>
      <c r="Q2" s="151"/>
      <c r="R2" s="143"/>
      <c r="S2" s="48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50"/>
      <c r="AN2" s="51"/>
    </row>
    <row r="3" spans="1:40" ht="81" customHeight="1" x14ac:dyDescent="0.2">
      <c r="A3" s="104" t="s">
        <v>4</v>
      </c>
      <c r="B3" s="105" t="s">
        <v>12</v>
      </c>
      <c r="C3" s="105" t="s">
        <v>13</v>
      </c>
      <c r="D3" s="105" t="s">
        <v>47</v>
      </c>
      <c r="E3" s="105" t="s">
        <v>14</v>
      </c>
      <c r="F3" s="105" t="s">
        <v>15</v>
      </c>
      <c r="G3" s="105" t="s">
        <v>16</v>
      </c>
      <c r="H3" s="105" t="s">
        <v>48</v>
      </c>
      <c r="I3" s="105" t="s">
        <v>52</v>
      </c>
      <c r="J3" s="105" t="s">
        <v>49</v>
      </c>
      <c r="K3" s="105" t="s">
        <v>50</v>
      </c>
      <c r="L3" s="105" t="s">
        <v>80</v>
      </c>
      <c r="M3" s="105" t="s">
        <v>51</v>
      </c>
      <c r="N3" s="104" t="s">
        <v>5</v>
      </c>
      <c r="O3" s="152" t="s">
        <v>20</v>
      </c>
      <c r="P3" s="153" t="s">
        <v>1</v>
      </c>
      <c r="Q3" s="154" t="s">
        <v>25</v>
      </c>
      <c r="R3" s="81"/>
      <c r="S3" s="51"/>
      <c r="AN3" s="51"/>
    </row>
    <row r="4" spans="1:40" ht="18.75" x14ac:dyDescent="0.4">
      <c r="A4" s="106">
        <v>45292</v>
      </c>
      <c r="B4" s="107">
        <v>0</v>
      </c>
      <c r="C4" s="107">
        <f>34+3+1+1</f>
        <v>39</v>
      </c>
      <c r="D4" s="107">
        <v>0</v>
      </c>
      <c r="E4" s="107">
        <v>0</v>
      </c>
      <c r="F4" s="107">
        <v>0</v>
      </c>
      <c r="G4" s="107">
        <v>0</v>
      </c>
      <c r="H4" s="107">
        <v>0</v>
      </c>
      <c r="I4" s="107">
        <v>0</v>
      </c>
      <c r="J4" s="107">
        <v>0</v>
      </c>
      <c r="K4" s="107">
        <v>0</v>
      </c>
      <c r="L4" s="107">
        <v>0</v>
      </c>
      <c r="M4" s="107">
        <v>0</v>
      </c>
      <c r="N4" s="107">
        <f>SUM(B4:M4)</f>
        <v>39</v>
      </c>
      <c r="O4" s="155">
        <f>N4/Q4</f>
        <v>5.9171597633136093E-3</v>
      </c>
      <c r="P4" s="156">
        <v>5.0000000000000001E-3</v>
      </c>
      <c r="Q4" s="157">
        <f>DADOS!E3</f>
        <v>6591</v>
      </c>
      <c r="R4" s="82"/>
      <c r="S4" s="51"/>
      <c r="AN4" s="51"/>
    </row>
    <row r="5" spans="1:40" ht="18.75" x14ac:dyDescent="0.4">
      <c r="A5" s="106">
        <v>45323</v>
      </c>
      <c r="B5" s="103">
        <v>0</v>
      </c>
      <c r="C5" s="103">
        <v>5</v>
      </c>
      <c r="D5" s="103">
        <v>0</v>
      </c>
      <c r="E5" s="103">
        <v>0</v>
      </c>
      <c r="F5" s="103">
        <v>0</v>
      </c>
      <c r="G5" s="103">
        <v>0</v>
      </c>
      <c r="H5" s="103">
        <v>0</v>
      </c>
      <c r="I5" s="103">
        <v>0</v>
      </c>
      <c r="J5" s="103">
        <v>0</v>
      </c>
      <c r="K5" s="103">
        <v>0</v>
      </c>
      <c r="L5" s="103">
        <v>0</v>
      </c>
      <c r="M5" s="103">
        <v>0</v>
      </c>
      <c r="N5" s="107">
        <f t="shared" ref="N5:N15" si="0">SUM(B5:M5)</f>
        <v>5</v>
      </c>
      <c r="O5" s="155">
        <f t="shared" ref="O5:O9" si="1">N5/Q5</f>
        <v>2.5866528711846869E-3</v>
      </c>
      <c r="P5" s="156">
        <v>5.0000000000000001E-3</v>
      </c>
      <c r="Q5" s="157">
        <f>DADOS!E4</f>
        <v>1933</v>
      </c>
      <c r="R5" s="82"/>
      <c r="S5" s="51"/>
      <c r="AN5" s="51"/>
    </row>
    <row r="6" spans="1:40" ht="18.75" x14ac:dyDescent="0.4">
      <c r="A6" s="106">
        <v>45352</v>
      </c>
      <c r="B6" s="103">
        <v>0</v>
      </c>
      <c r="C6" s="107">
        <v>1</v>
      </c>
      <c r="D6" s="103">
        <v>0</v>
      </c>
      <c r="E6" s="103">
        <v>0</v>
      </c>
      <c r="F6" s="103">
        <v>0</v>
      </c>
      <c r="G6" s="103">
        <v>0</v>
      </c>
      <c r="H6" s="103">
        <v>0</v>
      </c>
      <c r="I6" s="103">
        <v>0</v>
      </c>
      <c r="J6" s="103">
        <v>0</v>
      </c>
      <c r="K6" s="103">
        <v>0</v>
      </c>
      <c r="L6" s="103">
        <v>0</v>
      </c>
      <c r="M6" s="103">
        <v>0</v>
      </c>
      <c r="N6" s="107">
        <f t="shared" si="0"/>
        <v>1</v>
      </c>
      <c r="O6" s="155">
        <f>N6/Q6</f>
        <v>1.5160703456640388E-4</v>
      </c>
      <c r="P6" s="156">
        <v>5.0000000000000001E-3</v>
      </c>
      <c r="Q6" s="157">
        <f>DADOS!E5</f>
        <v>6596</v>
      </c>
      <c r="R6" s="82"/>
      <c r="S6" s="51"/>
      <c r="AN6" s="51"/>
    </row>
    <row r="7" spans="1:40" ht="18.75" x14ac:dyDescent="0.4">
      <c r="A7" s="106">
        <v>45383</v>
      </c>
      <c r="B7" s="103">
        <v>0</v>
      </c>
      <c r="C7" s="103">
        <f>1+3+5</f>
        <v>9</v>
      </c>
      <c r="D7" s="103">
        <v>0</v>
      </c>
      <c r="E7" s="103">
        <v>0</v>
      </c>
      <c r="F7" s="103">
        <v>19</v>
      </c>
      <c r="G7" s="103">
        <v>0</v>
      </c>
      <c r="H7" s="103">
        <v>0</v>
      </c>
      <c r="I7" s="103">
        <v>0</v>
      </c>
      <c r="J7" s="103">
        <v>0</v>
      </c>
      <c r="K7" s="103">
        <v>0</v>
      </c>
      <c r="L7" s="103">
        <v>0</v>
      </c>
      <c r="M7" s="103">
        <v>0</v>
      </c>
      <c r="N7" s="107">
        <f t="shared" si="0"/>
        <v>28</v>
      </c>
      <c r="O7" s="155">
        <f t="shared" si="1"/>
        <v>6.3883185033082367E-3</v>
      </c>
      <c r="P7" s="156">
        <v>5.0000000000000001E-3</v>
      </c>
      <c r="Q7" s="157">
        <f>DADOS!E6</f>
        <v>4383</v>
      </c>
      <c r="R7" s="82"/>
      <c r="S7" s="51"/>
      <c r="AN7" s="51"/>
    </row>
    <row r="8" spans="1:40" ht="18.75" x14ac:dyDescent="0.4">
      <c r="A8" s="106">
        <v>45413</v>
      </c>
      <c r="B8" s="107">
        <v>0</v>
      </c>
      <c r="C8" s="107">
        <f>1+4</f>
        <v>5</v>
      </c>
      <c r="D8" s="107">
        <v>0</v>
      </c>
      <c r="E8" s="107">
        <v>0</v>
      </c>
      <c r="F8" s="107">
        <v>0</v>
      </c>
      <c r="G8" s="107">
        <v>0</v>
      </c>
      <c r="H8" s="107">
        <v>0</v>
      </c>
      <c r="I8" s="107">
        <v>0</v>
      </c>
      <c r="J8" s="107">
        <v>0</v>
      </c>
      <c r="K8" s="107">
        <v>0</v>
      </c>
      <c r="L8" s="107">
        <v>0</v>
      </c>
      <c r="M8" s="107">
        <v>0</v>
      </c>
      <c r="N8" s="107">
        <f t="shared" si="0"/>
        <v>5</v>
      </c>
      <c r="O8" s="155">
        <f t="shared" si="1"/>
        <v>5.3978192810104722E-4</v>
      </c>
      <c r="P8" s="156">
        <v>5.0000000000000001E-3</v>
      </c>
      <c r="Q8" s="157">
        <f>DADOS!E7</f>
        <v>9263</v>
      </c>
      <c r="R8" s="82"/>
      <c r="S8" s="51"/>
      <c r="AN8" s="51"/>
    </row>
    <row r="9" spans="1:40" ht="18.75" x14ac:dyDescent="0.4">
      <c r="A9" s="106">
        <v>45444</v>
      </c>
      <c r="B9" s="103">
        <v>0</v>
      </c>
      <c r="C9" s="103">
        <f>1+1+12+1</f>
        <v>15</v>
      </c>
      <c r="D9" s="103">
        <v>0</v>
      </c>
      <c r="E9" s="103">
        <v>0</v>
      </c>
      <c r="F9" s="103">
        <v>0</v>
      </c>
      <c r="G9" s="103">
        <v>0</v>
      </c>
      <c r="H9" s="103">
        <v>0</v>
      </c>
      <c r="I9" s="103">
        <v>0</v>
      </c>
      <c r="J9" s="103">
        <v>0</v>
      </c>
      <c r="K9" s="103">
        <v>0</v>
      </c>
      <c r="L9" s="103">
        <v>0</v>
      </c>
      <c r="M9" s="103">
        <v>0</v>
      </c>
      <c r="N9" s="107">
        <f t="shared" si="0"/>
        <v>15</v>
      </c>
      <c r="O9" s="155">
        <f t="shared" si="1"/>
        <v>1.271186440677966E-3</v>
      </c>
      <c r="P9" s="156">
        <v>5.0000000000000001E-3</v>
      </c>
      <c r="Q9" s="157">
        <f>DADOS!E8</f>
        <v>11800</v>
      </c>
      <c r="R9" s="82"/>
      <c r="S9" s="51"/>
      <c r="AN9" s="51"/>
    </row>
    <row r="10" spans="1:40" ht="18.75" x14ac:dyDescent="0.4">
      <c r="A10" s="106">
        <v>45474</v>
      </c>
      <c r="B10" s="107">
        <v>0</v>
      </c>
      <c r="C10" s="107">
        <f>9+3+1</f>
        <v>13</v>
      </c>
      <c r="D10" s="107">
        <v>0</v>
      </c>
      <c r="E10" s="107">
        <v>0</v>
      </c>
      <c r="F10" s="107">
        <v>0</v>
      </c>
      <c r="G10" s="107">
        <v>0</v>
      </c>
      <c r="H10" s="107">
        <v>0</v>
      </c>
      <c r="I10" s="107">
        <v>0</v>
      </c>
      <c r="J10" s="107">
        <v>0</v>
      </c>
      <c r="K10" s="107">
        <v>0</v>
      </c>
      <c r="L10" s="107">
        <v>0</v>
      </c>
      <c r="M10" s="107">
        <v>0</v>
      </c>
      <c r="N10" s="107">
        <f t="shared" si="0"/>
        <v>13</v>
      </c>
      <c r="O10" s="155">
        <f>N10/Q10</f>
        <v>1.0354440461967343E-3</v>
      </c>
      <c r="P10" s="156">
        <v>5.0000000000000001E-3</v>
      </c>
      <c r="Q10" s="157">
        <f>DADOS!E9</f>
        <v>12555</v>
      </c>
      <c r="R10" s="82"/>
      <c r="S10" s="51"/>
      <c r="AN10" s="51"/>
    </row>
    <row r="11" spans="1:40" ht="18.75" x14ac:dyDescent="0.4">
      <c r="A11" s="106">
        <v>45505</v>
      </c>
      <c r="B11" s="103">
        <v>0</v>
      </c>
      <c r="C11" s="103">
        <f>8</f>
        <v>8</v>
      </c>
      <c r="D11" s="103">
        <v>0</v>
      </c>
      <c r="E11" s="103">
        <v>0</v>
      </c>
      <c r="F11" s="103">
        <f>6</f>
        <v>6</v>
      </c>
      <c r="G11" s="103">
        <v>0</v>
      </c>
      <c r="H11" s="103">
        <v>0</v>
      </c>
      <c r="I11" s="103">
        <v>0</v>
      </c>
      <c r="J11" s="103">
        <v>0</v>
      </c>
      <c r="K11" s="103">
        <v>0</v>
      </c>
      <c r="L11" s="103">
        <v>0</v>
      </c>
      <c r="M11" s="103">
        <v>0</v>
      </c>
      <c r="N11" s="107">
        <f t="shared" si="0"/>
        <v>14</v>
      </c>
      <c r="O11" s="155">
        <f t="shared" ref="O11:O15" si="2">N11/Q11</f>
        <v>8.5522296884544895E-4</v>
      </c>
      <c r="P11" s="156">
        <v>5.0000000000000001E-3</v>
      </c>
      <c r="Q11" s="157">
        <f>DADOS!E10</f>
        <v>16370</v>
      </c>
      <c r="R11" s="82"/>
      <c r="S11" s="51"/>
      <c r="AN11" s="51"/>
    </row>
    <row r="12" spans="1:40" ht="18.75" x14ac:dyDescent="0.4">
      <c r="A12" s="106">
        <v>45536</v>
      </c>
      <c r="B12" s="107">
        <v>0</v>
      </c>
      <c r="C12" s="107">
        <v>12</v>
      </c>
      <c r="D12" s="107">
        <v>0</v>
      </c>
      <c r="E12" s="107">
        <v>0</v>
      </c>
      <c r="F12" s="107">
        <v>0</v>
      </c>
      <c r="G12" s="107">
        <v>0</v>
      </c>
      <c r="H12" s="107">
        <v>0</v>
      </c>
      <c r="I12" s="107">
        <v>0</v>
      </c>
      <c r="J12" s="107">
        <v>0</v>
      </c>
      <c r="K12" s="107">
        <v>0</v>
      </c>
      <c r="L12" s="107">
        <v>0</v>
      </c>
      <c r="M12" s="107">
        <v>0</v>
      </c>
      <c r="N12" s="107">
        <f t="shared" si="0"/>
        <v>12</v>
      </c>
      <c r="O12" s="155">
        <f t="shared" si="2"/>
        <v>8.2798592423928791E-4</v>
      </c>
      <c r="P12" s="156">
        <v>5.0000000000000001E-3</v>
      </c>
      <c r="Q12" s="157">
        <f>DADOS!E11</f>
        <v>14493</v>
      </c>
      <c r="R12" s="82"/>
      <c r="S12" s="51"/>
      <c r="AN12" s="51"/>
    </row>
    <row r="13" spans="1:40" ht="18.75" x14ac:dyDescent="0.4">
      <c r="A13" s="106">
        <v>45566</v>
      </c>
      <c r="B13" s="103">
        <v>0</v>
      </c>
      <c r="C13" s="103">
        <f>3+3</f>
        <v>6</v>
      </c>
      <c r="D13" s="103">
        <v>0</v>
      </c>
      <c r="E13" s="103">
        <v>0</v>
      </c>
      <c r="F13" s="103">
        <v>0</v>
      </c>
      <c r="G13" s="103">
        <v>0</v>
      </c>
      <c r="H13" s="103">
        <v>0</v>
      </c>
      <c r="I13" s="103">
        <v>0</v>
      </c>
      <c r="J13" s="103">
        <v>0</v>
      </c>
      <c r="K13" s="103">
        <v>0</v>
      </c>
      <c r="L13" s="103">
        <v>460</v>
      </c>
      <c r="M13" s="103">
        <v>0</v>
      </c>
      <c r="N13" s="107">
        <f t="shared" si="0"/>
        <v>466</v>
      </c>
      <c r="O13" s="155">
        <f t="shared" si="2"/>
        <v>3.7556415215989687E-2</v>
      </c>
      <c r="P13" s="156">
        <v>5.0000000000000001E-3</v>
      </c>
      <c r="Q13" s="157">
        <f>DADOS!E12</f>
        <v>12408</v>
      </c>
      <c r="R13" s="82"/>
      <c r="S13" s="51"/>
      <c r="AN13" s="51"/>
    </row>
    <row r="14" spans="1:40" ht="18.75" x14ac:dyDescent="0.4">
      <c r="A14" s="106">
        <v>45597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>
        <f t="shared" si="0"/>
        <v>0</v>
      </c>
      <c r="O14" s="155" t="e">
        <f t="shared" si="2"/>
        <v>#DIV/0!</v>
      </c>
      <c r="P14" s="156">
        <v>5.0000000000000001E-3</v>
      </c>
      <c r="Q14" s="157">
        <f>DADOS!E13</f>
        <v>0</v>
      </c>
      <c r="R14" s="82"/>
      <c r="S14" s="51"/>
      <c r="AN14" s="51"/>
    </row>
    <row r="15" spans="1:40" ht="18.75" x14ac:dyDescent="0.4">
      <c r="A15" s="106">
        <v>45627</v>
      </c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7">
        <f t="shared" si="0"/>
        <v>0</v>
      </c>
      <c r="O15" s="155" t="e">
        <f t="shared" si="2"/>
        <v>#DIV/0!</v>
      </c>
      <c r="P15" s="156">
        <v>5.0000000000000001E-3</v>
      </c>
      <c r="Q15" s="157">
        <f>DADOS!E14</f>
        <v>0</v>
      </c>
      <c r="R15" s="82"/>
      <c r="S15" s="51"/>
      <c r="AN15" s="51"/>
    </row>
    <row r="16" spans="1:40" s="4" customFormat="1" ht="18.75" x14ac:dyDescent="0.4">
      <c r="A16" s="146" t="s">
        <v>7</v>
      </c>
      <c r="B16" s="83">
        <f t="shared" ref="B16:N16" si="3">SUM(B4:B15)</f>
        <v>0</v>
      </c>
      <c r="C16" s="83">
        <f t="shared" si="3"/>
        <v>113</v>
      </c>
      <c r="D16" s="83">
        <f t="shared" si="3"/>
        <v>0</v>
      </c>
      <c r="E16" s="83">
        <f t="shared" si="3"/>
        <v>0</v>
      </c>
      <c r="F16" s="83">
        <f t="shared" si="3"/>
        <v>25</v>
      </c>
      <c r="G16" s="83">
        <f t="shared" si="3"/>
        <v>0</v>
      </c>
      <c r="H16" s="83">
        <f t="shared" si="3"/>
        <v>0</v>
      </c>
      <c r="I16" s="83">
        <f t="shared" si="3"/>
        <v>0</v>
      </c>
      <c r="J16" s="83">
        <f t="shared" si="3"/>
        <v>0</v>
      </c>
      <c r="K16" s="83">
        <f t="shared" si="3"/>
        <v>0</v>
      </c>
      <c r="L16" s="83"/>
      <c r="M16" s="83">
        <f t="shared" si="3"/>
        <v>0</v>
      </c>
      <c r="N16" s="83">
        <f t="shared" si="3"/>
        <v>598</v>
      </c>
      <c r="O16" s="158">
        <f>SUM(N16/Q16)</f>
        <v>6.203834343099012E-3</v>
      </c>
      <c r="P16" s="156">
        <v>5.0000000000000001E-3</v>
      </c>
      <c r="Q16" s="157">
        <f>SUM(Q4:Q15)</f>
        <v>96392</v>
      </c>
      <c r="R16" s="82"/>
      <c r="S16" s="32"/>
      <c r="AN16" s="32"/>
    </row>
    <row r="17" spans="1:40" s="4" customFormat="1" ht="18.75" x14ac:dyDescent="0.4">
      <c r="A17" s="140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86"/>
      <c r="N17" s="86"/>
      <c r="O17" s="159"/>
      <c r="P17" s="159"/>
      <c r="Q17" s="159"/>
      <c r="R17" s="83"/>
      <c r="S17" s="32"/>
      <c r="AN17" s="32"/>
    </row>
    <row r="18" spans="1:40" s="4" customFormat="1" ht="18.75" x14ac:dyDescent="0.4">
      <c r="A18" s="142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86" t="s">
        <v>2</v>
      </c>
      <c r="N18" s="87">
        <f>SUM(N4:N15)/12</f>
        <v>49.833333333333336</v>
      </c>
      <c r="O18" s="160" t="e">
        <f>SUM(O4:O15)/12</f>
        <v>#DIV/0!</v>
      </c>
      <c r="P18" s="159"/>
      <c r="Q18" s="159"/>
      <c r="R18" s="83"/>
      <c r="S18" s="32"/>
      <c r="AN18" s="32"/>
    </row>
    <row r="19" spans="1:40" ht="18.75" x14ac:dyDescent="0.4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44"/>
      <c r="N19" s="144"/>
      <c r="O19" s="144"/>
      <c r="P19" s="144"/>
      <c r="Q19" s="144"/>
      <c r="R19" s="145"/>
      <c r="S19" s="51"/>
      <c r="AN19" s="51"/>
    </row>
    <row r="20" spans="1:40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S20" s="51"/>
      <c r="AN20" s="51"/>
    </row>
    <row r="21" spans="1:40" x14ac:dyDescent="0.2">
      <c r="S21" s="51"/>
      <c r="AN21" s="51"/>
    </row>
    <row r="22" spans="1:40" x14ac:dyDescent="0.2">
      <c r="S22" s="51"/>
      <c r="AN22" s="51"/>
    </row>
    <row r="23" spans="1:40" x14ac:dyDescent="0.2">
      <c r="S23" s="51"/>
      <c r="T23" s="4"/>
      <c r="AN23" s="51"/>
    </row>
    <row r="24" spans="1:40" x14ac:dyDescent="0.2">
      <c r="S24" s="51"/>
      <c r="AN24" s="51"/>
    </row>
    <row r="25" spans="1:40" x14ac:dyDescent="0.2">
      <c r="S25" s="51"/>
      <c r="AN25" s="51"/>
    </row>
    <row r="26" spans="1:40" x14ac:dyDescent="0.2">
      <c r="S26" s="51"/>
      <c r="AN26" s="51"/>
    </row>
    <row r="27" spans="1:40" x14ac:dyDescent="0.2">
      <c r="S27" s="51"/>
      <c r="AN27" s="51"/>
    </row>
    <row r="28" spans="1:40" x14ac:dyDescent="0.2">
      <c r="S28" s="51"/>
      <c r="AN28" s="51"/>
    </row>
    <row r="29" spans="1:40" x14ac:dyDescent="0.2">
      <c r="S29" s="51"/>
      <c r="AN29" s="51"/>
    </row>
    <row r="30" spans="1:40" x14ac:dyDescent="0.2">
      <c r="S30" s="51"/>
      <c r="AN30" s="51"/>
    </row>
    <row r="31" spans="1:40" x14ac:dyDescent="0.2">
      <c r="S31" s="51"/>
      <c r="AN31" s="51"/>
    </row>
    <row r="32" spans="1:40" x14ac:dyDescent="0.2">
      <c r="S32" s="51"/>
      <c r="AN32" s="51"/>
    </row>
    <row r="33" spans="19:40" x14ac:dyDescent="0.2">
      <c r="S33" s="51"/>
      <c r="AN33" s="51"/>
    </row>
    <row r="34" spans="19:40" x14ac:dyDescent="0.2">
      <c r="S34" s="51"/>
      <c r="AN34" s="51"/>
    </row>
    <row r="35" spans="19:40" x14ac:dyDescent="0.2">
      <c r="S35" s="51"/>
      <c r="AN35" s="51"/>
    </row>
    <row r="36" spans="19:40" x14ac:dyDescent="0.2">
      <c r="S36" s="51"/>
      <c r="AN36" s="51"/>
    </row>
    <row r="37" spans="19:40" x14ac:dyDescent="0.2">
      <c r="S37" s="51"/>
      <c r="AN37" s="51"/>
    </row>
    <row r="38" spans="19:40" x14ac:dyDescent="0.2">
      <c r="S38" s="51"/>
      <c r="AN38" s="51"/>
    </row>
    <row r="39" spans="19:40" x14ac:dyDescent="0.2">
      <c r="S39" s="53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1"/>
    </row>
  </sheetData>
  <mergeCells count="1">
    <mergeCell ref="A2:N2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59999389629810485"/>
  </sheetPr>
  <dimension ref="B3:G17"/>
  <sheetViews>
    <sheetView topLeftCell="B1" zoomScale="90" zoomScaleNormal="90" workbookViewId="0">
      <selection activeCell="F20" sqref="F20"/>
    </sheetView>
  </sheetViews>
  <sheetFormatPr defaultRowHeight="12.75" x14ac:dyDescent="0.2"/>
  <cols>
    <col min="2" max="7" width="15.7109375" customWidth="1"/>
  </cols>
  <sheetData>
    <row r="3" spans="2:7" ht="20.100000000000001" customHeight="1" x14ac:dyDescent="0.2">
      <c r="B3" s="198" t="s">
        <v>69</v>
      </c>
      <c r="C3" s="198"/>
      <c r="D3" s="198"/>
      <c r="E3" s="198"/>
      <c r="F3" s="198"/>
      <c r="G3" s="198"/>
    </row>
    <row r="4" spans="2:7" ht="20.100000000000001" customHeight="1" x14ac:dyDescent="0.2">
      <c r="B4" s="166" t="s">
        <v>4</v>
      </c>
      <c r="C4" s="166" t="s">
        <v>55</v>
      </c>
      <c r="D4" s="166" t="s">
        <v>13</v>
      </c>
      <c r="E4" s="166" t="s">
        <v>71</v>
      </c>
      <c r="F4" s="166" t="s">
        <v>50</v>
      </c>
      <c r="G4" s="167" t="s">
        <v>5</v>
      </c>
    </row>
    <row r="5" spans="2:7" ht="20.100000000000001" customHeight="1" x14ac:dyDescent="0.2">
      <c r="B5" s="168" t="s">
        <v>57</v>
      </c>
      <c r="C5" s="168">
        <v>1</v>
      </c>
      <c r="D5" s="168">
        <v>5</v>
      </c>
      <c r="E5" s="168">
        <v>2</v>
      </c>
      <c r="F5" s="168">
        <v>0</v>
      </c>
      <c r="G5" s="169">
        <f t="shared" ref="G5:G14" si="0">SUM(C5:F5)</f>
        <v>8</v>
      </c>
    </row>
    <row r="6" spans="2:7" ht="20.100000000000001" customHeight="1" x14ac:dyDescent="0.2">
      <c r="B6" s="167" t="s">
        <v>58</v>
      </c>
      <c r="C6" s="167">
        <v>6</v>
      </c>
      <c r="D6" s="167">
        <v>5</v>
      </c>
      <c r="E6" s="167">
        <v>0</v>
      </c>
      <c r="F6" s="167">
        <v>0</v>
      </c>
      <c r="G6" s="167">
        <f t="shared" si="0"/>
        <v>11</v>
      </c>
    </row>
    <row r="7" spans="2:7" ht="20.100000000000001" customHeight="1" x14ac:dyDescent="0.2">
      <c r="B7" s="168" t="s">
        <v>59</v>
      </c>
      <c r="C7" s="168">
        <f>4</f>
        <v>4</v>
      </c>
      <c r="D7" s="168">
        <v>2</v>
      </c>
      <c r="E7" s="167">
        <v>0</v>
      </c>
      <c r="F7" s="167">
        <v>0</v>
      </c>
      <c r="G7" s="167">
        <f t="shared" si="0"/>
        <v>6</v>
      </c>
    </row>
    <row r="8" spans="2:7" ht="20.100000000000001" customHeight="1" x14ac:dyDescent="0.2">
      <c r="B8" s="167" t="s">
        <v>60</v>
      </c>
      <c r="C8" s="167">
        <f>1</f>
        <v>1</v>
      </c>
      <c r="D8" s="167">
        <f>1+1+1+1+1</f>
        <v>5</v>
      </c>
      <c r="E8" s="167">
        <v>0</v>
      </c>
      <c r="F8" s="167">
        <v>0</v>
      </c>
      <c r="G8" s="167">
        <f t="shared" si="0"/>
        <v>6</v>
      </c>
    </row>
    <row r="9" spans="2:7" ht="20.100000000000001" customHeight="1" x14ac:dyDescent="0.2">
      <c r="B9" s="168" t="s">
        <v>61</v>
      </c>
      <c r="C9" s="168">
        <f>1+1+1+1+1+1</f>
        <v>6</v>
      </c>
      <c r="D9" s="168">
        <v>2</v>
      </c>
      <c r="E9" s="168">
        <v>0</v>
      </c>
      <c r="F9" s="168">
        <v>0</v>
      </c>
      <c r="G9" s="167">
        <f t="shared" si="0"/>
        <v>8</v>
      </c>
    </row>
    <row r="10" spans="2:7" ht="20.100000000000001" customHeight="1" x14ac:dyDescent="0.2">
      <c r="B10" s="167" t="s">
        <v>62</v>
      </c>
      <c r="C10" s="167">
        <f>1+1</f>
        <v>2</v>
      </c>
      <c r="D10" s="167">
        <f>1+1+1+1</f>
        <v>4</v>
      </c>
      <c r="E10" s="167">
        <v>0</v>
      </c>
      <c r="F10" s="167">
        <v>0</v>
      </c>
      <c r="G10" s="167">
        <f t="shared" si="0"/>
        <v>6</v>
      </c>
    </row>
    <row r="11" spans="2:7" ht="20.100000000000001" customHeight="1" x14ac:dyDescent="0.2">
      <c r="B11" s="168" t="s">
        <v>63</v>
      </c>
      <c r="C11" s="168">
        <f>1+1+1+1+1</f>
        <v>5</v>
      </c>
      <c r="D11" s="168">
        <f>1+1+1</f>
        <v>3</v>
      </c>
      <c r="E11" s="168">
        <v>0</v>
      </c>
      <c r="F11" s="168">
        <v>0</v>
      </c>
      <c r="G11" s="167">
        <f t="shared" si="0"/>
        <v>8</v>
      </c>
    </row>
    <row r="12" spans="2:7" ht="20.100000000000001" customHeight="1" x14ac:dyDescent="0.2">
      <c r="B12" s="167" t="s">
        <v>64</v>
      </c>
      <c r="C12" s="167">
        <f>1+1+1+1</f>
        <v>4</v>
      </c>
      <c r="D12" s="167">
        <v>1</v>
      </c>
      <c r="E12" s="167">
        <v>0</v>
      </c>
      <c r="F12" s="167">
        <v>0</v>
      </c>
      <c r="G12" s="167">
        <f t="shared" si="0"/>
        <v>5</v>
      </c>
    </row>
    <row r="13" spans="2:7" ht="20.100000000000001" customHeight="1" x14ac:dyDescent="0.2">
      <c r="B13" s="168" t="s">
        <v>65</v>
      </c>
      <c r="C13" s="168">
        <f>1+1</f>
        <v>2</v>
      </c>
      <c r="D13" s="168">
        <f>1+1+1+1+1</f>
        <v>5</v>
      </c>
      <c r="E13" s="168">
        <v>0</v>
      </c>
      <c r="F13" s="168">
        <v>0</v>
      </c>
      <c r="G13" s="167">
        <f t="shared" si="0"/>
        <v>7</v>
      </c>
    </row>
    <row r="14" spans="2:7" ht="20.100000000000001" customHeight="1" x14ac:dyDescent="0.2">
      <c r="B14" s="167" t="s">
        <v>66</v>
      </c>
      <c r="C14" s="167">
        <f>8</f>
        <v>8</v>
      </c>
      <c r="D14" s="167">
        <f>16</f>
        <v>16</v>
      </c>
      <c r="E14" s="167">
        <v>0</v>
      </c>
      <c r="F14" s="167">
        <v>0</v>
      </c>
      <c r="G14" s="167">
        <f t="shared" si="0"/>
        <v>24</v>
      </c>
    </row>
    <row r="15" spans="2:7" ht="20.100000000000001" customHeight="1" x14ac:dyDescent="0.2">
      <c r="B15" s="168" t="s">
        <v>67</v>
      </c>
      <c r="C15" s="168"/>
      <c r="D15" s="168"/>
      <c r="E15" s="168"/>
      <c r="F15" s="168"/>
      <c r="G15" s="169"/>
    </row>
    <row r="16" spans="2:7" ht="20.100000000000001" customHeight="1" x14ac:dyDescent="0.2">
      <c r="B16" s="167" t="s">
        <v>68</v>
      </c>
      <c r="C16" s="167"/>
      <c r="D16" s="167"/>
      <c r="E16" s="167"/>
      <c r="F16" s="167"/>
      <c r="G16" s="167"/>
    </row>
    <row r="17" spans="2:7" ht="20.100000000000001" customHeight="1" x14ac:dyDescent="0.2">
      <c r="B17" s="168" t="s">
        <v>72</v>
      </c>
      <c r="C17" s="170"/>
      <c r="D17" s="170"/>
      <c r="E17" s="170"/>
      <c r="F17" s="170"/>
      <c r="G17" s="169"/>
    </row>
  </sheetData>
  <mergeCells count="1">
    <mergeCell ref="B3:G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5</vt:i4>
      </vt:variant>
    </vt:vector>
  </HeadingPairs>
  <TitlesOfParts>
    <vt:vector size="16" baseType="lpstr">
      <vt:lpstr>MENU PRINCIPAL</vt:lpstr>
      <vt:lpstr>Custo NC </vt:lpstr>
      <vt:lpstr>Multa Atraso</vt:lpstr>
      <vt:lpstr>Custo NC Total</vt:lpstr>
      <vt:lpstr>Refugo Produto x R$</vt:lpstr>
      <vt:lpstr>Retrabalho Produto x R$</vt:lpstr>
      <vt:lpstr>NC - INT. Nº DE PEÇAS</vt:lpstr>
      <vt:lpstr>NC - EXT. Nº DE PEÇAS</vt:lpstr>
      <vt:lpstr>NC - INTERNAS</vt:lpstr>
      <vt:lpstr>NC - EXTERNAS</vt:lpstr>
      <vt:lpstr>DADOS</vt:lpstr>
      <vt:lpstr>'Custo NC '!Area_de_impressao</vt:lpstr>
      <vt:lpstr>'Custo NC Total'!Area_de_impressao</vt:lpstr>
      <vt:lpstr>'Multa Atraso'!Area_de_impressao</vt:lpstr>
      <vt:lpstr>'Refugo Produto x R$'!Area_de_impressao</vt:lpstr>
      <vt:lpstr>'Retrabalho Produto x R$'!Area_de_impressao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Sgq</cp:lastModifiedBy>
  <cp:lastPrinted>2023-06-29T16:28:37Z</cp:lastPrinted>
  <dcterms:created xsi:type="dcterms:W3CDTF">2006-07-11T11:43:55Z</dcterms:created>
  <dcterms:modified xsi:type="dcterms:W3CDTF">2024-11-11T13:56:49Z</dcterms:modified>
</cp:coreProperties>
</file>