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SGQ\INDICADORES\QUALIDADE\ELOHIM\2024\"/>
    </mc:Choice>
  </mc:AlternateContent>
  <bookViews>
    <workbookView xWindow="0" yWindow="0" windowWidth="20490" windowHeight="7755" tabRatio="915" firstSheet="7" activeTab="9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52511"/>
</workbook>
</file>

<file path=xl/calcChain.xml><?xml version="1.0" encoding="utf-8"?>
<calcChain xmlns="http://schemas.openxmlformats.org/spreadsheetml/2006/main">
  <c r="B12" i="23" l="1"/>
  <c r="C11" i="30"/>
  <c r="C10" i="30" l="1"/>
  <c r="B11" i="23"/>
  <c r="B12" i="32"/>
  <c r="F13" i="38" l="1"/>
  <c r="D13" i="37"/>
  <c r="C13" i="37"/>
  <c r="L12" i="33"/>
  <c r="G12" i="33" l="1"/>
  <c r="C11" i="37" l="1"/>
  <c r="C12" i="37"/>
  <c r="F12" i="38" l="1"/>
  <c r="G12" i="37"/>
  <c r="M11" i="31"/>
  <c r="M12" i="31"/>
  <c r="M13" i="31"/>
  <c r="M14" i="31"/>
  <c r="M15" i="31"/>
  <c r="C11" i="31"/>
  <c r="F11" i="31"/>
  <c r="R11" i="33"/>
  <c r="I11" i="33"/>
  <c r="B11" i="32"/>
  <c r="B10" i="30"/>
  <c r="C9" i="30" l="1"/>
  <c r="C7" i="30"/>
  <c r="C6" i="30"/>
  <c r="C4" i="30" l="1"/>
  <c r="B4" i="30"/>
  <c r="B3" i="30"/>
  <c r="M10" i="31" l="1"/>
  <c r="B10" i="33"/>
  <c r="J10" i="33"/>
  <c r="B10" i="23"/>
  <c r="C3" i="30" l="1"/>
  <c r="D11" i="38" l="1"/>
  <c r="D11" i="37"/>
  <c r="C10" i="31"/>
  <c r="B9" i="30"/>
  <c r="B10" i="32" l="1"/>
  <c r="G11" i="37" l="1"/>
  <c r="F11" i="38"/>
  <c r="S10" i="33"/>
  <c r="C8" i="30" l="1"/>
  <c r="B9" i="23"/>
  <c r="M9" i="31" l="1"/>
  <c r="F10" i="38"/>
  <c r="D10" i="38"/>
  <c r="C10" i="37"/>
  <c r="D10" i="37"/>
  <c r="G10" i="37" s="1"/>
  <c r="C9" i="31"/>
  <c r="U9" i="33"/>
  <c r="B8" i="30"/>
  <c r="C16" i="33" l="1"/>
  <c r="D16" i="33"/>
  <c r="E16" i="33"/>
  <c r="F16" i="33"/>
  <c r="H16" i="33"/>
  <c r="I16" i="33"/>
  <c r="K16" i="33"/>
  <c r="M16" i="33"/>
  <c r="N16" i="33"/>
  <c r="O16" i="33"/>
  <c r="P16" i="33"/>
  <c r="R16" i="33"/>
  <c r="B9" i="32"/>
  <c r="B8" i="32"/>
  <c r="D8" i="37" l="1"/>
  <c r="U8" i="33"/>
  <c r="U16" i="33" s="1"/>
  <c r="S8" i="33"/>
  <c r="S16" i="33" s="1"/>
  <c r="C8" i="31"/>
  <c r="C7" i="31"/>
  <c r="G7" i="33"/>
  <c r="J6" i="33"/>
  <c r="Y6" i="33" l="1"/>
  <c r="Y7" i="33"/>
  <c r="B7" i="30" l="1"/>
  <c r="B6" i="30"/>
  <c r="B8" i="23" l="1"/>
  <c r="L4" i="33" l="1"/>
  <c r="B4" i="33"/>
  <c r="C9" i="37"/>
  <c r="M8" i="31" l="1"/>
  <c r="F9" i="38"/>
  <c r="F6" i="38"/>
  <c r="F7" i="38"/>
  <c r="F8" i="38"/>
  <c r="M5" i="31"/>
  <c r="M6" i="31"/>
  <c r="M7" i="31"/>
  <c r="G9" i="37" l="1"/>
  <c r="B7" i="23" l="1"/>
  <c r="C8" i="37" l="1"/>
  <c r="G8" i="37" l="1"/>
  <c r="B7" i="33"/>
  <c r="B7" i="32"/>
  <c r="B6" i="32" l="1"/>
  <c r="C5" i="30"/>
  <c r="C15" i="30" s="1"/>
  <c r="C7" i="37" l="1"/>
  <c r="B6" i="33"/>
  <c r="B6" i="23"/>
  <c r="B5" i="23" l="1"/>
  <c r="Q6" i="33" l="1"/>
  <c r="Q16" i="33" s="1"/>
  <c r="G7" i="37" l="1"/>
  <c r="B5" i="32" l="1"/>
  <c r="L5" i="33" l="1"/>
  <c r="L16" i="33" s="1"/>
  <c r="G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G5" i="37" l="1"/>
  <c r="F5" i="38"/>
  <c r="C4" i="31"/>
  <c r="M4" i="31" s="1"/>
  <c r="B4" i="32"/>
  <c r="B16" i="32" s="1"/>
  <c r="B15" i="30"/>
  <c r="P10" i="31" l="1"/>
  <c r="N10" i="31" s="1"/>
  <c r="C16" i="31" l="1"/>
  <c r="D16" i="31"/>
  <c r="E16" i="31"/>
  <c r="F16" i="31"/>
  <c r="G16" i="31"/>
  <c r="H16" i="31"/>
  <c r="I16" i="31"/>
  <c r="J16" i="31"/>
  <c r="K16" i="31"/>
  <c r="L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P15" i="31"/>
  <c r="P14" i="31"/>
  <c r="P13" i="31"/>
  <c r="P12" i="31"/>
  <c r="P11" i="31"/>
  <c r="P9" i="31"/>
  <c r="P8" i="31"/>
  <c r="P7" i="31"/>
  <c r="P6" i="31"/>
  <c r="N6" i="31" s="1"/>
  <c r="P5" i="31"/>
  <c r="P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P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N11" i="31"/>
  <c r="N14" i="31" l="1"/>
  <c r="N15" i="31"/>
  <c r="N12" i="31"/>
  <c r="N13" i="31" l="1"/>
  <c r="N8" i="31" l="1"/>
  <c r="N7" i="31"/>
  <c r="N9" i="31" l="1"/>
  <c r="M16" i="31"/>
  <c r="N16" i="31" s="1"/>
  <c r="N5" i="31"/>
  <c r="M18" i="31"/>
  <c r="N4" i="31"/>
  <c r="C15" i="34"/>
  <c r="B15" i="34"/>
  <c r="B16" i="34" l="1"/>
  <c r="N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<sst xmlns="http://schemas.openxmlformats.org/spreadsheetml/2006/main" count="118" uniqueCount="81">
  <si>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</si>
  <si>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</si>
  <si>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</si>
  <si>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</si>
  <si>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</si>
  <si>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</si>
  <si>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</si>
  <si>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</si>
  <si>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</si>
  <si>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</si>
  <si>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</si>
  <si>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</si>
  <si>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</si>
  <si>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</si>
  <si>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</si>
  <si>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</si>
  <si>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</si>
  <si>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</si>
  <si>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</si>
  <si>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</si>
  <si>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</si>
  <si>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</si>
  <si>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</si>
  <si>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</si>
  <si>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</si>
  <si>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</si>
  <si>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</si>
  <si>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</si>
  <si>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</si>
  <si>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</si>
  <si>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</si>
  <si>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</si>
  <si>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</si>
  <si>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</si>
  <si>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</si>
  <si>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</si>
  <si>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</si>
  <si>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</si>
  <si>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</si>
  <si>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CORTE 2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</si>
  <si>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</si>
  <si>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</si>
  <si>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</si>
  <si>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</si>
  <si>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</si>
  <si>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</si>
  <si>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</si>
  <si>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</si>
  <si>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</si>
  <si>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</si>
  <si>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</si>
  <si>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</si>
  <si>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</si>
  <si>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</si>
  <si>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Essa informação voce precisa que a Carol passe. É só inser mesmo vou deixa esse modelo aqui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</si>
  <si>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</si>
  <si>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</si>
  <si>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</si>
  <si>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</si>
  <si>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</si>
  <si>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</si>
  <si>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</si>
  <si>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</si>
  <si>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</si>
  <si>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</si>
  <si>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</si>
  <si>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</si>
  <si>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</si>
  <si>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</si>
  <si>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</si>
  <si>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</si>
  <si>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</si>
  <si>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</si>
  <si>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</si>
  <si>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</si>
  <si>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</si>
  <si>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</si>
  <si>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</si>
  <si>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</si>
  <si>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</si>
  <si>
    <t>MONTAGEM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</si>
</sst>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1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  <c:pt idx="8">
                  <c:v>200</c:v>
                </c:pt>
                <c:pt idx="12">
                  <c:v>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1473.72</c:v>
                </c:pt>
                <c:pt idx="5">
                  <c:v>6333.52</c:v>
                </c:pt>
                <c:pt idx="6">
                  <c:v>2159.14</c:v>
                </c:pt>
                <c:pt idx="7">
                  <c:v>3533.7599999999998</c:v>
                </c:pt>
                <c:pt idx="8">
                  <c:v>1717.5300000000002</c:v>
                </c:pt>
                <c:pt idx="12">
                  <c:v>27341.319999999996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9961216"/>
        <c:axId val="479184528"/>
      </c:barChart>
      <c:catAx>
        <c:axId val="2499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479184528"/>
        <c:crosses val="autoZero"/>
        <c:auto val="1"/>
        <c:lblAlgn val="ctr"/>
        <c:lblOffset val="100"/>
        <c:noMultiLvlLbl val="1"/>
      </c:catAx>
      <c:valAx>
        <c:axId val="47918452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499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295968"/>
        <c:axId val="558708992"/>
      </c:barChart>
      <c:catAx>
        <c:axId val="5552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08992"/>
        <c:crosses val="autoZero"/>
        <c:auto val="1"/>
        <c:lblAlgn val="ctr"/>
        <c:lblOffset val="100"/>
        <c:noMultiLvlLbl val="0"/>
      </c:catAx>
      <c:valAx>
        <c:axId val="5587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MONTAGEM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73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18</c:v>
                </c:pt>
                <c:pt idx="8">
                  <c:v>77</c:v>
                </c:pt>
                <c:pt idx="9">
                  <c:v>0</c:v>
                </c:pt>
                <c:pt idx="10">
                  <c:v>357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24</c:v>
                </c:pt>
                <c:pt idx="15">
                  <c:v>72</c:v>
                </c:pt>
                <c:pt idx="16">
                  <c:v>30</c:v>
                </c:pt>
                <c:pt idx="17">
                  <c:v>22</c:v>
                </c:pt>
                <c:pt idx="19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714976"/>
        <c:axId val="558707904"/>
      </c:barChart>
      <c:catAx>
        <c:axId val="55871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07904"/>
        <c:crosses val="autoZero"/>
        <c:auto val="1"/>
        <c:lblAlgn val="ctr"/>
        <c:lblOffset val="100"/>
        <c:noMultiLvlLbl val="0"/>
      </c:catAx>
      <c:valAx>
        <c:axId val="5587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0%">
                  <c:v>2.2580486121382439E-2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8722048"/>
        <c:axId val="558713344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8722048"/>
        <c:axId val="558713344"/>
      </c:lineChart>
      <c:catAx>
        <c:axId val="5587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3344"/>
        <c:crosses val="autoZero"/>
        <c:auto val="1"/>
        <c:lblAlgn val="ctr"/>
        <c:lblOffset val="100"/>
        <c:noMultiLvlLbl val="0"/>
      </c:catAx>
      <c:valAx>
        <c:axId val="5587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PEÇAS'!$N$3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PEÇAS'!$N$4:$N$16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%">
                  <c:v>3.2539565153083864E-3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8706816"/>
        <c:axId val="558711712"/>
      </c:barChart>
      <c:lineChart>
        <c:grouping val="standard"/>
        <c:varyColors val="0"/>
        <c:ser>
          <c:idx val="1"/>
          <c:order val="1"/>
          <c:tx>
            <c:strRef>
              <c:f>'NC - EXT. Nº DE PEÇAS'!$O$3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06816"/>
        <c:axId val="558711712"/>
      </c:lineChart>
      <c:catAx>
        <c:axId val="5587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1712"/>
        <c:crosses val="autoZero"/>
        <c:auto val="1"/>
        <c:lblAlgn val="ctr"/>
        <c:lblOffset val="100"/>
        <c:noMultiLvlLbl val="0"/>
      </c:catAx>
      <c:valAx>
        <c:axId val="5587117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PEÇAS'!$B$3:$M$3</c:f>
              <c:strCache>
                <c:ptCount val="12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OUTROS CLIENTES</c:v>
                </c:pt>
                <c:pt idx="11">
                  <c:v>TOTAL</c:v>
                </c:pt>
              </c:strCache>
            </c:strRef>
          </c:cat>
          <c:val>
            <c:numRef>
              <c:f>'NC - EXT. Nº DE PEÇAS'!$B$16:$M$16</c:f>
              <c:numCache>
                <c:formatCode>0</c:formatCode>
                <c:ptCount val="12"/>
                <c:pt idx="0">
                  <c:v>0</c:v>
                </c:pt>
                <c:pt idx="1">
                  <c:v>107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13888"/>
        <c:axId val="558708448"/>
      </c:barChart>
      <c:catAx>
        <c:axId val="5587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08448"/>
        <c:crosses val="autoZero"/>
        <c:auto val="1"/>
        <c:lblAlgn val="ctr"/>
        <c:lblOffset val="100"/>
        <c:noMultiLvlLbl val="0"/>
      </c:catAx>
      <c:valAx>
        <c:axId val="5587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INTERNAS'!$G$5:$G$17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8711168"/>
        <c:axId val="558717696"/>
      </c:barChart>
      <c:catAx>
        <c:axId val="5587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7696"/>
        <c:crosses val="autoZero"/>
        <c:auto val="1"/>
        <c:lblAlgn val="ctr"/>
        <c:lblOffset val="100"/>
        <c:noMultiLvlLbl val="0"/>
      </c:catAx>
      <c:valAx>
        <c:axId val="5587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8715520"/>
        <c:axId val="558716064"/>
      </c:barChart>
      <c:catAx>
        <c:axId val="5587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6064"/>
        <c:crosses val="autoZero"/>
        <c:auto val="1"/>
        <c:lblAlgn val="ctr"/>
        <c:lblOffset val="100"/>
        <c:noMultiLvlLbl val="0"/>
      </c:catAx>
      <c:valAx>
        <c:axId val="5587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87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1473.72</c:v>
                </c:pt>
                <c:pt idx="5">
                  <c:v>6333.52</c:v>
                </c:pt>
                <c:pt idx="6">
                  <c:v>2159.14</c:v>
                </c:pt>
                <c:pt idx="7">
                  <c:v>3533.7599999999998</c:v>
                </c:pt>
                <c:pt idx="8">
                  <c:v>1717.5300000000002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86704"/>
        <c:axId val="479182896"/>
      </c:lineChart>
      <c:dateAx>
        <c:axId val="479186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479182896"/>
        <c:crosses val="autoZero"/>
        <c:auto val="1"/>
        <c:lblOffset val="100"/>
        <c:baseTimeUnit val="months"/>
      </c:dateAx>
      <c:valAx>
        <c:axId val="4791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4791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9187248"/>
        <c:axId val="555292704"/>
      </c:lineChart>
      <c:dateAx>
        <c:axId val="4791872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92704"/>
        <c:crosses val="autoZero"/>
        <c:auto val="1"/>
        <c:lblOffset val="100"/>
        <c:baseTimeUnit val="months"/>
      </c:dateAx>
      <c:valAx>
        <c:axId val="55529270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479187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287264"/>
        <c:axId val="555299776"/>
      </c:barChart>
      <c:catAx>
        <c:axId val="5552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99776"/>
        <c:crosses val="autoZero"/>
        <c:auto val="1"/>
        <c:lblAlgn val="ctr"/>
        <c:lblOffset val="100"/>
        <c:noMultiLvlLbl val="0"/>
      </c:catAx>
      <c:valAx>
        <c:axId val="55529977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8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31341.319999999996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300320"/>
        <c:axId val="555288352"/>
      </c:barChart>
      <c:catAx>
        <c:axId val="5553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88352"/>
        <c:crosses val="autoZero"/>
        <c:auto val="1"/>
        <c:lblAlgn val="ctr"/>
        <c:lblOffset val="100"/>
        <c:noMultiLvlLbl val="0"/>
      </c:catAx>
      <c:valAx>
        <c:axId val="55528835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3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r>
              <a:rPr lang="pt-BR"/>
              <a:t/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8">
                  <c:v>320.88</c:v>
                </c:pt>
                <c:pt idx="12">
                  <c:v>6999.53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55288896"/>
        <c:axId val="555298144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5288896"/>
        <c:axId val="555298144"/>
      </c:lineChart>
      <c:catAx>
        <c:axId val="5552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98144"/>
        <c:crosses val="autoZero"/>
        <c:auto val="1"/>
        <c:lblAlgn val="ctr"/>
        <c:lblOffset val="100"/>
        <c:noMultiLvlLbl val="1"/>
      </c:catAx>
      <c:valAx>
        <c:axId val="55529814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8">
                  <c:v>320.88</c:v>
                </c:pt>
                <c:pt idx="12">
                  <c:v>6999.53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5294880"/>
        <c:axId val="555295424"/>
      </c:barChart>
      <c:catAx>
        <c:axId val="5552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95424"/>
        <c:crosses val="autoZero"/>
        <c:auto val="1"/>
        <c:lblAlgn val="ctr"/>
        <c:lblOffset val="100"/>
        <c:noMultiLvlLbl val="0"/>
      </c:catAx>
      <c:valAx>
        <c:axId val="5552954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552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2264.9899999999998</c:v>
                </c:pt>
                <c:pt idx="8">
                  <c:v>1396.65</c:v>
                </c:pt>
                <c:pt idx="12">
                  <c:v>20583.310000000005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292160"/>
        <c:axId val="555300864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92160"/>
        <c:axId val="555300864"/>
      </c:lineChart>
      <c:catAx>
        <c:axId val="5552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300864"/>
        <c:crosses val="autoZero"/>
        <c:auto val="1"/>
        <c:lblAlgn val="ctr"/>
        <c:lblOffset val="100"/>
        <c:noMultiLvlLbl val="1"/>
      </c:catAx>
      <c:valAx>
        <c:axId val="5553008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2264.9899999999998</c:v>
                </c:pt>
                <c:pt idx="8">
                  <c:v>1396.65</c:v>
                </c:pt>
                <c:pt idx="12">
                  <c:v>20583.310000000005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5301408"/>
        <c:axId val="555289984"/>
      </c:barChart>
      <c:catAx>
        <c:axId val="5553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55289984"/>
        <c:crosses val="autoZero"/>
        <c:auto val="1"/>
        <c:lblAlgn val="ctr"/>
        <c:lblOffset val="100"/>
        <c:noMultiLvlLbl val="0"/>
      </c:catAx>
      <c:valAx>
        <c:axId val="5552899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5530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1</xdr:row>
      <xdr:rowOff>76201</xdr:rowOff>
    </xdr:from>
    <xdr:to>
      <xdr:col>37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673938</xdr:colOff>
      <xdr:row>1</xdr:row>
      <xdr:rowOff>71887</xdr:rowOff>
    </xdr:from>
    <xdr:to>
      <xdr:col>15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332476</xdr:colOff>
      <xdr:row>1</xdr:row>
      <xdr:rowOff>26957</xdr:rowOff>
    </xdr:from>
    <xdr:to>
      <xdr:col>14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114300</xdr:colOff>
      <xdr:row>15</xdr:row>
      <xdr:rowOff>122959</xdr:rowOff>
    </xdr:from>
    <xdr:to>
      <xdr:col>37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11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335107</xdr:colOff>
      <xdr:row>0</xdr:row>
      <xdr:rowOff>62593</xdr:rowOff>
    </xdr:from>
    <xdr:to>
      <xdr:col>13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14</xdr:col>
      <xdr:colOff>199159</xdr:colOff>
      <xdr:row>0</xdr:row>
      <xdr:rowOff>70757</xdr:rowOff>
    </xdr:from>
    <xdr:to>
      <xdr:col>18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209550</xdr:rowOff>
    </xdr:from>
    <xdr:to>
      <xdr:col>17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5" t="s">
        <v>47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</row>
    <row r="2" spans="1:24" ht="20.100000000000001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spans="1:24" ht="20.100000000000001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spans="1:24" ht="20.100000000000001" customHeight="1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20.100000000000001" customHeight="1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spans="1:24" ht="20.100000000000001" customHeight="1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spans="1:24" ht="20.100000000000001" customHeight="1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20.100000000000001" customHeight="1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 ht="20.100000000000001" customHeight="1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 ht="20.100000000000001" customHeight="1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 ht="20.100000000000001" customHeight="1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 ht="12.75" customHeight="1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 ht="20.100000000000001" customHeight="1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 ht="20.100000000000001" customHeight="1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 ht="20.100000000000001" customHeight="1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 ht="20.100000000000001" customHeight="1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 ht="20.100000000000001" customHeight="1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 ht="20.100000000000001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 ht="20.100000000000001" customHeight="1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 ht="12.75" customHeight="1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 ht="12.75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 ht="12.75" customHeight="1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 ht="12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 ht="12.7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 ht="12.75" customHeight="1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 ht="13.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 x14ac:dyDescent="0.2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 x14ac:dyDescent="0.2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 x14ac:dyDescent="0.2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3:F17"/>
  <sheetViews>
    <sheetView tabSelected="1" workbookViewId="0">
      <selection activeCell="D17" sqref="D17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9" t="s">
        <v>55</v>
      </c>
      <c r="C3" s="199"/>
      <c r="D3" s="199"/>
      <c r="E3" s="199"/>
      <c r="F3" s="199"/>
    </row>
    <row r="4" spans="2:6" ht="20.100000000000001" customHeight="1" x14ac:dyDescent="0.2">
      <c r="B4" s="161" t="s">
        <v>4</v>
      </c>
      <c r="C4" s="161" t="s">
        <v>56</v>
      </c>
      <c r="D4" s="161" t="s">
        <v>13</v>
      </c>
      <c r="E4" s="161" t="s">
        <v>57</v>
      </c>
      <c r="F4" s="162" t="s">
        <v>5</v>
      </c>
    </row>
    <row r="5" spans="2:6" ht="20.100000000000001" customHeight="1" x14ac:dyDescent="0.2">
      <c r="B5" s="163" t="s">
        <v>58</v>
      </c>
      <c r="C5" s="163">
        <v>0</v>
      </c>
      <c r="D5" s="163">
        <v>3</v>
      </c>
      <c r="E5" s="163">
        <v>0</v>
      </c>
      <c r="F5" s="164">
        <f>SUM(C5:E5)</f>
        <v>3</v>
      </c>
    </row>
    <row r="6" spans="2:6" ht="20.100000000000001" customHeight="1" x14ac:dyDescent="0.2">
      <c r="B6" s="162" t="s">
        <v>59</v>
      </c>
      <c r="C6" s="162">
        <v>0</v>
      </c>
      <c r="D6" s="162">
        <v>3</v>
      </c>
      <c r="E6" s="162">
        <v>0</v>
      </c>
      <c r="F6" s="164">
        <f t="shared" ref="F6:F13" si="0">SUM(C6:E6)</f>
        <v>3</v>
      </c>
    </row>
    <row r="7" spans="2:6" ht="20.100000000000001" customHeight="1" x14ac:dyDescent="0.2">
      <c r="B7" s="163" t="s">
        <v>60</v>
      </c>
      <c r="C7" s="162">
        <v>0</v>
      </c>
      <c r="D7" s="163">
        <v>1</v>
      </c>
      <c r="E7" s="162">
        <v>0</v>
      </c>
      <c r="F7" s="164">
        <f t="shared" si="0"/>
        <v>1</v>
      </c>
    </row>
    <row r="8" spans="2:6" ht="20.100000000000001" customHeight="1" x14ac:dyDescent="0.2">
      <c r="B8" s="162" t="s">
        <v>61</v>
      </c>
      <c r="C8" s="162">
        <v>1</v>
      </c>
      <c r="D8" s="162">
        <v>3</v>
      </c>
      <c r="E8" s="162">
        <v>0</v>
      </c>
      <c r="F8" s="164">
        <f t="shared" si="0"/>
        <v>4</v>
      </c>
    </row>
    <row r="9" spans="2:6" ht="20.100000000000001" customHeight="1" x14ac:dyDescent="0.2">
      <c r="B9" s="163" t="s">
        <v>62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63</v>
      </c>
      <c r="C10" s="162">
        <v>0</v>
      </c>
      <c r="D10" s="162">
        <f>1+1+1+1</f>
        <v>4</v>
      </c>
      <c r="E10" s="162">
        <v>0</v>
      </c>
      <c r="F10" s="164">
        <f t="shared" si="0"/>
        <v>4</v>
      </c>
    </row>
    <row r="11" spans="2:6" ht="20.100000000000001" customHeight="1" x14ac:dyDescent="0.2">
      <c r="B11" s="163" t="s">
        <v>64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65</v>
      </c>
      <c r="C12" s="162">
        <v>1</v>
      </c>
      <c r="D12" s="162">
        <v>1</v>
      </c>
      <c r="E12" s="162">
        <v>0</v>
      </c>
      <c r="F12" s="164">
        <f t="shared" si="0"/>
        <v>2</v>
      </c>
    </row>
    <row r="13" spans="2:6" ht="20.100000000000001" customHeight="1" x14ac:dyDescent="0.2">
      <c r="B13" s="163" t="s">
        <v>66</v>
      </c>
      <c r="C13" s="163">
        <v>0</v>
      </c>
      <c r="D13" s="163">
        <v>1</v>
      </c>
      <c r="E13" s="163">
        <v>0</v>
      </c>
      <c r="F13" s="164">
        <f t="shared" si="0"/>
        <v>1</v>
      </c>
    </row>
    <row r="14" spans="2:6" ht="20.100000000000001" customHeight="1" x14ac:dyDescent="0.2">
      <c r="B14" s="162" t="s">
        <v>67</v>
      </c>
      <c r="C14" s="162"/>
      <c r="D14" s="162"/>
      <c r="E14" s="162"/>
      <c r="F14" s="162"/>
    </row>
    <row r="15" spans="2:6" ht="20.100000000000001" customHeight="1" x14ac:dyDescent="0.2">
      <c r="B15" s="163" t="s">
        <v>68</v>
      </c>
      <c r="C15" s="163"/>
      <c r="D15" s="163"/>
      <c r="E15" s="163"/>
      <c r="F15" s="164"/>
    </row>
    <row r="16" spans="2:6" ht="20.100000000000001" customHeight="1" x14ac:dyDescent="0.2">
      <c r="B16" s="162" t="s">
        <v>69</v>
      </c>
      <c r="C16" s="162"/>
      <c r="D16" s="162"/>
      <c r="E16" s="162"/>
      <c r="F16" s="162"/>
    </row>
    <row r="17" spans="2:6" ht="20.100000000000001" customHeight="1" x14ac:dyDescent="0.2">
      <c r="B17" s="163" t="s">
        <v>73</v>
      </c>
      <c r="C17" s="165"/>
      <c r="D17" s="165"/>
      <c r="E17" s="165"/>
      <c r="F17" s="16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5"/>
  <sheetViews>
    <sheetView workbookViewId="0">
      <selection activeCell="E9" sqref="E9"/>
    </sheetView>
  </sheetViews>
  <sheetFormatPr defaultRowHeight="12.75" x14ac:dyDescent="0.2"/>
  <cols>
    <col min="3" max="3" width="23" customWidth="1"/>
    <col min="5" max="5" width="27.85546875" bestFit="1" customWidth="1"/>
    <col min="8" max="8" width="57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200" t="s">
        <v>54</v>
      </c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200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200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200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200"/>
    </row>
    <row r="9" spans="2:8" ht="15.75" x14ac:dyDescent="0.2">
      <c r="B9" s="71">
        <v>45474</v>
      </c>
      <c r="C9" s="72"/>
      <c r="D9" s="4"/>
      <c r="E9" s="77"/>
      <c r="H9" s="200"/>
    </row>
    <row r="10" spans="2:8" ht="15.75" x14ac:dyDescent="0.2">
      <c r="B10" s="71">
        <v>45505</v>
      </c>
      <c r="C10" s="73"/>
      <c r="D10" s="4"/>
      <c r="E10" s="76"/>
      <c r="H10" s="200"/>
    </row>
    <row r="11" spans="2:8" ht="15.75" x14ac:dyDescent="0.2">
      <c r="B11" s="71">
        <v>45536</v>
      </c>
      <c r="C11" s="72"/>
      <c r="D11" s="4"/>
      <c r="E11" s="77"/>
      <c r="H11" s="200"/>
    </row>
    <row r="12" spans="2:8" ht="15.75" x14ac:dyDescent="0.2">
      <c r="B12" s="71">
        <v>45566</v>
      </c>
      <c r="C12" s="73"/>
      <c r="D12" s="4"/>
      <c r="E12" s="76"/>
      <c r="H12" s="200"/>
    </row>
    <row r="13" spans="2:8" ht="15.75" x14ac:dyDescent="0.2">
      <c r="B13" s="71">
        <v>45597</v>
      </c>
      <c r="C13" s="72"/>
      <c r="D13" s="4"/>
      <c r="E13" s="77"/>
      <c r="H13" s="200"/>
    </row>
    <row r="14" spans="2:8" ht="15.75" x14ac:dyDescent="0.2">
      <c r="B14" s="71">
        <v>45627</v>
      </c>
      <c r="C14" s="73"/>
      <c r="D14" s="4"/>
      <c r="E14" s="76"/>
      <c r="H14" s="200"/>
    </row>
    <row r="15" spans="2:8" ht="18" x14ac:dyDescent="0.25">
      <c r="B15" s="63"/>
      <c r="C15" s="64"/>
      <c r="H15" s="200"/>
    </row>
  </sheetData>
  <mergeCells count="1">
    <mergeCell ref="H4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52"/>
  <sheetViews>
    <sheetView showGridLines="0" topLeftCell="A2" zoomScale="70" zoomScaleNormal="70" workbookViewId="0">
      <selection activeCell="C12" sqref="C12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</f>
        <v>450</v>
      </c>
      <c r="C3" s="116">
        <f>470.5+1543.45+1543.45+192.5+122.48+500</f>
        <v>4372.38</v>
      </c>
      <c r="D3" s="186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150+200+200</f>
        <v>550</v>
      </c>
      <c r="C4" s="116">
        <f>200+253.76+596+150+150+600+792+792</f>
        <v>3533.76</v>
      </c>
      <c r="D4" s="186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6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356.61+453.61+271.43+121.75+360+356.61</f>
        <v>1920.0100000000002</v>
      </c>
      <c r="D6" s="186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120+120+384+397.39+452.33</f>
        <v>1473.72</v>
      </c>
      <c r="D7" s="186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6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>
        <f>200</f>
        <v>200</v>
      </c>
      <c r="C10" s="116">
        <f>8.33+1268.77+1650+406.66+200</f>
        <v>3533.7599999999998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>
        <v>200</v>
      </c>
      <c r="C11" s="116">
        <f>235+500+320.88+13.33+371.66+276.66</f>
        <v>1717.5300000000002</v>
      </c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/>
      <c r="C12" s="116"/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/>
      <c r="C13" s="116"/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/>
      <c r="C14" s="116"/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4000</v>
      </c>
      <c r="C15" s="116">
        <f>SUM(C3:C14)</f>
        <v>27341.319999999996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75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6"/>
  <sheetViews>
    <sheetView showGridLines="0" view="pageBreakPreview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450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1920.0100000000002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1473.72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200</v>
      </c>
      <c r="C10" s="58">
        <f>'Custo NC '!C10</f>
        <v>3533.7599999999998</v>
      </c>
      <c r="N10" s="52"/>
    </row>
    <row r="11" spans="1:14" x14ac:dyDescent="0.2">
      <c r="A11" s="57">
        <v>44805</v>
      </c>
      <c r="B11" s="58">
        <f>'Custo NC '!B11</f>
        <v>200</v>
      </c>
      <c r="C11" s="58">
        <f>'Custo NC '!C11</f>
        <v>1717.5300000000002</v>
      </c>
      <c r="N11" s="52"/>
    </row>
    <row r="12" spans="1:14" x14ac:dyDescent="0.2">
      <c r="A12" s="57">
        <v>44835</v>
      </c>
      <c r="B12" s="58">
        <f>'Custo NC '!B12</f>
        <v>0</v>
      </c>
      <c r="C12" s="58">
        <f>'Custo NC '!C12</f>
        <v>0</v>
      </c>
      <c r="N12" s="52"/>
    </row>
    <row r="13" spans="1:14" x14ac:dyDescent="0.2">
      <c r="A13" s="57">
        <v>44866</v>
      </c>
      <c r="B13" s="58">
        <f>'Custo NC '!B13</f>
        <v>0</v>
      </c>
      <c r="C13" s="58">
        <f>'Custo NC '!C13</f>
        <v>0</v>
      </c>
      <c r="N13" s="52"/>
    </row>
    <row r="14" spans="1:14" x14ac:dyDescent="0.2">
      <c r="A14" s="57">
        <v>44896</v>
      </c>
      <c r="B14" s="58">
        <f>'Custo NC '!B14</f>
        <v>0</v>
      </c>
      <c r="C14" s="58">
        <f>'Custo NC '!C14</f>
        <v>0</v>
      </c>
      <c r="N14" s="52"/>
    </row>
    <row r="15" spans="1:14" x14ac:dyDescent="0.2">
      <c r="A15" s="59" t="s">
        <v>0</v>
      </c>
      <c r="B15" s="58">
        <f>'Custo NC '!B15</f>
        <v>4000</v>
      </c>
      <c r="C15" s="58">
        <f>'Custo NC '!C15</f>
        <v>27341.319999999996</v>
      </c>
      <c r="N15" s="52"/>
    </row>
    <row r="16" spans="1:14" x14ac:dyDescent="0.2">
      <c r="A16" s="60" t="s">
        <v>27</v>
      </c>
      <c r="B16" s="61">
        <f>SUM(B15:C15)</f>
        <v>31341.319999999996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48"/>
  <sheetViews>
    <sheetView showGridLines="0" zoomScale="70" zoomScaleNormal="70" zoomScaleSheetLayoutView="70" workbookViewId="0">
      <selection activeCell="B12" sqref="B12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 ht="36" x14ac:dyDescent="0.2">
      <c r="A3" s="67" t="s">
        <v>6</v>
      </c>
      <c r="B3" s="70" t="s">
        <v>23</v>
      </c>
      <c r="C3" s="184" t="s">
        <v>11</v>
      </c>
      <c r="D3" s="184" t="s">
        <v>10</v>
      </c>
      <c r="E3" s="70" t="s">
        <v>22</v>
      </c>
      <c r="F3" s="4"/>
      <c r="G3" s="4"/>
      <c r="H3" s="4"/>
      <c r="I3" s="4"/>
      <c r="J3" s="4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</row>
    <row r="4" spans="1:27" ht="18" x14ac:dyDescent="0.25">
      <c r="A4" s="68">
        <v>45292</v>
      </c>
      <c r="B4" s="101">
        <f>470.5+192.5</f>
        <v>663</v>
      </c>
      <c r="C4" s="183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2"/>
    </row>
    <row r="5" spans="1:27" ht="18" x14ac:dyDescent="0.25">
      <c r="A5" s="68">
        <v>45323</v>
      </c>
      <c r="B5" s="101">
        <f>253.76+596</f>
        <v>849.76</v>
      </c>
      <c r="C5" s="183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2"/>
    </row>
    <row r="6" spans="1:27" ht="18" x14ac:dyDescent="0.25">
      <c r="A6" s="68">
        <v>45352</v>
      </c>
      <c r="B6" s="101">
        <f>933.05+135.58+312.2</f>
        <v>1380.83</v>
      </c>
      <c r="C6" s="183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</row>
    <row r="7" spans="1:27" ht="18" x14ac:dyDescent="0.25">
      <c r="A7" s="68">
        <v>45383</v>
      </c>
      <c r="B7" s="101">
        <f>356.61+356.61</f>
        <v>713.22</v>
      </c>
      <c r="C7" s="183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</row>
    <row r="8" spans="1:27" ht="18" x14ac:dyDescent="0.25">
      <c r="A8" s="68">
        <v>45413</v>
      </c>
      <c r="B8" s="101">
        <f>452.33</f>
        <v>452.33</v>
      </c>
      <c r="C8" s="183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</row>
    <row r="9" spans="1:27" ht="18" x14ac:dyDescent="0.25">
      <c r="A9" s="68">
        <v>45444</v>
      </c>
      <c r="B9" s="101">
        <f>1062</f>
        <v>1062</v>
      </c>
      <c r="C9" s="183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</row>
    <row r="10" spans="1:27" ht="18" x14ac:dyDescent="0.25">
      <c r="A10" s="68">
        <v>45474</v>
      </c>
      <c r="B10" s="101">
        <f>25.9+262.84</f>
        <v>288.73999999999995</v>
      </c>
      <c r="C10" s="183">
        <v>2.5000000000000001E-3</v>
      </c>
      <c r="D10" s="149">
        <f>DADOS!C9</f>
        <v>0</v>
      </c>
      <c r="E10" s="148">
        <f t="shared" si="0"/>
        <v>0</v>
      </c>
      <c r="F10" s="4"/>
      <c r="G10" s="4"/>
      <c r="H10" s="4"/>
      <c r="I10" s="4"/>
      <c r="J10" s="4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</row>
    <row r="11" spans="1:27" ht="18" x14ac:dyDescent="0.25">
      <c r="A11" s="68">
        <v>45505</v>
      </c>
      <c r="B11" s="101">
        <f>1268.77</f>
        <v>1268.77</v>
      </c>
      <c r="C11" s="183">
        <v>2.5000000000000001E-3</v>
      </c>
      <c r="D11" s="149">
        <f>DADOS!C10</f>
        <v>0</v>
      </c>
      <c r="E11" s="148">
        <f t="shared" si="0"/>
        <v>0</v>
      </c>
      <c r="F11" s="4"/>
      <c r="G11" s="4"/>
      <c r="H11" s="4"/>
      <c r="I11" s="4"/>
      <c r="J11" s="4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2"/>
    </row>
    <row r="12" spans="1:27" ht="18" x14ac:dyDescent="0.25">
      <c r="A12" s="68">
        <v>45536</v>
      </c>
      <c r="B12" s="101">
        <f>320.88</f>
        <v>320.88</v>
      </c>
      <c r="C12" s="183">
        <v>2.5000000000000001E-3</v>
      </c>
      <c r="D12" s="149">
        <f>DADOS!C11</f>
        <v>0</v>
      </c>
      <c r="E12" s="148">
        <f t="shared" si="0"/>
        <v>0</v>
      </c>
      <c r="F12" s="4"/>
      <c r="G12" s="4"/>
      <c r="H12" s="4"/>
      <c r="I12" s="4"/>
      <c r="J12" s="4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</row>
    <row r="13" spans="1:27" ht="18" x14ac:dyDescent="0.25">
      <c r="A13" s="68">
        <v>45566</v>
      </c>
      <c r="B13" s="101"/>
      <c r="C13" s="183">
        <v>2.5000000000000001E-3</v>
      </c>
      <c r="D13" s="149">
        <f>DADOS!C12</f>
        <v>0</v>
      </c>
      <c r="E13" s="148">
        <f t="shared" si="0"/>
        <v>0</v>
      </c>
      <c r="F13" s="4"/>
      <c r="G13" s="4"/>
      <c r="H13" s="4"/>
      <c r="I13" s="4"/>
      <c r="J13" s="4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2"/>
    </row>
    <row r="14" spans="1:27" ht="18" x14ac:dyDescent="0.25">
      <c r="A14" s="68">
        <v>45597</v>
      </c>
      <c r="B14" s="101"/>
      <c r="C14" s="183">
        <v>2.5000000000000001E-3</v>
      </c>
      <c r="D14" s="149">
        <f>DADOS!C13</f>
        <v>0</v>
      </c>
      <c r="E14" s="148">
        <f t="shared" si="0"/>
        <v>0</v>
      </c>
      <c r="F14" s="4"/>
      <c r="G14" s="4"/>
      <c r="H14" s="4"/>
      <c r="I14" s="4"/>
      <c r="J14" s="4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2"/>
    </row>
    <row r="15" spans="1:27" ht="18" x14ac:dyDescent="0.25">
      <c r="A15" s="68">
        <v>45627</v>
      </c>
      <c r="B15" s="101"/>
      <c r="C15" s="183">
        <v>2.5000000000000001E-3</v>
      </c>
      <c r="D15" s="149">
        <f>DADOS!C14</f>
        <v>0</v>
      </c>
      <c r="E15" s="148">
        <f t="shared" si="0"/>
        <v>0</v>
      </c>
      <c r="F15" s="4"/>
      <c r="G15" s="4"/>
      <c r="H15" s="4"/>
      <c r="I15" s="4"/>
      <c r="J15" s="4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2"/>
    </row>
    <row r="16" spans="1:27" ht="18" x14ac:dyDescent="0.25">
      <c r="A16" s="69" t="s">
        <v>21</v>
      </c>
      <c r="B16" s="101">
        <f>SUM(B4:B15)</f>
        <v>6999.53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2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2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2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2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2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2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2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2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2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2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2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2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2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2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2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2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2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2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2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2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2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2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2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2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2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2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4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4" tint="0.39997558519241921"/>
  </sheetPr>
  <dimension ref="A1:AF48"/>
  <sheetViews>
    <sheetView showGridLines="0" zoomScale="70" zoomScaleNormal="70" zoomScaleSheetLayoutView="70" workbookViewId="0">
      <selection activeCell="B13" sqref="B13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6" t="s">
        <v>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2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2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2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2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2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2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2">
        <v>5.0000000000000001E-3</v>
      </c>
      <c r="D10" s="98">
        <f>DADOS!C9</f>
        <v>0</v>
      </c>
      <c r="E10" s="147">
        <f t="shared" si="0"/>
        <v>0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>
        <f>8.33+1650+406.66+200</f>
        <v>2264.9899999999998</v>
      </c>
      <c r="C11" s="182">
        <v>5.0000000000000001E-3</v>
      </c>
      <c r="D11" s="99">
        <f>DADOS!C10</f>
        <v>0</v>
      </c>
      <c r="E11" s="147">
        <f t="shared" si="0"/>
        <v>0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>
        <f>235+500+13.33+371.66+276.66</f>
        <v>1396.65</v>
      </c>
      <c r="C12" s="182">
        <v>5.0000000000000001E-3</v>
      </c>
      <c r="D12" s="99">
        <f>DADOS!C11</f>
        <v>0</v>
      </c>
      <c r="E12" s="147">
        <f t="shared" si="0"/>
        <v>0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/>
      <c r="C13" s="182">
        <v>5.0000000000000001E-3</v>
      </c>
      <c r="D13" s="99">
        <f>DADOS!C12</f>
        <v>0</v>
      </c>
      <c r="E13" s="147">
        <f t="shared" si="0"/>
        <v>0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/>
      <c r="C14" s="182">
        <v>5.0000000000000001E-3</v>
      </c>
      <c r="D14" s="99">
        <f>DADOS!C13</f>
        <v>0</v>
      </c>
      <c r="E14" s="147">
        <f t="shared" si="0"/>
        <v>0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/>
      <c r="C15" s="182">
        <v>5.0000000000000001E-3</v>
      </c>
      <c r="D15" s="99">
        <f>DADOS!C14</f>
        <v>0</v>
      </c>
      <c r="E15" s="147">
        <f t="shared" si="0"/>
        <v>0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20583.310000000005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M51"/>
  <sheetViews>
    <sheetView showGridLines="0" zoomScale="55" zoomScaleNormal="55" workbookViewId="0">
      <selection activeCell="A12" sqref="A12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3.7109375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7" t="s">
        <v>43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71"/>
      <c r="W2" s="171"/>
      <c r="X2" s="171"/>
      <c r="Y2" s="171"/>
      <c r="Z2" s="172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76</v>
      </c>
      <c r="H3" s="109" t="s">
        <v>36</v>
      </c>
      <c r="I3" s="109" t="s">
        <v>35</v>
      </c>
      <c r="J3" s="109" t="s">
        <v>37</v>
      </c>
      <c r="K3" s="109" t="s">
        <v>39</v>
      </c>
      <c r="L3" s="109" t="s">
        <v>38</v>
      </c>
      <c r="M3" s="109" t="s">
        <v>41</v>
      </c>
      <c r="N3" s="109" t="s">
        <v>80</v>
      </c>
      <c r="O3" s="109" t="s">
        <v>40</v>
      </c>
      <c r="P3" s="109" t="s">
        <v>74</v>
      </c>
      <c r="Q3" s="109" t="s">
        <v>77</v>
      </c>
      <c r="R3" s="109" t="s">
        <v>78</v>
      </c>
      <c r="S3" s="109" t="s">
        <v>42</v>
      </c>
      <c r="T3" s="109" t="s">
        <v>79</v>
      </c>
      <c r="U3" s="109" t="s">
        <v>71</v>
      </c>
      <c r="V3" s="173" t="s">
        <v>45</v>
      </c>
      <c r="W3" s="174" t="s">
        <v>20</v>
      </c>
      <c r="X3" s="175" t="s">
        <v>1</v>
      </c>
      <c r="Y3" s="173" t="s">
        <v>25</v>
      </c>
      <c r="Z3" s="172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6">
        <f t="shared" ref="V4:V15" si="0">SUM(B4:U4)</f>
        <v>290</v>
      </c>
      <c r="W4" s="177">
        <f>V4/Y4</f>
        <v>4.3999393111819149E-2</v>
      </c>
      <c r="X4" s="178">
        <v>0.01</v>
      </c>
      <c r="Y4" s="179">
        <f>DADOS!E3</f>
        <v>6591</v>
      </c>
      <c r="Z4" s="172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6">
        <f t="shared" si="0"/>
        <v>112</v>
      </c>
      <c r="W5" s="177">
        <f t="shared" ref="W5:W15" si="1">V5/Y5</f>
        <v>5.7941024314536987E-2</v>
      </c>
      <c r="X5" s="178">
        <v>0.01</v>
      </c>
      <c r="Y5" s="179">
        <f>DADOS!E4</f>
        <v>1933</v>
      </c>
      <c r="Z5" s="172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6">
        <f t="shared" si="0"/>
        <v>28</v>
      </c>
      <c r="W6" s="177">
        <f t="shared" si="1"/>
        <v>4.2449969678593083E-3</v>
      </c>
      <c r="X6" s="178">
        <v>0.01</v>
      </c>
      <c r="Y6" s="179">
        <f>DADOS!E5</f>
        <v>6596</v>
      </c>
      <c r="Z6" s="172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6">
        <f t="shared" si="0"/>
        <v>46</v>
      </c>
      <c r="W7" s="177">
        <f>V7/Y7</f>
        <v>1.0495094684006388E-2</v>
      </c>
      <c r="X7" s="178">
        <v>0.01</v>
      </c>
      <c r="Y7" s="179">
        <f>DADOS!E6</f>
        <v>4383</v>
      </c>
      <c r="Z7" s="172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6">
        <f t="shared" si="0"/>
        <v>122</v>
      </c>
      <c r="W8" s="177">
        <f t="shared" si="1"/>
        <v>1.3170679045665551E-2</v>
      </c>
      <c r="X8" s="178">
        <v>0.01</v>
      </c>
      <c r="Y8" s="179">
        <f>DADOS!E7</f>
        <v>9263</v>
      </c>
      <c r="Z8" s="172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6">
        <f t="shared" si="0"/>
        <v>48</v>
      </c>
      <c r="W9" s="177">
        <f t="shared" si="1"/>
        <v>4.0677966101694916E-3</v>
      </c>
      <c r="X9" s="178">
        <v>0.01</v>
      </c>
      <c r="Y9" s="179">
        <f>DADOS!E8</f>
        <v>11800</v>
      </c>
      <c r="Z9" s="172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6">
        <f t="shared" si="0"/>
        <v>185</v>
      </c>
      <c r="W10" s="177" t="e">
        <f t="shared" si="1"/>
        <v>#DIV/0!</v>
      </c>
      <c r="X10" s="178">
        <v>0.01</v>
      </c>
      <c r="Y10" s="179">
        <f>DADOS!E9</f>
        <v>0</v>
      </c>
      <c r="Z10" s="172"/>
      <c r="AA10" s="51"/>
      <c r="AM10" s="52"/>
    </row>
    <row r="11" spans="1:39" ht="18.75" x14ac:dyDescent="0.4">
      <c r="A11" s="110">
        <v>45505</v>
      </c>
      <c r="B11" s="102">
        <v>0</v>
      </c>
      <c r="C11" s="102">
        <v>0</v>
      </c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>
        <f>9+9</f>
        <v>18</v>
      </c>
      <c r="J11" s="102">
        <v>4</v>
      </c>
      <c r="K11" s="102">
        <v>0</v>
      </c>
      <c r="L11" s="102">
        <v>8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>
        <f>6</f>
        <v>6</v>
      </c>
      <c r="S11" s="102">
        <v>0</v>
      </c>
      <c r="T11" s="102">
        <v>0</v>
      </c>
      <c r="U11" s="102">
        <v>0</v>
      </c>
      <c r="V11" s="176">
        <f t="shared" si="0"/>
        <v>36</v>
      </c>
      <c r="W11" s="177" t="e">
        <f t="shared" si="1"/>
        <v>#DIV/0!</v>
      </c>
      <c r="X11" s="178">
        <v>0.01</v>
      </c>
      <c r="Y11" s="179">
        <f>DADOS!E10</f>
        <v>0</v>
      </c>
      <c r="Z11" s="172"/>
      <c r="AA11" s="51"/>
      <c r="AM11" s="52"/>
    </row>
    <row r="12" spans="1:39" ht="18.75" x14ac:dyDescent="0.4">
      <c r="A12" s="110">
        <v>45536</v>
      </c>
      <c r="B12" s="107">
        <v>1</v>
      </c>
      <c r="C12" s="107">
        <v>0</v>
      </c>
      <c r="D12" s="107">
        <v>0</v>
      </c>
      <c r="E12" s="107">
        <v>3</v>
      </c>
      <c r="F12" s="107">
        <v>0</v>
      </c>
      <c r="G12" s="107">
        <f>20</f>
        <v>20</v>
      </c>
      <c r="H12" s="107">
        <v>0</v>
      </c>
      <c r="I12" s="107">
        <v>0</v>
      </c>
      <c r="J12" s="107">
        <v>0</v>
      </c>
      <c r="K12" s="107">
        <v>0</v>
      </c>
      <c r="L12" s="107">
        <f>1</f>
        <v>1</v>
      </c>
      <c r="M12" s="107">
        <v>0</v>
      </c>
      <c r="N12" s="107">
        <v>12</v>
      </c>
      <c r="O12" s="107">
        <v>0</v>
      </c>
      <c r="P12" s="107">
        <v>0</v>
      </c>
      <c r="Q12" s="107">
        <v>0</v>
      </c>
      <c r="R12" s="107">
        <v>0</v>
      </c>
      <c r="S12" s="107">
        <v>0</v>
      </c>
      <c r="T12" s="107">
        <v>12</v>
      </c>
      <c r="U12" s="107">
        <v>0</v>
      </c>
      <c r="V12" s="176">
        <f t="shared" si="0"/>
        <v>49</v>
      </c>
      <c r="W12" s="177" t="e">
        <f t="shared" si="1"/>
        <v>#DIV/0!</v>
      </c>
      <c r="X12" s="178">
        <v>0.01</v>
      </c>
      <c r="Y12" s="179">
        <f>DADOS!E11</f>
        <v>0</v>
      </c>
      <c r="Z12" s="172"/>
      <c r="AA12" s="51"/>
      <c r="AM12" s="52"/>
    </row>
    <row r="13" spans="1:39" ht="18.75" x14ac:dyDescent="0.4">
      <c r="A13" s="110">
        <v>45566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76">
        <f t="shared" si="0"/>
        <v>0</v>
      </c>
      <c r="W13" s="177" t="e">
        <f t="shared" si="1"/>
        <v>#DIV/0!</v>
      </c>
      <c r="X13" s="178">
        <v>0.01</v>
      </c>
      <c r="Y13" s="179">
        <f>DADOS!E12</f>
        <v>0</v>
      </c>
      <c r="Z13" s="172"/>
      <c r="AA13" s="51"/>
      <c r="AM13" s="52"/>
    </row>
    <row r="14" spans="1:39" ht="18.75" x14ac:dyDescent="0.4">
      <c r="A14" s="110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76">
        <f t="shared" si="0"/>
        <v>0</v>
      </c>
      <c r="W14" s="177" t="e">
        <f t="shared" si="1"/>
        <v>#DIV/0!</v>
      </c>
      <c r="X14" s="178">
        <v>0.01</v>
      </c>
      <c r="Y14" s="179">
        <f>DADOS!E13</f>
        <v>0</v>
      </c>
      <c r="Z14" s="172"/>
      <c r="AA14" s="51"/>
      <c r="AM14" s="52"/>
    </row>
    <row r="15" spans="1:39" ht="18.75" x14ac:dyDescent="0.4">
      <c r="A15" s="110">
        <v>45627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76">
        <f t="shared" si="0"/>
        <v>0</v>
      </c>
      <c r="W15" s="177" t="e">
        <f t="shared" si="1"/>
        <v>#DIV/0!</v>
      </c>
      <c r="X15" s="178">
        <v>0.01</v>
      </c>
      <c r="Y15" s="179">
        <f>DADOS!E14</f>
        <v>0</v>
      </c>
      <c r="Z15" s="172"/>
      <c r="AA15" s="51"/>
      <c r="AM15" s="52"/>
    </row>
    <row r="16" spans="1:39" ht="37.5" x14ac:dyDescent="0.4">
      <c r="A16" s="84" t="s">
        <v>44</v>
      </c>
      <c r="B16" s="85">
        <f>SUM(B4:B15)</f>
        <v>73</v>
      </c>
      <c r="C16" s="85">
        <f t="shared" ref="C16:U16" si="2">SUM(C4:C15)</f>
        <v>0</v>
      </c>
      <c r="D16" s="85">
        <f t="shared" si="2"/>
        <v>3</v>
      </c>
      <c r="E16" s="85">
        <f t="shared" si="2"/>
        <v>3</v>
      </c>
      <c r="F16" s="85">
        <f t="shared" si="2"/>
        <v>0</v>
      </c>
      <c r="G16" s="85">
        <f t="shared" si="2"/>
        <v>66</v>
      </c>
      <c r="H16" s="85">
        <f t="shared" si="2"/>
        <v>0</v>
      </c>
      <c r="I16" s="85">
        <f t="shared" si="2"/>
        <v>18</v>
      </c>
      <c r="J16" s="85">
        <f t="shared" si="2"/>
        <v>77</v>
      </c>
      <c r="K16" s="85">
        <f t="shared" si="2"/>
        <v>0</v>
      </c>
      <c r="L16" s="85">
        <f t="shared" si="2"/>
        <v>357</v>
      </c>
      <c r="M16" s="85">
        <f t="shared" si="2"/>
        <v>0</v>
      </c>
      <c r="N16" s="85">
        <f t="shared" si="2"/>
        <v>12</v>
      </c>
      <c r="O16" s="85">
        <f t="shared" si="2"/>
        <v>0</v>
      </c>
      <c r="P16" s="85">
        <f t="shared" si="2"/>
        <v>24</v>
      </c>
      <c r="Q16" s="85">
        <f t="shared" si="2"/>
        <v>72</v>
      </c>
      <c r="R16" s="85">
        <f t="shared" si="2"/>
        <v>30</v>
      </c>
      <c r="S16" s="85">
        <f t="shared" si="2"/>
        <v>22</v>
      </c>
      <c r="T16" s="85"/>
      <c r="U16" s="85">
        <f t="shared" si="2"/>
        <v>60</v>
      </c>
      <c r="V16" s="176">
        <f t="shared" ref="V16" si="3">SUM(V4:V15)</f>
        <v>916</v>
      </c>
      <c r="W16" s="180">
        <f>SUM(V16/Y16)</f>
        <v>2.2580486121382439E-2</v>
      </c>
      <c r="X16" s="178">
        <v>0.01</v>
      </c>
      <c r="Y16" s="179">
        <f>SUM(Y4:Y15)</f>
        <v>40566</v>
      </c>
      <c r="Z16" s="172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6"/>
      <c r="W17" s="176"/>
      <c r="X17" s="176"/>
      <c r="Y17" s="176"/>
      <c r="Z17" s="172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1">
        <f>SUM(V4:V15)/12</f>
        <v>76.333333333333329</v>
      </c>
      <c r="W18" s="180" t="e">
        <f>SUM(W4:W15)/12</f>
        <v>#DIV/0!</v>
      </c>
      <c r="X18" s="176"/>
      <c r="Y18" s="176"/>
      <c r="Z18" s="172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M39"/>
  <sheetViews>
    <sheetView showGridLines="0" topLeftCell="A2" zoomScale="85" zoomScaleNormal="85" workbookViewId="0">
      <selection activeCell="M12" sqref="M12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1" width="12.28515625" customWidth="1"/>
    <col min="12" max="12" width="12.7109375" customWidth="1"/>
    <col min="13" max="13" width="13.42578125" customWidth="1"/>
    <col min="14" max="14" width="10.28515625" bestFit="1" customWidth="1"/>
    <col min="15" max="15" width="7.28515625" bestFit="1" customWidth="1"/>
    <col min="16" max="16" width="8.5703125" bestFit="1" customWidth="1"/>
    <col min="17" max="17" width="3" style="80" customWidth="1"/>
    <col min="25" max="25" width="10.28515625" bestFit="1" customWidth="1"/>
    <col min="27" max="27" width="12" bestFit="1" customWidth="1"/>
    <col min="29" max="29" width="12.140625" bestFit="1" customWidth="1"/>
  </cols>
  <sheetData>
    <row r="1" spans="1:39" ht="108" customHeight="1" x14ac:dyDescent="0.2"/>
    <row r="2" spans="1:39" ht="31.5" customHeight="1" x14ac:dyDescent="0.2">
      <c r="A2" s="197" t="s">
        <v>46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51"/>
      <c r="O2" s="151"/>
      <c r="P2" s="151"/>
      <c r="Q2" s="143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1"/>
    </row>
    <row r="3" spans="1:39" ht="81" customHeight="1" x14ac:dyDescent="0.2">
      <c r="A3" s="104" t="s">
        <v>4</v>
      </c>
      <c r="B3" s="105" t="s">
        <v>12</v>
      </c>
      <c r="C3" s="105" t="s">
        <v>13</v>
      </c>
      <c r="D3" s="105" t="s">
        <v>48</v>
      </c>
      <c r="E3" s="105" t="s">
        <v>14</v>
      </c>
      <c r="F3" s="105" t="s">
        <v>15</v>
      </c>
      <c r="G3" s="105" t="s">
        <v>16</v>
      </c>
      <c r="H3" s="105" t="s">
        <v>49</v>
      </c>
      <c r="I3" s="105" t="s">
        <v>53</v>
      </c>
      <c r="J3" s="105" t="s">
        <v>50</v>
      </c>
      <c r="K3" s="105" t="s">
        <v>51</v>
      </c>
      <c r="L3" s="105" t="s">
        <v>52</v>
      </c>
      <c r="M3" s="104" t="s">
        <v>5</v>
      </c>
      <c r="N3" s="152" t="s">
        <v>20</v>
      </c>
      <c r="O3" s="153" t="s">
        <v>1</v>
      </c>
      <c r="P3" s="154" t="s">
        <v>25</v>
      </c>
      <c r="Q3" s="81"/>
      <c r="R3" s="51"/>
      <c r="AM3" s="51"/>
    </row>
    <row r="4" spans="1:39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f>SUM(B4:L4)</f>
        <v>39</v>
      </c>
      <c r="N4" s="155">
        <f>M4/P4</f>
        <v>5.9171597633136093E-3</v>
      </c>
      <c r="O4" s="156">
        <v>5.0000000000000001E-3</v>
      </c>
      <c r="P4" s="157">
        <f>DADOS!E3</f>
        <v>6591</v>
      </c>
      <c r="Q4" s="82"/>
      <c r="R4" s="51"/>
      <c r="AM4" s="51"/>
    </row>
    <row r="5" spans="1:39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7">
        <f t="shared" ref="M5:M15" si="0">SUM(B5:L5)</f>
        <v>5</v>
      </c>
      <c r="N5" s="155">
        <f t="shared" ref="N5:N9" si="1">M5/P5</f>
        <v>2.5866528711846869E-3</v>
      </c>
      <c r="O5" s="156">
        <v>5.0000000000000001E-3</v>
      </c>
      <c r="P5" s="157">
        <f>DADOS!E4</f>
        <v>1933</v>
      </c>
      <c r="Q5" s="82"/>
      <c r="R5" s="51"/>
      <c r="AM5" s="51"/>
    </row>
    <row r="6" spans="1:39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7">
        <f t="shared" si="0"/>
        <v>1</v>
      </c>
      <c r="N6" s="155">
        <f>M6/P6</f>
        <v>1.5160703456640388E-4</v>
      </c>
      <c r="O6" s="156">
        <v>5.0000000000000001E-3</v>
      </c>
      <c r="P6" s="157">
        <f>DADOS!E5</f>
        <v>6596</v>
      </c>
      <c r="Q6" s="82"/>
      <c r="R6" s="51"/>
      <c r="AM6" s="51"/>
    </row>
    <row r="7" spans="1:39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7">
        <f t="shared" si="0"/>
        <v>28</v>
      </c>
      <c r="N7" s="155">
        <f t="shared" si="1"/>
        <v>6.3883185033082367E-3</v>
      </c>
      <c r="O7" s="156">
        <v>5.0000000000000001E-3</v>
      </c>
      <c r="P7" s="157">
        <f>DADOS!E6</f>
        <v>4383</v>
      </c>
      <c r="Q7" s="82"/>
      <c r="R7" s="51"/>
      <c r="AM7" s="51"/>
    </row>
    <row r="8" spans="1:39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f t="shared" si="0"/>
        <v>5</v>
      </c>
      <c r="N8" s="155">
        <f t="shared" si="1"/>
        <v>5.3978192810104722E-4</v>
      </c>
      <c r="O8" s="156">
        <v>5.0000000000000001E-3</v>
      </c>
      <c r="P8" s="157">
        <f>DADOS!E7</f>
        <v>9263</v>
      </c>
      <c r="Q8" s="82"/>
      <c r="R8" s="51"/>
      <c r="AM8" s="51"/>
    </row>
    <row r="9" spans="1:39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7">
        <f t="shared" si="0"/>
        <v>15</v>
      </c>
      <c r="N9" s="155">
        <f t="shared" si="1"/>
        <v>1.271186440677966E-3</v>
      </c>
      <c r="O9" s="156">
        <v>5.0000000000000001E-3</v>
      </c>
      <c r="P9" s="157">
        <f>DADOS!E8</f>
        <v>11800</v>
      </c>
      <c r="Q9" s="82"/>
      <c r="R9" s="51"/>
      <c r="AM9" s="51"/>
    </row>
    <row r="10" spans="1:39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f t="shared" si="0"/>
        <v>13</v>
      </c>
      <c r="N10" s="155" t="e">
        <f>M10/P10</f>
        <v>#DIV/0!</v>
      </c>
      <c r="O10" s="156">
        <v>5.0000000000000001E-3</v>
      </c>
      <c r="P10" s="157">
        <f>DADOS!E9</f>
        <v>0</v>
      </c>
      <c r="Q10" s="82"/>
      <c r="R10" s="51"/>
      <c r="AM10" s="51"/>
    </row>
    <row r="11" spans="1:39" ht="18.75" x14ac:dyDescent="0.4">
      <c r="A11" s="106">
        <v>45505</v>
      </c>
      <c r="B11" s="103">
        <v>0</v>
      </c>
      <c r="C11" s="103">
        <f>8</f>
        <v>8</v>
      </c>
      <c r="D11" s="103">
        <v>0</v>
      </c>
      <c r="E11" s="103">
        <v>0</v>
      </c>
      <c r="F11" s="103">
        <f>6</f>
        <v>6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7">
        <f t="shared" si="0"/>
        <v>14</v>
      </c>
      <c r="N11" s="155" t="e">
        <f t="shared" ref="N11:N15" si="2">M11/P11</f>
        <v>#DIV/0!</v>
      </c>
      <c r="O11" s="156">
        <v>5.0000000000000001E-3</v>
      </c>
      <c r="P11" s="157">
        <f>DADOS!E10</f>
        <v>0</v>
      </c>
      <c r="Q11" s="82"/>
      <c r="R11" s="51"/>
      <c r="AM11" s="51"/>
    </row>
    <row r="12" spans="1:39" ht="18.75" x14ac:dyDescent="0.4">
      <c r="A12" s="106">
        <v>45536</v>
      </c>
      <c r="B12" s="107">
        <v>0</v>
      </c>
      <c r="C12" s="107">
        <v>12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f t="shared" si="0"/>
        <v>12</v>
      </c>
      <c r="N12" s="155" t="e">
        <f t="shared" si="2"/>
        <v>#DIV/0!</v>
      </c>
      <c r="O12" s="156">
        <v>5.0000000000000001E-3</v>
      </c>
      <c r="P12" s="157">
        <f>DADOS!E11</f>
        <v>0</v>
      </c>
      <c r="Q12" s="82"/>
      <c r="R12" s="51"/>
      <c r="AM12" s="51"/>
    </row>
    <row r="13" spans="1:39" ht="18.75" x14ac:dyDescent="0.4">
      <c r="A13" s="106">
        <v>45566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7">
        <f t="shared" si="0"/>
        <v>0</v>
      </c>
      <c r="N13" s="155" t="e">
        <f t="shared" si="2"/>
        <v>#DIV/0!</v>
      </c>
      <c r="O13" s="156">
        <v>5.0000000000000001E-3</v>
      </c>
      <c r="P13" s="157">
        <f>DADOS!E12</f>
        <v>0</v>
      </c>
      <c r="Q13" s="82"/>
      <c r="R13" s="51"/>
      <c r="AM13" s="51"/>
    </row>
    <row r="14" spans="1:39" ht="18.75" x14ac:dyDescent="0.4">
      <c r="A14" s="106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>
        <f t="shared" si="0"/>
        <v>0</v>
      </c>
      <c r="N14" s="155" t="e">
        <f t="shared" si="2"/>
        <v>#DIV/0!</v>
      </c>
      <c r="O14" s="156">
        <v>5.0000000000000001E-3</v>
      </c>
      <c r="P14" s="157">
        <f>DADOS!E13</f>
        <v>0</v>
      </c>
      <c r="Q14" s="82"/>
      <c r="R14" s="51"/>
      <c r="AM14" s="51"/>
    </row>
    <row r="15" spans="1:39" ht="18.75" x14ac:dyDescent="0.4">
      <c r="A15" s="106">
        <v>45627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7">
        <f t="shared" si="0"/>
        <v>0</v>
      </c>
      <c r="N15" s="155" t="e">
        <f t="shared" si="2"/>
        <v>#DIV/0!</v>
      </c>
      <c r="O15" s="156">
        <v>5.0000000000000001E-3</v>
      </c>
      <c r="P15" s="157">
        <f>DADOS!E14</f>
        <v>0</v>
      </c>
      <c r="Q15" s="82"/>
      <c r="R15" s="51"/>
      <c r="AM15" s="51"/>
    </row>
    <row r="16" spans="1:39" s="4" customFormat="1" ht="18.75" x14ac:dyDescent="0.4">
      <c r="A16" s="146" t="s">
        <v>7</v>
      </c>
      <c r="B16" s="83">
        <f t="shared" ref="B16:M16" si="3">SUM(B4:B15)</f>
        <v>0</v>
      </c>
      <c r="C16" s="83">
        <f t="shared" si="3"/>
        <v>107</v>
      </c>
      <c r="D16" s="83">
        <f t="shared" si="3"/>
        <v>0</v>
      </c>
      <c r="E16" s="83">
        <f t="shared" si="3"/>
        <v>0</v>
      </c>
      <c r="F16" s="83">
        <f t="shared" si="3"/>
        <v>25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>
        <f t="shared" si="3"/>
        <v>0</v>
      </c>
      <c r="M16" s="83">
        <f t="shared" si="3"/>
        <v>132</v>
      </c>
      <c r="N16" s="158">
        <f>SUM(M16/P16)</f>
        <v>3.2539565153083864E-3</v>
      </c>
      <c r="O16" s="156">
        <v>5.0000000000000001E-3</v>
      </c>
      <c r="P16" s="157">
        <f>SUM(P4:P15)</f>
        <v>40566</v>
      </c>
      <c r="Q16" s="82"/>
      <c r="R16" s="32"/>
      <c r="AM16" s="32"/>
    </row>
    <row r="17" spans="1:39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86"/>
      <c r="M17" s="86"/>
      <c r="N17" s="159"/>
      <c r="O17" s="159"/>
      <c r="P17" s="159"/>
      <c r="Q17" s="83"/>
      <c r="R17" s="32"/>
      <c r="AM17" s="32"/>
    </row>
    <row r="18" spans="1:39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86" t="s">
        <v>2</v>
      </c>
      <c r="M18" s="87">
        <f>SUM(M4:M15)/12</f>
        <v>11</v>
      </c>
      <c r="N18" s="160" t="e">
        <f>SUM(N4:N15)/12</f>
        <v>#DIV/0!</v>
      </c>
      <c r="O18" s="159"/>
      <c r="P18" s="159"/>
      <c r="Q18" s="83"/>
      <c r="R18" s="32"/>
      <c r="AM18" s="32"/>
    </row>
    <row r="19" spans="1:39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44"/>
      <c r="M19" s="144"/>
      <c r="N19" s="144"/>
      <c r="O19" s="144"/>
      <c r="P19" s="144"/>
      <c r="Q19" s="145"/>
      <c r="R19" s="51"/>
      <c r="AM19" s="51"/>
    </row>
    <row r="20" spans="1:3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51"/>
      <c r="AM20" s="51"/>
    </row>
    <row r="21" spans="1:39" x14ac:dyDescent="0.2">
      <c r="R21" s="51"/>
      <c r="AM21" s="51"/>
    </row>
    <row r="22" spans="1:39" x14ac:dyDescent="0.2">
      <c r="R22" s="51"/>
      <c r="AM22" s="51"/>
    </row>
    <row r="23" spans="1:39" x14ac:dyDescent="0.2">
      <c r="R23" s="51"/>
      <c r="S23" s="4"/>
      <c r="AM23" s="51"/>
    </row>
    <row r="24" spans="1:39" x14ac:dyDescent="0.2">
      <c r="R24" s="51"/>
      <c r="AM24" s="51"/>
    </row>
    <row r="25" spans="1:39" x14ac:dyDescent="0.2">
      <c r="R25" s="51"/>
      <c r="AM25" s="51"/>
    </row>
    <row r="26" spans="1:39" x14ac:dyDescent="0.2">
      <c r="R26" s="51"/>
      <c r="AM26" s="51"/>
    </row>
    <row r="27" spans="1:39" x14ac:dyDescent="0.2">
      <c r="R27" s="51"/>
      <c r="AM27" s="51"/>
    </row>
    <row r="28" spans="1:39" x14ac:dyDescent="0.2">
      <c r="R28" s="51"/>
      <c r="AM28" s="51"/>
    </row>
    <row r="29" spans="1:39" x14ac:dyDescent="0.2">
      <c r="R29" s="51"/>
      <c r="AM29" s="51"/>
    </row>
    <row r="30" spans="1:39" x14ac:dyDescent="0.2">
      <c r="R30" s="51"/>
      <c r="AM30" s="51"/>
    </row>
    <row r="31" spans="1:39" x14ac:dyDescent="0.2">
      <c r="R31" s="51"/>
      <c r="AM31" s="51"/>
    </row>
    <row r="32" spans="1:39" x14ac:dyDescent="0.2">
      <c r="R32" s="51"/>
      <c r="AM32" s="51"/>
    </row>
    <row r="33" spans="18:39" x14ac:dyDescent="0.2">
      <c r="R33" s="51"/>
      <c r="AM33" s="51"/>
    </row>
    <row r="34" spans="18:39" x14ac:dyDescent="0.2">
      <c r="R34" s="51"/>
      <c r="AM34" s="51"/>
    </row>
    <row r="35" spans="18:39" x14ac:dyDescent="0.2">
      <c r="R35" s="51"/>
      <c r="AM35" s="51"/>
    </row>
    <row r="36" spans="18:39" x14ac:dyDescent="0.2">
      <c r="R36" s="51"/>
      <c r="AM36" s="51"/>
    </row>
    <row r="37" spans="18:39" x14ac:dyDescent="0.2">
      <c r="R37" s="51"/>
      <c r="AM37" s="51"/>
    </row>
    <row r="38" spans="18:39" x14ac:dyDescent="0.2">
      <c r="R38" s="51"/>
      <c r="AM38" s="51"/>
    </row>
    <row r="39" spans="18:39" x14ac:dyDescent="0.2"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1"/>
    </row>
  </sheetData>
  <mergeCells count="1">
    <mergeCell ref="A2:M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3:G17"/>
  <sheetViews>
    <sheetView topLeftCell="B1" zoomScale="90" zoomScaleNormal="90" workbookViewId="0">
      <selection activeCell="G13" sqref="G13"/>
    </sheetView>
  </sheetViews>
  <sheetFormatPr defaultRowHeight="12.75" x14ac:dyDescent="0.2"/>
  <cols>
    <col min="2" max="7" width="15.7109375" customWidth="1"/>
  </cols>
  <sheetData>
    <row r="3" spans="2:7" ht="20.100000000000001" customHeight="1" x14ac:dyDescent="0.2">
      <c r="B3" s="198" t="s">
        <v>70</v>
      </c>
      <c r="C3" s="198"/>
      <c r="D3" s="198"/>
      <c r="E3" s="198"/>
      <c r="F3" s="198"/>
      <c r="G3" s="198"/>
    </row>
    <row r="4" spans="2:7" ht="20.100000000000001" customHeight="1" x14ac:dyDescent="0.2">
      <c r="B4" s="166" t="s">
        <v>4</v>
      </c>
      <c r="C4" s="166" t="s">
        <v>56</v>
      </c>
      <c r="D4" s="166" t="s">
        <v>13</v>
      </c>
      <c r="E4" s="166" t="s">
        <v>72</v>
      </c>
      <c r="F4" s="166" t="s">
        <v>51</v>
      </c>
      <c r="G4" s="167" t="s">
        <v>5</v>
      </c>
    </row>
    <row r="5" spans="2:7" ht="20.100000000000001" customHeight="1" x14ac:dyDescent="0.2">
      <c r="B5" s="168" t="s">
        <v>58</v>
      </c>
      <c r="C5" s="168">
        <v>1</v>
      </c>
      <c r="D5" s="168">
        <v>5</v>
      </c>
      <c r="E5" s="168">
        <v>2</v>
      </c>
      <c r="F5" s="168">
        <v>0</v>
      </c>
      <c r="G5" s="169">
        <f t="shared" ref="G5:G12" si="0">SUM(C5:F5)</f>
        <v>8</v>
      </c>
    </row>
    <row r="6" spans="2:7" ht="20.100000000000001" customHeight="1" x14ac:dyDescent="0.2">
      <c r="B6" s="167" t="s">
        <v>59</v>
      </c>
      <c r="C6" s="167">
        <v>6</v>
      </c>
      <c r="D6" s="167">
        <v>5</v>
      </c>
      <c r="E6" s="167">
        <v>0</v>
      </c>
      <c r="F6" s="167">
        <v>0</v>
      </c>
      <c r="G6" s="167">
        <f t="shared" si="0"/>
        <v>11</v>
      </c>
    </row>
    <row r="7" spans="2:7" ht="20.100000000000001" customHeight="1" x14ac:dyDescent="0.2">
      <c r="B7" s="168" t="s">
        <v>60</v>
      </c>
      <c r="C7" s="168">
        <f>4</f>
        <v>4</v>
      </c>
      <c r="D7" s="168">
        <v>2</v>
      </c>
      <c r="E7" s="167">
        <v>0</v>
      </c>
      <c r="F7" s="167">
        <v>0</v>
      </c>
      <c r="G7" s="167">
        <f t="shared" si="0"/>
        <v>6</v>
      </c>
    </row>
    <row r="8" spans="2:7" ht="20.100000000000001" customHeight="1" x14ac:dyDescent="0.2">
      <c r="B8" s="167" t="s">
        <v>61</v>
      </c>
      <c r="C8" s="167">
        <f>1</f>
        <v>1</v>
      </c>
      <c r="D8" s="167">
        <f>1+1+1+1+1</f>
        <v>5</v>
      </c>
      <c r="E8" s="167">
        <v>0</v>
      </c>
      <c r="F8" s="167">
        <v>0</v>
      </c>
      <c r="G8" s="167">
        <f t="shared" si="0"/>
        <v>6</v>
      </c>
    </row>
    <row r="9" spans="2:7" ht="20.100000000000001" customHeight="1" x14ac:dyDescent="0.2">
      <c r="B9" s="168" t="s">
        <v>62</v>
      </c>
      <c r="C9" s="168">
        <f>1+1+1+1+1+1</f>
        <v>6</v>
      </c>
      <c r="D9" s="168">
        <v>2</v>
      </c>
      <c r="E9" s="168">
        <v>0</v>
      </c>
      <c r="F9" s="168">
        <v>0</v>
      </c>
      <c r="G9" s="167">
        <f t="shared" si="0"/>
        <v>8</v>
      </c>
    </row>
    <row r="10" spans="2:7" ht="20.100000000000001" customHeight="1" x14ac:dyDescent="0.2">
      <c r="B10" s="167" t="s">
        <v>63</v>
      </c>
      <c r="C10" s="167">
        <f>1+1</f>
        <v>2</v>
      </c>
      <c r="D10" s="167">
        <f>1+1+1+1</f>
        <v>4</v>
      </c>
      <c r="E10" s="167">
        <v>0</v>
      </c>
      <c r="F10" s="167">
        <v>0</v>
      </c>
      <c r="G10" s="167">
        <f t="shared" si="0"/>
        <v>6</v>
      </c>
    </row>
    <row r="11" spans="2:7" ht="20.100000000000001" customHeight="1" x14ac:dyDescent="0.2">
      <c r="B11" s="168" t="s">
        <v>64</v>
      </c>
      <c r="C11" s="168">
        <f>1+1+1+1+1</f>
        <v>5</v>
      </c>
      <c r="D11" s="168">
        <f>1+1+1</f>
        <v>3</v>
      </c>
      <c r="E11" s="168">
        <v>0</v>
      </c>
      <c r="F11" s="168">
        <v>0</v>
      </c>
      <c r="G11" s="167">
        <f t="shared" si="0"/>
        <v>8</v>
      </c>
    </row>
    <row r="12" spans="2:7" ht="20.100000000000001" customHeight="1" x14ac:dyDescent="0.2">
      <c r="B12" s="167" t="s">
        <v>65</v>
      </c>
      <c r="C12" s="167">
        <f>1+1+1+1</f>
        <v>4</v>
      </c>
      <c r="D12" s="167">
        <v>1</v>
      </c>
      <c r="E12" s="167">
        <v>0</v>
      </c>
      <c r="F12" s="167">
        <v>0</v>
      </c>
      <c r="G12" s="167">
        <f t="shared" si="0"/>
        <v>5</v>
      </c>
    </row>
    <row r="13" spans="2:7" ht="20.100000000000001" customHeight="1" x14ac:dyDescent="0.2">
      <c r="B13" s="168" t="s">
        <v>66</v>
      </c>
      <c r="C13" s="168">
        <f>1+1</f>
        <v>2</v>
      </c>
      <c r="D13" s="168">
        <f>1+1+1+1+1</f>
        <v>5</v>
      </c>
      <c r="E13" s="168">
        <v>0</v>
      </c>
      <c r="F13" s="168">
        <v>0</v>
      </c>
      <c r="G13" s="169"/>
    </row>
    <row r="14" spans="2:7" ht="20.100000000000001" customHeight="1" x14ac:dyDescent="0.2">
      <c r="B14" s="167" t="s">
        <v>67</v>
      </c>
      <c r="C14" s="167"/>
      <c r="D14" s="167"/>
      <c r="E14" s="167"/>
      <c r="F14" s="167"/>
      <c r="G14" s="167"/>
    </row>
    <row r="15" spans="2:7" ht="20.100000000000001" customHeight="1" x14ac:dyDescent="0.2">
      <c r="B15" s="168" t="s">
        <v>68</v>
      </c>
      <c r="C15" s="168"/>
      <c r="D15" s="168"/>
      <c r="E15" s="168"/>
      <c r="F15" s="168"/>
      <c r="G15" s="169"/>
    </row>
    <row r="16" spans="2:7" ht="20.100000000000001" customHeight="1" x14ac:dyDescent="0.2">
      <c r="B16" s="167" t="s">
        <v>69</v>
      </c>
      <c r="C16" s="167"/>
      <c r="D16" s="167"/>
      <c r="E16" s="167"/>
      <c r="F16" s="167"/>
      <c r="G16" s="167"/>
    </row>
    <row r="17" spans="2:7" ht="20.100000000000001" customHeight="1" x14ac:dyDescent="0.2">
      <c r="B17" s="168" t="s">
        <v>73</v>
      </c>
      <c r="C17" s="170"/>
      <c r="D17" s="170"/>
      <c r="E17" s="170"/>
      <c r="F17" s="170"/>
      <c r="G17" s="16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Qualidade3</cp:lastModifiedBy>
  <cp:lastPrinted>2023-06-29T16:28:37Z</cp:lastPrinted>
  <dcterms:created xsi:type="dcterms:W3CDTF">2006-07-11T11:43:55Z</dcterms:created>
  <dcterms:modified xsi:type="dcterms:W3CDTF">2024-10-04T13:30:03Z</dcterms:modified>
</cp:coreProperties>
</file>